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tables/table1.xml" ContentType="application/vnd.openxmlformats-officedocument.spreadsheetml.table+xml"/>
  <Override PartName="/xl/drawings/drawing9.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updateLinks="never" codeName="ThisWorkbook" defaultThemeVersion="166925"/>
  <mc:AlternateContent xmlns:mc="http://schemas.openxmlformats.org/markup-compatibility/2006">
    <mc:Choice Requires="x15">
      <x15ac:absPath xmlns:x15ac="http://schemas.microsoft.com/office/spreadsheetml/2010/11/ac" url="C:\Users\lbkli\OneDrive\Desktop\LKJ Consulting\CURRENT PROJECTS\SISC-WWF - $\Food Loss Calculator most recent\"/>
    </mc:Choice>
  </mc:AlternateContent>
  <xr:revisionPtr revIDLastSave="0" documentId="8_{FAA43C35-5D3B-4652-81DA-462B5CB16CCB}" xr6:coauthVersionLast="47" xr6:coauthVersionMax="47" xr10:uidLastSave="{00000000-0000-0000-0000-000000000000}"/>
  <bookViews>
    <workbookView xWindow="-110" yWindow="-110" windowWidth="19420" windowHeight="10300" tabRatio="785" activeTab="2" xr2:uid="{00000000-000D-0000-FFFF-FFFF00000000}"/>
  </bookViews>
  <sheets>
    <sheet name="Start Here" sheetId="20" r:id="rId1"/>
    <sheet name="1. Harvest Data" sheetId="1" r:id="rId2"/>
    <sheet name="2. Loss Data" sheetId="13" r:id="rId3"/>
    <sheet name="3. Visual Dashboard" sheetId="19" r:id="rId4"/>
    <sheet name="Optional Information &gt;" sheetId="30" r:id="rId5"/>
    <sheet name="Reasons for Loss" sheetId="25" r:id="rId6"/>
    <sheet name="Metric Table" sheetId="6" r:id="rId7"/>
    <sheet name="Check your work" sheetId="22" r:id="rId8"/>
    <sheet name="Glossary" sheetId="18" r:id="rId9"/>
    <sheet name="Add'l Harvest Data" sheetId="21" r:id="rId10"/>
    <sheet name="Add'l Loss Data" sheetId="26" r:id="rId11"/>
    <sheet name="Add'l Reasons for Loss" sheetId="27" r:id="rId12"/>
    <sheet name="Add'l Visual Dashboard" sheetId="31" r:id="rId13"/>
    <sheet name="Add'l Metric Table" sheetId="29" r:id="rId14"/>
    <sheet name="Add'l Check your work" sheetId="28" r:id="rId15"/>
    <sheet name="Backend" sheetId="24" state="hidden" r:id="rId16"/>
    <sheet name="Contracts-Buyers Worksheet" sheetId="4" state="hidden" r:id="rId17"/>
    <sheet name="Contracts-Buyers Dashboard" sheetId="7" state="hidden" r:id="rId18"/>
    <sheet name="Crop Yields" sheetId="10" state="hidden" r:id="rId19"/>
    <sheet name="Storage Moisture Loss" sheetId="12" state="hidden" r:id="rId20"/>
    <sheet name="Lists" sheetId="3" state="hidden" r:id="rId21"/>
  </sheets>
  <externalReferences>
    <externalReference r:id="rId22"/>
  </externalReferences>
  <definedNames>
    <definedName name="Crop_Type">Lists!$L$3:$L$74</definedName>
    <definedName name="Edible__but_not_marketable_sample_in_lbs.">#REF!</definedName>
    <definedName name="End_of_Life">Lists!$A$2:$A$10</definedName>
    <definedName name="In_Field_Loss">Lists!$A$18:$A$24</definedName>
    <definedName name="On_Farm_Units">Lists!$A$56:$A$57</definedName>
    <definedName name="Packinghouse_Loss">Lists!$A$36:$A$43</definedName>
    <definedName name="_xlnm.Print_Area" localSheetId="2">'2. Loss Data'!$A$2:$L$28</definedName>
    <definedName name="Processing_Loss">Lists!$A$46:$A$53</definedName>
    <definedName name="Storage_Loss">Lists!$A$27:$A$33</definedName>
    <definedName name="Supply_Chain_Unit">Lists!$A$60:$A$61</definedName>
    <definedName name="Yes_No">Lists!$O$3:$O$4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25" i="13" l="1"/>
  <c r="G24" i="13"/>
  <c r="G23" i="13"/>
  <c r="E21" i="6" l="1"/>
  <c r="D21" i="6" s="1"/>
  <c r="M14" i="29"/>
  <c r="D14" i="29"/>
  <c r="C14" i="29" s="1"/>
  <c r="Q3" i="29" l="1"/>
  <c r="P3" i="29"/>
  <c r="M3" i="29"/>
  <c r="L3" i="29"/>
  <c r="H3" i="29"/>
  <c r="G3" i="29"/>
  <c r="D3" i="29"/>
  <c r="C3" i="29"/>
  <c r="L14" i="29" l="1"/>
  <c r="O4" i="28"/>
  <c r="O8" i="28" s="1"/>
  <c r="D4" i="28"/>
  <c r="D8" i="28" s="1"/>
  <c r="D2" i="22"/>
  <c r="B2" i="31"/>
  <c r="E3" i="31"/>
  <c r="G3" i="31"/>
  <c r="F3" i="31"/>
  <c r="C50" i="22"/>
  <c r="C53" i="22" s="1"/>
  <c r="N51" i="28"/>
  <c r="N53" i="28" s="1"/>
  <c r="N54" i="28" s="1"/>
  <c r="C51" i="28"/>
  <c r="C55" i="28" s="1"/>
  <c r="E7" i="19"/>
  <c r="D7" i="19"/>
  <c r="C7" i="19"/>
  <c r="B7" i="19"/>
  <c r="O31" i="28"/>
  <c r="O22" i="28"/>
  <c r="O13" i="28"/>
  <c r="D31" i="28"/>
  <c r="D22" i="28"/>
  <c r="D13" i="28"/>
  <c r="C53" i="28" l="1"/>
  <c r="C54" i="28"/>
  <c r="C54" i="22"/>
  <c r="N55" i="28"/>
  <c r="I10" i="6" l="1"/>
  <c r="E10" i="6"/>
  <c r="H10" i="6"/>
  <c r="D10" i="6"/>
  <c r="J4" i="26"/>
  <c r="C4" i="26"/>
  <c r="D6" i="13"/>
  <c r="D35" i="31"/>
  <c r="H35" i="31"/>
  <c r="D33" i="24"/>
  <c r="D28" i="24"/>
  <c r="D23" i="24"/>
  <c r="C3" i="31"/>
  <c r="I4" i="26" l="1"/>
  <c r="B4" i="26"/>
  <c r="H5" i="21"/>
  <c r="C5" i="21"/>
  <c r="D7" i="13"/>
  <c r="G7" i="19" s="1"/>
  <c r="D35" i="24"/>
  <c r="D30" i="24"/>
  <c r="D25" i="24"/>
  <c r="D34" i="24"/>
  <c r="D29" i="24"/>
  <c r="D24" i="24"/>
  <c r="G47" i="19"/>
  <c r="G29" i="19"/>
  <c r="C10" i="6" l="1"/>
  <c r="J3" i="26"/>
  <c r="C3" i="26"/>
  <c r="L1" i="27" l="1"/>
  <c r="M17" i="26" l="1"/>
  <c r="F17" i="26"/>
  <c r="M16" i="26"/>
  <c r="F16" i="26"/>
  <c r="M15" i="26"/>
  <c r="F15" i="26"/>
  <c r="J11" i="26"/>
  <c r="C11" i="26"/>
  <c r="K3" i="29"/>
  <c r="B3" i="29"/>
  <c r="O13" i="29"/>
  <c r="N13" i="29"/>
  <c r="F13" i="29"/>
  <c r="E13" i="29"/>
  <c r="O12" i="29"/>
  <c r="N12" i="29"/>
  <c r="F12" i="29"/>
  <c r="E12" i="29"/>
  <c r="O11" i="29"/>
  <c r="N11" i="29"/>
  <c r="F11" i="29"/>
  <c r="E11" i="29"/>
  <c r="O6" i="29"/>
  <c r="N6" i="29"/>
  <c r="F6" i="29"/>
  <c r="E6" i="29"/>
  <c r="O1" i="28"/>
  <c r="D1" i="28"/>
  <c r="S42" i="28"/>
  <c r="R42" i="28"/>
  <c r="Q47" i="28" s="1"/>
  <c r="N42" i="28"/>
  <c r="H42" i="28"/>
  <c r="G42" i="28"/>
  <c r="G47" i="28" s="1"/>
  <c r="C42" i="28"/>
  <c r="S41" i="28"/>
  <c r="P47" i="28" s="1"/>
  <c r="R41" i="28"/>
  <c r="Q46" i="28" s="1"/>
  <c r="N41" i="28"/>
  <c r="H41" i="28"/>
  <c r="F47" i="28" s="1"/>
  <c r="G41" i="28"/>
  <c r="G46" i="28" s="1"/>
  <c r="C41" i="28"/>
  <c r="S40" i="28"/>
  <c r="P46" i="28" s="1"/>
  <c r="R40" i="28"/>
  <c r="Q45" i="28" s="1"/>
  <c r="N40" i="28"/>
  <c r="H40" i="28"/>
  <c r="F46" i="28" s="1"/>
  <c r="G40" i="28"/>
  <c r="G45" i="28" s="1"/>
  <c r="C40" i="28"/>
  <c r="R39" i="28"/>
  <c r="Q39" i="28"/>
  <c r="O39" i="28"/>
  <c r="N39" i="28"/>
  <c r="G39" i="28"/>
  <c r="F39" i="28"/>
  <c r="D39" i="28"/>
  <c r="O33" i="28"/>
  <c r="D33" i="28"/>
  <c r="O30" i="28"/>
  <c r="M13" i="29" s="1"/>
  <c r="L13" i="29" s="1"/>
  <c r="D30" i="28"/>
  <c r="D13" i="29" s="1"/>
  <c r="C13" i="29" s="1"/>
  <c r="O24" i="28"/>
  <c r="D24" i="28"/>
  <c r="O21" i="28"/>
  <c r="M12" i="29" s="1"/>
  <c r="L12" i="29" s="1"/>
  <c r="D21" i="28"/>
  <c r="D12" i="29" s="1"/>
  <c r="C12" i="29" s="1"/>
  <c r="O15" i="28"/>
  <c r="D15" i="28"/>
  <c r="O12" i="28"/>
  <c r="M11" i="29" s="1"/>
  <c r="L11" i="29" s="1"/>
  <c r="D12" i="28"/>
  <c r="D11" i="29" s="1"/>
  <c r="C11" i="29" s="1"/>
  <c r="O6" i="28"/>
  <c r="M6" i="29" s="1"/>
  <c r="D6" i="28"/>
  <c r="D6" i="29" s="1"/>
  <c r="O7" i="28"/>
  <c r="D7" i="28"/>
  <c r="C1" i="27"/>
  <c r="L9" i="29" l="1"/>
  <c r="M9" i="29" s="1"/>
  <c r="M20" i="29" s="1"/>
  <c r="L8" i="29"/>
  <c r="M8" i="29" s="1"/>
  <c r="L7" i="29"/>
  <c r="M7" i="29" s="1"/>
  <c r="M18" i="29" s="1"/>
  <c r="C8" i="29"/>
  <c r="D8" i="29" s="1"/>
  <c r="D18" i="29" s="1"/>
  <c r="C9" i="29"/>
  <c r="D9" i="29" s="1"/>
  <c r="C7" i="29"/>
  <c r="D7" i="29" s="1"/>
  <c r="O35" i="28"/>
  <c r="Q13" i="29"/>
  <c r="P13" i="29" s="1"/>
  <c r="O17" i="28"/>
  <c r="Q11" i="29"/>
  <c r="P11" i="29" s="1"/>
  <c r="O26" i="28"/>
  <c r="Q12" i="29"/>
  <c r="P12" i="29" s="1"/>
  <c r="L6" i="29"/>
  <c r="D17" i="28"/>
  <c r="H11" i="29"/>
  <c r="G11" i="29" s="1"/>
  <c r="D26" i="28"/>
  <c r="H12" i="29"/>
  <c r="G12" i="29" s="1"/>
  <c r="C6" i="29"/>
  <c r="D35" i="28"/>
  <c r="H13" i="29"/>
  <c r="G13" i="29" s="1"/>
  <c r="O23" i="28"/>
  <c r="O25" i="28" s="1"/>
  <c r="D32" i="28"/>
  <c r="D34" i="28" s="1"/>
  <c r="O14" i="28"/>
  <c r="O16" i="28" s="1"/>
  <c r="D14" i="28"/>
  <c r="D16" i="28" s="1"/>
  <c r="D23" i="28"/>
  <c r="D25" i="28" s="1"/>
  <c r="O32" i="28"/>
  <c r="O34" i="28" s="1"/>
  <c r="M19" i="29" l="1"/>
  <c r="D20" i="29"/>
  <c r="D19" i="29"/>
  <c r="D4" i="22"/>
  <c r="E22" i="24"/>
  <c r="F22" i="24"/>
  <c r="E27" i="24"/>
  <c r="F27" i="24"/>
  <c r="I16" i="24"/>
  <c r="H16" i="24"/>
  <c r="I15" i="24"/>
  <c r="H15" i="24"/>
  <c r="I14" i="24"/>
  <c r="H14" i="24"/>
  <c r="I13" i="24"/>
  <c r="H39" i="28" s="1"/>
  <c r="F45" i="28" s="1"/>
  <c r="H45" i="28" s="1"/>
  <c r="I8" i="24"/>
  <c r="H8" i="24"/>
  <c r="G40" i="22" s="1"/>
  <c r="H45" i="22" s="1"/>
  <c r="I7" i="24"/>
  <c r="H39" i="22" s="1"/>
  <c r="G45" i="22" s="1"/>
  <c r="H7" i="24"/>
  <c r="G39" i="22" s="1"/>
  <c r="H44" i="22" s="1"/>
  <c r="I6" i="24"/>
  <c r="H38" i="22" s="1"/>
  <c r="G44" i="22" s="1"/>
  <c r="H6" i="24"/>
  <c r="G38" i="22" s="1"/>
  <c r="H43" i="22" s="1"/>
  <c r="I5" i="24"/>
  <c r="H37" i="22" s="1"/>
  <c r="G43" i="22" s="1"/>
  <c r="H40" i="22"/>
  <c r="T55" i="22"/>
  <c r="S39" i="28" s="1"/>
  <c r="P45" i="28" s="1"/>
  <c r="R45" i="28" s="1"/>
  <c r="S56" i="22"/>
  <c r="T56" i="22"/>
  <c r="S57" i="22"/>
  <c r="T57" i="22"/>
  <c r="S58" i="22"/>
  <c r="T58" i="22"/>
  <c r="C37" i="22"/>
  <c r="D37" i="22"/>
  <c r="F37" i="22"/>
  <c r="G37" i="22"/>
  <c r="C38" i="22"/>
  <c r="C39" i="22"/>
  <c r="C40" i="22"/>
  <c r="O58" i="22"/>
  <c r="O42" i="28" s="1"/>
  <c r="O47" i="28" s="1"/>
  <c r="D28" i="22"/>
  <c r="D29" i="22"/>
  <c r="E8" i="24" s="1"/>
  <c r="D31" i="22"/>
  <c r="E16" i="24"/>
  <c r="E42" i="28" s="1"/>
  <c r="O57" i="22"/>
  <c r="O41" i="28" s="1"/>
  <c r="O46" i="28" s="1"/>
  <c r="P57" i="22"/>
  <c r="P41" i="28" s="1"/>
  <c r="D15" i="24"/>
  <c r="D40" i="28" s="1"/>
  <c r="E45" i="28" s="1"/>
  <c r="E15" i="24"/>
  <c r="E40" i="28" s="1"/>
  <c r="D19" i="22"/>
  <c r="D20" i="22"/>
  <c r="E7" i="24" s="1"/>
  <c r="D22" i="22"/>
  <c r="D24" i="22" s="1"/>
  <c r="O56" i="22"/>
  <c r="O40" i="28" s="1"/>
  <c r="O45" i="28" s="1"/>
  <c r="P56" i="22"/>
  <c r="P40" i="28" s="1"/>
  <c r="D14" i="24"/>
  <c r="D41" i="28" s="1"/>
  <c r="E14" i="24"/>
  <c r="E41" i="28" s="1"/>
  <c r="D10" i="22"/>
  <c r="D11" i="22"/>
  <c r="E6" i="24" s="1"/>
  <c r="D13" i="22"/>
  <c r="D15" i="22" s="1"/>
  <c r="D14" i="13"/>
  <c r="P55" i="22"/>
  <c r="P39" i="28" s="1"/>
  <c r="E13" i="24"/>
  <c r="E39" i="28" s="1"/>
  <c r="F7" i="19" l="1"/>
  <c r="D15" i="6"/>
  <c r="D14" i="6"/>
  <c r="E14" i="6" s="1"/>
  <c r="D16" i="6"/>
  <c r="E16" i="6" s="1"/>
  <c r="D8" i="24"/>
  <c r="D40" i="22" s="1"/>
  <c r="F45" i="22" s="1"/>
  <c r="E20" i="6"/>
  <c r="D20" i="6" s="1"/>
  <c r="E18" i="6"/>
  <c r="D18" i="6" s="1"/>
  <c r="D7" i="24"/>
  <c r="D38" i="22" s="1"/>
  <c r="F43" i="22" s="1"/>
  <c r="E19" i="6"/>
  <c r="D19" i="6" s="1"/>
  <c r="D33" i="22"/>
  <c r="I20" i="6"/>
  <c r="H20" i="6" s="1"/>
  <c r="D6" i="24"/>
  <c r="D39" i="22" s="1"/>
  <c r="T41" i="28"/>
  <c r="N47" i="28"/>
  <c r="R47" i="28" s="1"/>
  <c r="T40" i="28"/>
  <c r="N46" i="28"/>
  <c r="R46" i="28" s="1"/>
  <c r="Q10" i="29" s="1"/>
  <c r="E46" i="28"/>
  <c r="D46" i="28"/>
  <c r="H46" i="28" s="1"/>
  <c r="I40" i="28"/>
  <c r="N45" i="28"/>
  <c r="T39" i="28"/>
  <c r="D45" i="28"/>
  <c r="I39" i="28"/>
  <c r="G15" i="24"/>
  <c r="D16" i="24"/>
  <c r="D42" i="28" s="1"/>
  <c r="E47" i="28" s="1"/>
  <c r="E38" i="22"/>
  <c r="D2" i="19" s="1"/>
  <c r="G14" i="24"/>
  <c r="G16" i="24"/>
  <c r="G13" i="24"/>
  <c r="E40" i="22"/>
  <c r="F2" i="19" s="1"/>
  <c r="E39" i="22"/>
  <c r="P58" i="22"/>
  <c r="I43" i="22"/>
  <c r="D30" i="22"/>
  <c r="D32" i="22" s="1"/>
  <c r="D21" i="22"/>
  <c r="D23" i="22" s="1"/>
  <c r="D12" i="22"/>
  <c r="D14" i="22" s="1"/>
  <c r="C8" i="19"/>
  <c r="E28" i="24" l="1"/>
  <c r="E15" i="6"/>
  <c r="P10" i="29"/>
  <c r="M10" i="29"/>
  <c r="F8" i="24"/>
  <c r="F40" i="22" s="1"/>
  <c r="D47" i="28"/>
  <c r="H47" i="28" s="1"/>
  <c r="H10" i="29" s="1"/>
  <c r="I41" i="28"/>
  <c r="D10" i="29" s="1"/>
  <c r="R56" i="22"/>
  <c r="P42" i="28"/>
  <c r="P51" i="28"/>
  <c r="R51" i="28"/>
  <c r="O51" i="28"/>
  <c r="Q51" i="28"/>
  <c r="F51" i="28"/>
  <c r="D51" i="28"/>
  <c r="G51" i="28"/>
  <c r="E51" i="28"/>
  <c r="D50" i="22"/>
  <c r="F50" i="22"/>
  <c r="G50" i="22"/>
  <c r="E50" i="22"/>
  <c r="E2" i="19"/>
  <c r="E44" i="22"/>
  <c r="I44" i="22" s="1"/>
  <c r="F28" i="24"/>
  <c r="E30" i="24"/>
  <c r="E29" i="24"/>
  <c r="F16" i="24"/>
  <c r="F42" i="28" s="1"/>
  <c r="R55" i="22"/>
  <c r="R57" i="22"/>
  <c r="R58" i="22"/>
  <c r="F29" i="24"/>
  <c r="I38" i="22"/>
  <c r="F44" i="22"/>
  <c r="F30" i="24"/>
  <c r="F15" i="24"/>
  <c r="F40" i="28" s="1"/>
  <c r="E45" i="22"/>
  <c r="I45" i="22" s="1"/>
  <c r="I39" i="22"/>
  <c r="F14" i="24"/>
  <c r="F41" i="28" s="1"/>
  <c r="D6" i="22"/>
  <c r="E13" i="6" s="1"/>
  <c r="D5" i="22"/>
  <c r="I19" i="6"/>
  <c r="H19" i="6" s="1"/>
  <c r="I18" i="6"/>
  <c r="H18" i="6" s="1"/>
  <c r="D13" i="6" l="1"/>
  <c r="L10" i="29"/>
  <c r="M17" i="29"/>
  <c r="F25" i="24" s="1"/>
  <c r="Q17" i="29"/>
  <c r="C10" i="29"/>
  <c r="D17" i="29"/>
  <c r="F24" i="24" s="1"/>
  <c r="E24" i="24"/>
  <c r="G10" i="29"/>
  <c r="H17" i="29"/>
  <c r="E26" i="6"/>
  <c r="E25" i="6"/>
  <c r="E27" i="6"/>
  <c r="I17" i="6"/>
  <c r="H17" i="6" s="1"/>
  <c r="G34" i="24"/>
  <c r="F54" i="28"/>
  <c r="F55" i="28"/>
  <c r="E34" i="24"/>
  <c r="D55" i="28"/>
  <c r="D54" i="28"/>
  <c r="E35" i="24"/>
  <c r="O55" i="28"/>
  <c r="O54" i="28"/>
  <c r="G35" i="24"/>
  <c r="Q54" i="28"/>
  <c r="Q55" i="28"/>
  <c r="F34" i="24"/>
  <c r="E55" i="28"/>
  <c r="E54" i="28"/>
  <c r="H34" i="24"/>
  <c r="G54" i="28"/>
  <c r="G55" i="28"/>
  <c r="H35" i="24"/>
  <c r="R55" i="28"/>
  <c r="R54" i="28"/>
  <c r="F35" i="24"/>
  <c r="P54" i="28"/>
  <c r="P55" i="28"/>
  <c r="E5" i="24"/>
  <c r="G5" i="24" s="1"/>
  <c r="H33" i="24"/>
  <c r="G54" i="22"/>
  <c r="G53" i="22"/>
  <c r="E33" i="24"/>
  <c r="D53" i="22"/>
  <c r="D54" i="22"/>
  <c r="F33" i="24"/>
  <c r="E54" i="22"/>
  <c r="E53" i="22"/>
  <c r="G33" i="24"/>
  <c r="F53" i="22"/>
  <c r="F54" i="22"/>
  <c r="E25" i="24"/>
  <c r="G13" i="6"/>
  <c r="G18" i="6"/>
  <c r="G20" i="6"/>
  <c r="G19" i="6"/>
  <c r="F20" i="6"/>
  <c r="F19" i="6"/>
  <c r="F18" i="6"/>
  <c r="F13" i="6"/>
  <c r="G8" i="24" l="1"/>
  <c r="G6" i="24"/>
  <c r="G7" i="24"/>
  <c r="E37" i="22"/>
  <c r="C2" i="19" s="1"/>
  <c r="B4" i="12"/>
  <c r="B14" i="12"/>
  <c r="A5" i="10"/>
  <c r="A6" i="10"/>
  <c r="A7" i="10"/>
  <c r="A8" i="10"/>
  <c r="A9" i="10"/>
  <c r="A10" i="10"/>
  <c r="A11" i="10"/>
  <c r="A12" i="10"/>
  <c r="A13" i="10"/>
  <c r="A14" i="10"/>
  <c r="A15" i="10"/>
  <c r="A16" i="10"/>
  <c r="A17" i="10"/>
  <c r="A18" i="10"/>
  <c r="A19" i="10"/>
  <c r="A20" i="10"/>
  <c r="A21" i="10"/>
  <c r="A22" i="10"/>
  <c r="A23" i="10"/>
  <c r="A24" i="10"/>
  <c r="A25" i="10"/>
  <c r="A26" i="10"/>
  <c r="A27" i="10"/>
  <c r="A28" i="10"/>
  <c r="A29" i="10"/>
  <c r="A30" i="10"/>
  <c r="A31" i="10"/>
  <c r="A32" i="10"/>
  <c r="A33" i="10"/>
  <c r="A34" i="10"/>
  <c r="A35" i="10"/>
  <c r="A36" i="10"/>
  <c r="A37" i="10"/>
  <c r="A38" i="10"/>
  <c r="A39" i="10"/>
  <c r="A40" i="10"/>
  <c r="A41" i="10"/>
  <c r="A42" i="10"/>
  <c r="A43" i="10"/>
  <c r="A44" i="10"/>
  <c r="A45" i="10"/>
  <c r="A46" i="10"/>
  <c r="A47" i="10"/>
  <c r="A48" i="10"/>
  <c r="A49" i="10"/>
  <c r="A50" i="10"/>
  <c r="A51" i="10"/>
  <c r="A52" i="10"/>
  <c r="A53" i="10"/>
  <c r="A54" i="10"/>
  <c r="A55" i="10"/>
  <c r="A56" i="10"/>
  <c r="A57" i="10"/>
  <c r="A58" i="10"/>
  <c r="A59" i="10"/>
  <c r="A60" i="10"/>
  <c r="A61" i="10"/>
  <c r="A62" i="10"/>
  <c r="A63" i="10"/>
  <c r="A64" i="10"/>
  <c r="A65" i="10"/>
  <c r="A66" i="10"/>
  <c r="A67" i="10"/>
  <c r="A68" i="10"/>
  <c r="A69" i="10"/>
  <c r="A70" i="10"/>
  <c r="A71" i="10"/>
  <c r="A72" i="10"/>
  <c r="A73" i="10"/>
  <c r="A74" i="10"/>
  <c r="A75" i="10"/>
  <c r="A76" i="10"/>
  <c r="A77" i="10"/>
  <c r="A78" i="10"/>
  <c r="A79" i="10"/>
  <c r="A80" i="10"/>
  <c r="A4" i="10"/>
  <c r="D32" i="7"/>
  <c r="D33" i="7"/>
  <c r="D34" i="7"/>
  <c r="D35" i="7"/>
  <c r="D36" i="7"/>
  <c r="D37" i="7"/>
  <c r="D38" i="7"/>
  <c r="D39" i="7"/>
  <c r="D40" i="7"/>
  <c r="D31" i="7"/>
  <c r="D10" i="7"/>
  <c r="D11" i="7"/>
  <c r="D12" i="7"/>
  <c r="D13" i="7"/>
  <c r="D14" i="7"/>
  <c r="D15" i="7"/>
  <c r="D16" i="7"/>
  <c r="D17" i="7"/>
  <c r="D18" i="7"/>
  <c r="D21" i="7"/>
  <c r="D22" i="7"/>
  <c r="D23" i="7"/>
  <c r="D24" i="7"/>
  <c r="D25" i="7"/>
  <c r="D26" i="7"/>
  <c r="D27" i="7"/>
  <c r="D28" i="7"/>
  <c r="D29" i="7"/>
  <c r="D20" i="7"/>
  <c r="D9" i="7"/>
  <c r="G46" i="4"/>
  <c r="G45" i="4"/>
  <c r="G44" i="4"/>
  <c r="G43" i="4"/>
  <c r="G42" i="4"/>
  <c r="G41" i="4"/>
  <c r="G40" i="4"/>
  <c r="G39" i="4"/>
  <c r="G38" i="4"/>
  <c r="G37" i="4"/>
  <c r="G34" i="4"/>
  <c r="G33" i="4"/>
  <c r="G32" i="4"/>
  <c r="G31" i="4"/>
  <c r="G30" i="4"/>
  <c r="G29" i="4"/>
  <c r="G28" i="4"/>
  <c r="G27" i="4"/>
  <c r="G26" i="4"/>
  <c r="G25" i="4"/>
  <c r="G14" i="4"/>
  <c r="G15" i="4"/>
  <c r="G16" i="4"/>
  <c r="G17" i="4"/>
  <c r="G18" i="4"/>
  <c r="G19" i="4"/>
  <c r="G20" i="4"/>
  <c r="G21" i="4"/>
  <c r="G22" i="4"/>
  <c r="G13" i="4"/>
  <c r="D47" i="4"/>
  <c r="F47" i="4"/>
  <c r="D35" i="4"/>
  <c r="F35" i="4"/>
  <c r="D23" i="4"/>
  <c r="F23" i="4"/>
  <c r="C32" i="7"/>
  <c r="C33" i="7"/>
  <c r="C34" i="7"/>
  <c r="C35" i="7"/>
  <c r="C36" i="7"/>
  <c r="C37" i="7"/>
  <c r="C38" i="7"/>
  <c r="C39" i="7"/>
  <c r="C40" i="7"/>
  <c r="C31" i="7"/>
  <c r="C21" i="7"/>
  <c r="C22" i="7"/>
  <c r="C23" i="7"/>
  <c r="C24" i="7"/>
  <c r="C25" i="7"/>
  <c r="C26" i="7"/>
  <c r="C27" i="7"/>
  <c r="C28" i="7"/>
  <c r="C29" i="7"/>
  <c r="C20" i="7"/>
  <c r="C10" i="7"/>
  <c r="C11" i="7"/>
  <c r="C12" i="7"/>
  <c r="C13" i="7"/>
  <c r="C14" i="7"/>
  <c r="C15" i="7"/>
  <c r="C16" i="7"/>
  <c r="C17" i="7"/>
  <c r="C18" i="7"/>
  <c r="C9" i="7"/>
  <c r="B31" i="7"/>
  <c r="B20" i="7"/>
  <c r="B9" i="7"/>
  <c r="B37" i="4"/>
  <c r="B25" i="4"/>
  <c r="B13" i="4"/>
  <c r="E40" i="7"/>
  <c r="E29" i="7"/>
  <c r="E26" i="7"/>
  <c r="E35" i="7"/>
  <c r="E18" i="7"/>
  <c r="E28" i="7"/>
  <c r="E15" i="7"/>
  <c r="E25" i="7"/>
  <c r="E31" i="7"/>
  <c r="E11" i="7"/>
  <c r="E27" i="7"/>
  <c r="E21" i="7"/>
  <c r="E13" i="7"/>
  <c r="E23" i="7"/>
  <c r="E33" i="7"/>
  <c r="E17" i="7"/>
  <c r="E24" i="7"/>
  <c r="E16" i="7"/>
  <c r="E39" i="7"/>
  <c r="E38" i="7"/>
  <c r="E9" i="7"/>
  <c r="E20" i="7"/>
  <c r="E22" i="7"/>
  <c r="E37" i="7"/>
  <c r="E12" i="7"/>
  <c r="E36" i="7"/>
  <c r="E14" i="7"/>
  <c r="E32" i="7"/>
  <c r="E10" i="7"/>
  <c r="E34" i="7"/>
  <c r="F10" i="7"/>
  <c r="F9" i="7"/>
  <c r="F15" i="7"/>
  <c r="F12" i="7"/>
  <c r="F13" i="7"/>
  <c r="F16" i="7"/>
  <c r="F18" i="7"/>
  <c r="F11" i="7"/>
  <c r="F17" i="7"/>
  <c r="F14" i="7"/>
  <c r="E43" i="22" l="1"/>
  <c r="I37" i="22"/>
  <c r="E17" i="6" l="1"/>
  <c r="F6" i="24"/>
  <c r="F39" i="22" s="1"/>
  <c r="F7" i="24"/>
  <c r="F38" i="22" s="1"/>
  <c r="Q56" i="22"/>
  <c r="Q40" i="28" s="1"/>
  <c r="Q57" i="22"/>
  <c r="Q41" i="28" s="1"/>
  <c r="Q58" i="22"/>
  <c r="Q42" i="28" s="1"/>
  <c r="D17" i="6" l="1"/>
  <c r="B8" i="19"/>
  <c r="E24" i="6"/>
  <c r="I24" i="6"/>
  <c r="E23" i="24"/>
  <c r="G2" i="19"/>
  <c r="F23" i="24" l="1"/>
  <c r="F29" i="7"/>
  <c r="F33" i="7" l="1"/>
  <c r="F28" i="7"/>
  <c r="F20" i="7"/>
  <c r="F24" i="7"/>
  <c r="F21" i="7"/>
  <c r="F23" i="7"/>
  <c r="F26" i="7"/>
  <c r="F22" i="7"/>
  <c r="F25" i="7"/>
  <c r="F27" i="7"/>
  <c r="F36" i="7" l="1"/>
  <c r="F31" i="7"/>
  <c r="F32" i="7"/>
  <c r="F37" i="7"/>
  <c r="F35" i="7"/>
  <c r="F34" i="7"/>
  <c r="F39" i="7"/>
  <c r="F38" i="7"/>
  <c r="F40" i="7"/>
  <c r="B10" i="19"/>
  <c r="B12" i="19" l="1"/>
  <c r="B11" i="19"/>
  <c r="B13" i="19" l="1"/>
</calcChain>
</file>

<file path=xl/sharedStrings.xml><?xml version="1.0" encoding="utf-8"?>
<sst xmlns="http://schemas.openxmlformats.org/spreadsheetml/2006/main" count="1125" uniqueCount="429">
  <si>
    <t>CA</t>
  </si>
  <si>
    <t>County</t>
  </si>
  <si>
    <t>Beets</t>
  </si>
  <si>
    <t>Yes</t>
  </si>
  <si>
    <t>No</t>
  </si>
  <si>
    <t>Field Location</t>
  </si>
  <si>
    <t>Rows Sampled</t>
  </si>
  <si>
    <t>Length of Rows (ft.)</t>
  </si>
  <si>
    <t>Spacing of Rows (ft.)</t>
  </si>
  <si>
    <t>Sample Number</t>
  </si>
  <si>
    <t>Average</t>
  </si>
  <si>
    <t>Acres Planted</t>
  </si>
  <si>
    <t>Acres Harvested</t>
  </si>
  <si>
    <t>Immature Acres</t>
  </si>
  <si>
    <t>Alternative Crop Destinations for walk-by and in-field losses</t>
  </si>
  <si>
    <t>Not harvested/plowed in</t>
  </si>
  <si>
    <t>Packinghouse Loss</t>
  </si>
  <si>
    <t>Pounds</t>
  </si>
  <si>
    <t>Contracts/Buyers</t>
  </si>
  <si>
    <t>Please make sure metric units are consistent</t>
  </si>
  <si>
    <t>Buyer/Contracts</t>
  </si>
  <si>
    <t>Contracted Acres Planted/Tons</t>
  </si>
  <si>
    <t>Acres/Tons (please select one)</t>
  </si>
  <si>
    <t>Percent of Contract Fulfilled</t>
  </si>
  <si>
    <t>Inverse of Contract Fulfilled</t>
  </si>
  <si>
    <t>Total</t>
  </si>
  <si>
    <t>% Responsibility</t>
  </si>
  <si>
    <t>Allocated Loss</t>
  </si>
  <si>
    <t>Specialty Crop Yields</t>
  </si>
  <si>
    <t>Vlookup</t>
  </si>
  <si>
    <t>Crop</t>
  </si>
  <si>
    <t>State</t>
  </si>
  <si>
    <t>Yield (2017)</t>
  </si>
  <si>
    <t>Unit</t>
  </si>
  <si>
    <t xml:space="preserve">Apples </t>
  </si>
  <si>
    <t>lb/acre</t>
  </si>
  <si>
    <t>Apricots</t>
  </si>
  <si>
    <t>Artichokes</t>
  </si>
  <si>
    <t>Asparagus</t>
  </si>
  <si>
    <t>Avocados</t>
  </si>
  <si>
    <t>Bananas</t>
  </si>
  <si>
    <t>Blackberries</t>
  </si>
  <si>
    <t>Blueberries</t>
  </si>
  <si>
    <t>MI</t>
  </si>
  <si>
    <t>Bok Choy</t>
  </si>
  <si>
    <t>Boysenberries</t>
  </si>
  <si>
    <t>OR</t>
  </si>
  <si>
    <t>Broccoli</t>
  </si>
  <si>
    <t>Brussels Sprouts</t>
  </si>
  <si>
    <t>Cabbage</t>
  </si>
  <si>
    <t>Cantaloups</t>
  </si>
  <si>
    <t>Carrots</t>
  </si>
  <si>
    <t>Cauliflower</t>
  </si>
  <si>
    <t>Celery</t>
  </si>
  <si>
    <t>Cherries</t>
  </si>
  <si>
    <t>Cranberries</t>
  </si>
  <si>
    <t>NJ</t>
  </si>
  <si>
    <t>Cucumbers</t>
  </si>
  <si>
    <t>Dates</t>
  </si>
  <si>
    <t>Dragon Fruit</t>
  </si>
  <si>
    <t>Eggplant</t>
  </si>
  <si>
    <t>Figs</t>
  </si>
  <si>
    <t>Garlic</t>
  </si>
  <si>
    <t>Grapefruit</t>
  </si>
  <si>
    <t>FL</t>
  </si>
  <si>
    <t>boxes/acre</t>
  </si>
  <si>
    <t>Grapes</t>
  </si>
  <si>
    <t>Green peas</t>
  </si>
  <si>
    <t>MN</t>
  </si>
  <si>
    <t>Honeydew</t>
  </si>
  <si>
    <t>Kale</t>
  </si>
  <si>
    <t>Kiwi</t>
  </si>
  <si>
    <t>Kohlrabi</t>
  </si>
  <si>
    <t>Leeks</t>
  </si>
  <si>
    <t>Lemons</t>
  </si>
  <si>
    <t>Lettuce Head</t>
  </si>
  <si>
    <t>Lettuce Romaine</t>
  </si>
  <si>
    <t>Lettuce Leaf</t>
  </si>
  <si>
    <t>Limes</t>
  </si>
  <si>
    <t>Mangoes</t>
  </si>
  <si>
    <t>Mushrooms</t>
  </si>
  <si>
    <t>Nectarines</t>
  </si>
  <si>
    <t>Okra</t>
  </si>
  <si>
    <t>Olives</t>
  </si>
  <si>
    <t>Onions</t>
  </si>
  <si>
    <t>Oranges</t>
  </si>
  <si>
    <t>Parsnips</t>
  </si>
  <si>
    <t>Peaches</t>
  </si>
  <si>
    <t>Pears</t>
  </si>
  <si>
    <t>Peppers</t>
  </si>
  <si>
    <t>Persimmons</t>
  </si>
  <si>
    <t>Pineapple</t>
  </si>
  <si>
    <t>Plums</t>
  </si>
  <si>
    <t>Potatoes</t>
  </si>
  <si>
    <t>ID</t>
  </si>
  <si>
    <t>WA</t>
  </si>
  <si>
    <t>Pumpkins</t>
  </si>
  <si>
    <t>Radishes</t>
  </si>
  <si>
    <t>Raspberries</t>
  </si>
  <si>
    <t>Rutabega</t>
  </si>
  <si>
    <t>Shallots</t>
  </si>
  <si>
    <t>Snap beans</t>
  </si>
  <si>
    <t>WI</t>
  </si>
  <si>
    <t>Spinach</t>
  </si>
  <si>
    <t>AZ</t>
  </si>
  <si>
    <t>Squash</t>
  </si>
  <si>
    <t>Strawberries</t>
  </si>
  <si>
    <t>Sweet Corn</t>
  </si>
  <si>
    <t>Sweet Potato</t>
  </si>
  <si>
    <t>Tangerines</t>
  </si>
  <si>
    <t>Tomato</t>
  </si>
  <si>
    <t>Turnip</t>
  </si>
  <si>
    <t>Watermelon</t>
  </si>
  <si>
    <t>Winter Squash</t>
  </si>
  <si>
    <t>% Loss</t>
  </si>
  <si>
    <t>Source</t>
  </si>
  <si>
    <t>https://horticulture.com.au/wp-content/uploads/2017/02/Cabbage-Postharvest-guide.pdf</t>
  </si>
  <si>
    <t>https://ag.umass.edu/sites/ag.umass.edu/files/pdf-doc-ppt/postharvest_for_carrots_nevfc_12_16_2013.pdf</t>
  </si>
  <si>
    <t>Celeriac</t>
  </si>
  <si>
    <t>Includes original curing moisture loss + 30 weeks storage, moisture loss varies by onion size: J 1%; L 13%; M 25%; S 40% http://hortsci.ashspublications.org/content/31/5/755.1.abstract</t>
  </si>
  <si>
    <t>https://www.uidaho.edu/-/media/UIdaho-Responsive/Files/cals/programs/potatoes/Storage/weight-loss-in-potatoes.ashx?la=en&amp;hash=6E3EF0BA2A47F8F0F8E79A9FC503BE8AAE7F6A81</t>
  </si>
  <si>
    <t>Rutabaga</t>
  </si>
  <si>
    <t>https://www.researchgate.net/publication/276848688_Rutabaga</t>
  </si>
  <si>
    <t>Per month http://ucanr.edu/datastoreFiles/234-1080.pdf</t>
  </si>
  <si>
    <t>Winter Squash and Pie Pumpkins</t>
  </si>
  <si>
    <t>Recommended that all winter squash have below 15% moisture loss http://horticulture.oregonstate.edu/content/squash-pumpkin-and-winter</t>
  </si>
  <si>
    <t>http://postharvest.tfrec.wsu.edu/pages/J2I3B - Humidity Management in CA Storages, 1991</t>
  </si>
  <si>
    <t>Type of Loss</t>
  </si>
  <si>
    <t>Reasons for Loss</t>
  </si>
  <si>
    <t xml:space="preserve">Walk-By Loss </t>
  </si>
  <si>
    <t>Marketable In-Field Loss (Measured)</t>
  </si>
  <si>
    <t>Transport Loss</t>
  </si>
  <si>
    <t>Processing Facility Loss</t>
  </si>
  <si>
    <t>Storage Loss</t>
  </si>
  <si>
    <t>Rejected Loss</t>
  </si>
  <si>
    <t>Walk-By Loss</t>
  </si>
  <si>
    <t>End of Life Options</t>
  </si>
  <si>
    <t>Crop Types</t>
  </si>
  <si>
    <t>Yes/No</t>
  </si>
  <si>
    <t>Redistributed to people through alternative markets</t>
  </si>
  <si>
    <t>Animal feed</t>
  </si>
  <si>
    <t>Codigestion/anaerobic digestion</t>
  </si>
  <si>
    <t>Composting/aerobic digestion</t>
  </si>
  <si>
    <t>Controlled combustion</t>
  </si>
  <si>
    <t>Land application</t>
  </si>
  <si>
    <t>Landfill</t>
  </si>
  <si>
    <t>Refuse/discards/litter</t>
  </si>
  <si>
    <t>Packinghouse</t>
  </si>
  <si>
    <t>Processing</t>
  </si>
  <si>
    <t>Storage</t>
  </si>
  <si>
    <t>In-Field Loss</t>
  </si>
  <si>
    <t>Other</t>
  </si>
  <si>
    <t>Harvest</t>
  </si>
  <si>
    <t>Corn</t>
  </si>
  <si>
    <t>-</t>
  </si>
  <si>
    <t>Insufficient storage</t>
  </si>
  <si>
    <t>Insufficient labor</t>
  </si>
  <si>
    <t xml:space="preserve">Processing Loss </t>
  </si>
  <si>
    <t>On Farm Units</t>
  </si>
  <si>
    <t>Acres</t>
  </si>
  <si>
    <t>Tons</t>
  </si>
  <si>
    <t>Supply Chain Units</t>
  </si>
  <si>
    <t>barrels/acre</t>
  </si>
  <si>
    <t>cwt/acre</t>
  </si>
  <si>
    <t>tons/acre</t>
  </si>
  <si>
    <t>lb/sq ft</t>
  </si>
  <si>
    <t>Snap peas</t>
  </si>
  <si>
    <t>Zucchini</t>
  </si>
  <si>
    <t>EDIBLE LOSS</t>
  </si>
  <si>
    <t>MARKETABLE LOSS</t>
  </si>
  <si>
    <t>Scenario 1</t>
  </si>
  <si>
    <t>Scenario 2</t>
  </si>
  <si>
    <t>Scenario 3</t>
  </si>
  <si>
    <t>Scenario 4</t>
  </si>
  <si>
    <t>Packaging Unit</t>
  </si>
  <si>
    <t>box</t>
  </si>
  <si>
    <t>bin</t>
  </si>
  <si>
    <t>carton</t>
  </si>
  <si>
    <t>Rejection- crop returned by buyer/processor (lb.)</t>
  </si>
  <si>
    <t>CROP UTILIZATION (%)</t>
  </si>
  <si>
    <t>Total Harvested Yield (lb.)</t>
  </si>
  <si>
    <t>Input</t>
  </si>
  <si>
    <t>Definition</t>
  </si>
  <si>
    <t>Rejection</t>
  </si>
  <si>
    <t xml:space="preserve">In-Field Loss </t>
  </si>
  <si>
    <t>Transportation Loss</t>
  </si>
  <si>
    <t>Loss that occurs from the field to the next operational stage on farm. (e.g., grading and packing house)</t>
  </si>
  <si>
    <t>Any product lost during pre-processing or processing on the farm before the product is sent to market.</t>
  </si>
  <si>
    <t>Product lost in storage facilities on farm.</t>
  </si>
  <si>
    <t xml:space="preserve">Product that is returned to the farm </t>
  </si>
  <si>
    <t>Packinghouse  Loss</t>
  </si>
  <si>
    <t>On-farm Processing Loss</t>
  </si>
  <si>
    <t>Total Harvested Yield</t>
  </si>
  <si>
    <t>Total Harvested Yield (pounds)</t>
  </si>
  <si>
    <t>Yield Per Acre (pounds)</t>
  </si>
  <si>
    <t>The total amount of fruit/vegetables in pounds a plant/crop should produce under annual weather &amp; resource conditions, or did produce during a harvest that occurred during this same season of measurement.</t>
  </si>
  <si>
    <t xml:space="preserve">Acres that are planted, but due to weather or pest damage during the growing window never reach maturity and therefore are never ready for harvest. </t>
  </si>
  <si>
    <t>Product that was missed by harvesters or equipment, or left in field due to quality specifications during the harvest.</t>
  </si>
  <si>
    <t>Walk-by loss</t>
  </si>
  <si>
    <t>Crop left in a field that was ready for harvest but was never harvested.</t>
  </si>
  <si>
    <t xml:space="preserve">Marketable </t>
  </si>
  <si>
    <t>Crop that meets buyers’ current quality specifications.</t>
  </si>
  <si>
    <t>Crop that does not meet buyer’ current quality specifications but is still considered edible for human consumption.</t>
  </si>
  <si>
    <t xml:space="preserve">Total amount (in acres) of field(s) per crop that are harvested </t>
  </si>
  <si>
    <t>Pounds Entering Storage</t>
  </si>
  <si>
    <t>Pounds Received at Processing Facility</t>
  </si>
  <si>
    <t>Quantity Leaving Packinghouse</t>
  </si>
  <si>
    <t>Quantity Received at Packinghouse</t>
  </si>
  <si>
    <t>pounds</t>
  </si>
  <si>
    <t>Pounds Received at Packinghouse</t>
  </si>
  <si>
    <t>Pounds Leaving Packinghouse</t>
  </si>
  <si>
    <t>Quantity Received at Processing Facility</t>
  </si>
  <si>
    <t>Quantity Leaving Processing Facility</t>
  </si>
  <si>
    <t>Quantity Received at Storage</t>
  </si>
  <si>
    <t>Quantity Leaving Storage</t>
  </si>
  <si>
    <t>Avg Weight of packed containers (lb.)</t>
  </si>
  <si>
    <t>containers</t>
  </si>
  <si>
    <t>Date Sampled (mm/dd/yy)</t>
  </si>
  <si>
    <t>Not marketable</t>
  </si>
  <si>
    <t>Marketable but not profitable</t>
  </si>
  <si>
    <t>Food safety concerns</t>
  </si>
  <si>
    <t>Lack of buyer</t>
  </si>
  <si>
    <t>Harvested product graded out or damaged during grading and sorting within the packing house.</t>
  </si>
  <si>
    <t>Culled: Damaged</t>
  </si>
  <si>
    <t>Culled: Not marketable</t>
  </si>
  <si>
    <t>Culled: Inedible</t>
  </si>
  <si>
    <t>Inedible: Crop rotted</t>
  </si>
  <si>
    <t xml:space="preserve">Environmental factors: Harvest conditions were not ideal </t>
  </si>
  <si>
    <t>Insufficient Labor: Marketable but not harvestable</t>
  </si>
  <si>
    <t>Inedible</t>
  </si>
  <si>
    <t>Edible, Not Marketable In-Field Loss (Measured)</t>
  </si>
  <si>
    <t xml:space="preserve">Edible, Not Marketable </t>
  </si>
  <si>
    <t>Crop that is damaged, diseased, showing signs of decay, or over mature</t>
  </si>
  <si>
    <t>Order of Operations</t>
  </si>
  <si>
    <t>Sheet</t>
  </si>
  <si>
    <t>Moisture Content i</t>
  </si>
  <si>
    <t>Moisture Content f</t>
  </si>
  <si>
    <t>Pounds Leaving Processing Facility</t>
  </si>
  <si>
    <t>Initial moisture content % of product (e.g., for harvested apples)</t>
  </si>
  <si>
    <t>Final moisture content % of product (e.g., for apples after dried down)</t>
  </si>
  <si>
    <t>Pounds Leaving Storage</t>
  </si>
  <si>
    <t>Output</t>
  </si>
  <si>
    <t>Crop Reported</t>
  </si>
  <si>
    <t>Transport Loss between steps</t>
  </si>
  <si>
    <t>Transport Input</t>
  </si>
  <si>
    <t>Transport Output</t>
  </si>
  <si>
    <t>Product Loss excluding moisture loss</t>
  </si>
  <si>
    <t>Moisture content % of product (Optional)</t>
  </si>
  <si>
    <t>Inedible, product</t>
  </si>
  <si>
    <t>Sq Ft in 1 acre</t>
  </si>
  <si>
    <t>Field/Block Size (acres)</t>
  </si>
  <si>
    <t>EDIBLE LOSS (IN-FIELD)</t>
  </si>
  <si>
    <t>MARKETABLE LOSS (IN-FIELD)</t>
  </si>
  <si>
    <t>Percent of a crop that was planted, raised to maturity, and harvested for its intended or alternative market</t>
  </si>
  <si>
    <t>Crop left in-field that does not meet buyers' current quality specifications but is still considered edible for human consumption</t>
  </si>
  <si>
    <t>Crop loss that meets buyers' current quality expectations</t>
  </si>
  <si>
    <t>Order or Operations</t>
  </si>
  <si>
    <t>Inedible In-Field Loss (Measured)</t>
  </si>
  <si>
    <t>Yield per Acre (lb./acre)</t>
  </si>
  <si>
    <t>INEDIBLE LOSS</t>
  </si>
  <si>
    <t>Product Loss (lbs)</t>
  </si>
  <si>
    <t>Product Loss adjusted for Moisture Fluctuations (lbs)</t>
  </si>
  <si>
    <t>Loss per Acre Harvested (lb/acre)</t>
  </si>
  <si>
    <t>Loss per Acre Harvested, adjusted for Moisture Fluctuations (lb/acre)</t>
  </si>
  <si>
    <t>adjusted for Moisture Fluctuations</t>
  </si>
  <si>
    <t>INEDIBLE LOSS (IN-FIELD)</t>
  </si>
  <si>
    <t>PRODUCT LOSS PER ACRES HARVESTED</t>
  </si>
  <si>
    <t>REASONS FOR LOSS</t>
  </si>
  <si>
    <t>DESTINATIONS FOR LOSS</t>
  </si>
  <si>
    <t>Total amount (in acres) of field(s) put into production for the specific crop of interest. (Walk-by + Immature + Harvested = Planted)</t>
  </si>
  <si>
    <t>Walk-by Acres</t>
  </si>
  <si>
    <t>Bio-based materials</t>
  </si>
  <si>
    <t>Opportunity ($/acre)</t>
  </si>
  <si>
    <t>Harvest Start (mm/ddyy)</t>
  </si>
  <si>
    <t>Harvest End (mm/dd/yy)</t>
  </si>
  <si>
    <t>Sample %</t>
  </si>
  <si>
    <t>For the Visual Dashboard:</t>
  </si>
  <si>
    <t>Input costs</t>
  </si>
  <si>
    <t>Avg Weight of Packed Containers (lb.)</t>
  </si>
  <si>
    <t>$/lb</t>
  </si>
  <si>
    <t>$/container</t>
  </si>
  <si>
    <t>Opportunity inputs</t>
  </si>
  <si>
    <t>Wholesale Price for Marketable Product</t>
  </si>
  <si>
    <t>lb</t>
  </si>
  <si>
    <t>container</t>
  </si>
  <si>
    <t>Units</t>
  </si>
  <si>
    <t>Product Loss (adjusted for Moisture Fluctuations)</t>
  </si>
  <si>
    <t>TOTAL LOSS</t>
  </si>
  <si>
    <t>Field/Block</t>
  </si>
  <si>
    <t>Input Costs &amp; Wholesale Price for Marketable Product Unit</t>
  </si>
  <si>
    <t>Sample Weights (lbs)</t>
  </si>
  <si>
    <t>Marketable</t>
  </si>
  <si>
    <t>Edible, Not Marketable</t>
  </si>
  <si>
    <t>Loss Destination</t>
  </si>
  <si>
    <t>Percentage to Destination</t>
  </si>
  <si>
    <t>Reason crop was not harvested</t>
  </si>
  <si>
    <t>Percentage for this reason</t>
  </si>
  <si>
    <t>Reason 1</t>
  </si>
  <si>
    <t>Reason 2</t>
  </si>
  <si>
    <t>Reason 3</t>
  </si>
  <si>
    <t>Destination 1</t>
  </si>
  <si>
    <t>Destination 2</t>
  </si>
  <si>
    <t>Destination 3</t>
  </si>
  <si>
    <t>Field Worksheet / Walk-by In-field</t>
  </si>
  <si>
    <t>Reason for crop loss</t>
  </si>
  <si>
    <t>Moisture content (optional)</t>
  </si>
  <si>
    <t>Transport</t>
  </si>
  <si>
    <t>TRANSPORT LOSS</t>
  </si>
  <si>
    <t>PACKINGHOUSE LOSS</t>
  </si>
  <si>
    <t>PROCESSING LOSS</t>
  </si>
  <si>
    <t>STORAGE LOSS</t>
  </si>
  <si>
    <t>Walk-by In-field</t>
  </si>
  <si>
    <t>Other Potential Sources of Loss</t>
  </si>
  <si>
    <t xml:space="preserve">40 acres </t>
  </si>
  <si>
    <t>Example</t>
  </si>
  <si>
    <t>= 58.08 ft</t>
  </si>
  <si>
    <t>This row is populated from YoY data.</t>
  </si>
  <si>
    <r>
      <t>1</t>
    </r>
    <r>
      <rPr>
        <b/>
        <sz val="9"/>
        <color theme="1" tint="0.499984740745262"/>
        <rFont val="Calibri"/>
        <family val="2"/>
        <scheme val="minor"/>
      </rPr>
      <t xml:space="preserve">. PACKED IN BINS AT 50% WHOLESALE PRICE
</t>
    </r>
    <r>
      <rPr>
        <sz val="9"/>
        <color theme="1" tint="0.499984740745262"/>
        <rFont val="Calibri"/>
        <family val="2"/>
        <scheme val="minor"/>
      </rPr>
      <t>When marketable and edible product are offered for sale in secondary market channels, paying growers 50% of the value of USDA No. 1 grade products.</t>
    </r>
  </si>
  <si>
    <r>
      <t xml:space="preserve">2. </t>
    </r>
    <r>
      <rPr>
        <b/>
        <sz val="9"/>
        <color theme="1" tint="0.499984740745262"/>
        <rFont val="Calibri"/>
        <family val="2"/>
        <scheme val="minor"/>
      </rPr>
      <t xml:space="preserve">FIELD PACKED, SOLD IN BINS AT FOOD BANK $/LB. 
</t>
    </r>
    <r>
      <rPr>
        <sz val="9"/>
        <color theme="1" tint="0.499984740745262"/>
        <rFont val="Calibri"/>
        <family val="2"/>
        <scheme val="minor"/>
      </rPr>
      <t>When marketable and edible product is offered for sale to food banks or other secondary channels using the price input on this sheet.</t>
    </r>
  </si>
  <si>
    <r>
      <t xml:space="preserve">3. </t>
    </r>
    <r>
      <rPr>
        <b/>
        <sz val="9"/>
        <color theme="1" tint="0.499984740745262"/>
        <rFont val="Calibri"/>
        <family val="2"/>
        <scheme val="minor"/>
      </rPr>
      <t xml:space="preserve">PACKED IN CARTONS FOR WHOLESALE, EDIBLE PRODUCT PACKED IN BINS AT 50% WHOLESALE PRICE 
</t>
    </r>
    <r>
      <rPr>
        <sz val="9"/>
        <color theme="1" tint="0.499984740745262"/>
        <rFont val="Calibri"/>
        <family val="2"/>
        <scheme val="minor"/>
      </rPr>
      <t>When marketable product is offered at full, wholesale price and edible products is offered at 50% of the value of USDA No. 1 grade products for edible.</t>
    </r>
  </si>
  <si>
    <r>
      <t xml:space="preserve">4. </t>
    </r>
    <r>
      <rPr>
        <b/>
        <sz val="9"/>
        <color theme="1" tint="0.499984740745262"/>
        <rFont val="Calibri"/>
        <family val="2"/>
        <scheme val="minor"/>
      </rPr>
      <t xml:space="preserve">MARKETABLE PRODUCT PACKED IN CARTONS, EDIBLE PRODUCT PACKED IN BINS
</t>
    </r>
    <r>
      <rPr>
        <sz val="9"/>
        <color theme="1" tint="0.499984740745262"/>
        <rFont val="Calibri"/>
        <family val="2"/>
        <scheme val="minor"/>
      </rPr>
      <t>When marketable product is offered at full, wholesale price and edible product is offered for sale at food banks or another secondary channel using the price input on this sheet.</t>
    </r>
  </si>
  <si>
    <t>required</t>
  </si>
  <si>
    <t>optional</t>
  </si>
  <si>
    <t>auto-calculated</t>
  </si>
  <si>
    <t>Blue</t>
  </si>
  <si>
    <t>Underlined</t>
  </si>
  <si>
    <t>Grey</t>
  </si>
  <si>
    <t>cells are optional.</t>
  </si>
  <si>
    <t xml:space="preserve">cells are calculated for you. </t>
  </si>
  <si>
    <t>If you are measuring trees, use 1%.</t>
  </si>
  <si>
    <t>Initial moisture content % of product</t>
  </si>
  <si>
    <t>e.g., for harvested apples</t>
  </si>
  <si>
    <t>e.g., for apples after dried down</t>
  </si>
  <si>
    <t>Final moisture content % of product</t>
  </si>
  <si>
    <t>Moisture content % of product</t>
  </si>
  <si>
    <t>Units for below</t>
  </si>
  <si>
    <t>Inedible Product</t>
  </si>
  <si>
    <t>WALK-BY IN-FIELD</t>
  </si>
  <si>
    <t>Metric Table</t>
  </si>
  <si>
    <t>A summary of your results, which feeds the Visual Dashboard.</t>
  </si>
  <si>
    <t>Check your work</t>
  </si>
  <si>
    <t>Verify the automated calculations made in this tab based on the inputs you provided in the required tabs.</t>
  </si>
  <si>
    <t>Glossary</t>
  </si>
  <si>
    <t>If you'd like clarity on inputs, you may find it here.</t>
  </si>
  <si>
    <t>Description</t>
  </si>
  <si>
    <t>Tab color</t>
  </si>
  <si>
    <t>Cell color</t>
  </si>
  <si>
    <t xml:space="preserve"> = 1742.4 sq. ft</t>
  </si>
  <si>
    <t>Quick start video ( 5 min)</t>
  </si>
  <si>
    <t>Sample 1</t>
  </si>
  <si>
    <t>Sample 2</t>
  </si>
  <si>
    <t>Sample 3</t>
  </si>
  <si>
    <t>Table of Contents</t>
  </si>
  <si>
    <t>Add'l Harvest Data</t>
  </si>
  <si>
    <t>Add'l Loss Data</t>
  </si>
  <si>
    <t>Add'l Reasons for Loss</t>
  </si>
  <si>
    <t>Add'l Visual Dashboard</t>
  </si>
  <si>
    <t>Add'l Metric Table</t>
  </si>
  <si>
    <t>Add'l Check your work</t>
  </si>
  <si>
    <t>Verify the automated calculations made in this tab based on the inputs you provided in the "Add'l" tabs.</t>
  </si>
  <si>
    <t>Optional tabs. See more on the Optional Information tab.</t>
  </si>
  <si>
    <t xml:space="preserve">cells indicate mandatory inputs essential for the Visual Dashboard. </t>
  </si>
  <si>
    <t>Calculating sample row length</t>
  </si>
  <si>
    <t>low yields due to quality</t>
  </si>
  <si>
    <t>This row is populated from the "Harvest Data" tab.</t>
  </si>
  <si>
    <t>UNITS</t>
  </si>
  <si>
    <t>Opportunity Cost</t>
  </si>
  <si>
    <t>CROP UTILIZATION</t>
  </si>
  <si>
    <t>Field Worksheet</t>
  </si>
  <si>
    <t>Complete the inputs below to calculate "Length of Rows" before going into the field to sample.</t>
  </si>
  <si>
    <t>Year</t>
  </si>
  <si>
    <t>Feel free to override this number with one that makes sense for your sampling.</t>
  </si>
  <si>
    <t>Record reasons for loss, alternative destinations for loss, and moisture loss fluctuations here.</t>
  </si>
  <si>
    <t>Would you like to compare your crop over multiple years, or across multiple fields/blocks in the same year?</t>
  </si>
  <si>
    <t>TOTAL LOSS/ACRE</t>
  </si>
  <si>
    <t>Input data for year or field/block 2 and 3 here.</t>
  </si>
  <si>
    <t>View your results for all 3 years or field/blocks here.</t>
  </si>
  <si>
    <t>A summary of your results, which feeds the Visual Dashboard, for year or field/block 2 and 3.</t>
  </si>
  <si>
    <t>Describe if "other;" or  qualify your reason here.</t>
  </si>
  <si>
    <t xml:space="preserve">Gather measurement tools (scale and a printout of this sheet). </t>
  </si>
  <si>
    <t>Go into the field, mark rows randomly (or selected number of trees to measure around), and harvest rows.</t>
  </si>
  <si>
    <t>Sort samples into the categories listed below.</t>
  </si>
  <si>
    <t>Weigh and record samples in each category.</t>
  </si>
  <si>
    <r>
      <rPr>
        <b/>
        <sz val="8"/>
        <color theme="1" tint="0.499984740745262"/>
        <rFont val="Calibri"/>
        <family val="2"/>
        <scheme val="minor"/>
      </rPr>
      <t>REMINDER</t>
    </r>
    <r>
      <rPr>
        <sz val="8"/>
        <color theme="1" tint="0.499984740745262"/>
        <rFont val="Calibri"/>
        <family val="2"/>
        <scheme val="minor"/>
      </rPr>
      <t xml:space="preserve"> Collect your samples as close to the end of harvest season as possible.</t>
    </r>
  </si>
  <si>
    <t>Field or Block size in acres</t>
  </si>
  <si>
    <t xml:space="preserve">x 43,560 Sq.ft/acre </t>
  </si>
  <si>
    <t>x 0.1% sample</t>
  </si>
  <si>
    <t xml:space="preserve"> = total field sample in SqFt</t>
  </si>
  <si>
    <t xml:space="preserve"> = sample row length for 3 rows in Ft</t>
  </si>
  <si>
    <t>x 43,560 Sq.ft/acre</t>
  </si>
  <si>
    <t xml:space="preserve">x 0.1% </t>
  </si>
  <si>
    <t>/ 3 rows</t>
  </si>
  <si>
    <t xml:space="preserve">Total field sample SqFt </t>
  </si>
  <si>
    <t>/ row spacing in Ft</t>
  </si>
  <si>
    <t xml:space="preserve">1742.4 sq. ft </t>
  </si>
  <si>
    <t>/ 10 ft row spacing</t>
  </si>
  <si>
    <t>END OF SECTION. MOVE TO NEXT TAB</t>
  </si>
  <si>
    <t>For Visual Dashboard chart:</t>
  </si>
  <si>
    <t>Harvest Data</t>
  </si>
  <si>
    <t>Opportunity Inputs</t>
  </si>
  <si>
    <t xml:space="preserve">Use this tab to capture general data of your farm and full harvest. </t>
  </si>
  <si>
    <t>The next tab will be used to record data on your sample size, and other operations if applicable.</t>
  </si>
  <si>
    <t>The inputs below help identify your opportunity cost of harvesting marketable and edible product left in-field, which can be viewed in the Visual Dashboard.</t>
  </si>
  <si>
    <t>END OF SECTION. MOVE TO SECTION BELOW, IF APPLICABLE</t>
  </si>
  <si>
    <t>The Visual Dashboard automatically outputs results in pounds (lbs). If you'd like to see your results in Containers, please select containers in the UNITS dropdown.</t>
  </si>
  <si>
    <t>If you'd like to view the Metric Table in Containers or in Lbs, please select your preference in the Visual Dashboard tab.</t>
  </si>
  <si>
    <t>EDIBLE LOSS , not marketable</t>
  </si>
  <si>
    <t xml:space="preserve">Since each year can vary in terms of loss, we recommend gathering data for three years to establish the most reliable average loss value for that crop. If, instead of multiple years, you'd like to measure loss across multiple fields or blocks for the same crop, simply change "Year" to "Field/Block". </t>
  </si>
  <si>
    <t>Inputs required.</t>
  </si>
  <si>
    <t>No inputs required.</t>
  </si>
  <si>
    <t>Harvest Date</t>
  </si>
  <si>
    <t>Harvested Acres</t>
  </si>
  <si>
    <t>Sample Date</t>
  </si>
  <si>
    <t>Sampled Acres</t>
  </si>
  <si>
    <t>Sampled Field</t>
  </si>
  <si>
    <t>Input Stages</t>
  </si>
  <si>
    <t>(transport if applicable)</t>
  </si>
  <si>
    <t>Destinations of Loss by Stage (optional tab)</t>
  </si>
  <si>
    <t>Reasons for Loss by Stage (optional tab)</t>
  </si>
  <si>
    <t>Food Bank Price per pound</t>
  </si>
  <si>
    <r>
      <t xml:space="preserve">Select the stages post-harvest in the </t>
    </r>
    <r>
      <rPr>
        <b/>
        <sz val="10"/>
        <color theme="1" tint="0.499984740745262"/>
        <rFont val="Calibri"/>
        <family val="2"/>
        <scheme val="minor"/>
      </rPr>
      <t>dropdowns</t>
    </r>
    <r>
      <rPr>
        <sz val="10"/>
        <color theme="1" tint="0.499984740745262"/>
        <rFont val="Calibri"/>
        <family val="2"/>
        <scheme val="minor"/>
      </rPr>
      <t xml:space="preserve"> below--transport loss between stages will be calculated for you.
Select the stages in the order that the harvest moves through. </t>
    </r>
  </si>
  <si>
    <t>Product Loss</t>
  </si>
  <si>
    <t>Looking to get started quickly? Click below</t>
  </si>
  <si>
    <t>Want to learn more about how sample row length is calculated?</t>
  </si>
  <si>
    <t>To populate these charts, see the Reasons for Loss tab.</t>
  </si>
  <si>
    <t>total acres for crop, not just sample size</t>
  </si>
  <si>
    <t>State (2 letter abbrev)</t>
  </si>
  <si>
    <t>Last updated September 24, 2021</t>
  </si>
  <si>
    <t>Each row corresponds to one sample.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</si>
</sst>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_(&quot;$&quot;* \(#,##0.00\);_(&quot;$&quot;* &quot;-&quot;??_);_(@_)"/>
    <numFmt numFmtId="43" formatCode="_(* #,##0.00_);_(* \(#,##0.00\);_(* &quot;-&quot;??_);_(@_)"/>
    <numFmt numFmtId="164" formatCode="_(* #,##0_);_(* \(#,##0\);_(* &quot;-&quot;??_);_(@_)"/>
    <numFmt numFmtId="165" formatCode="0.0"/>
    <numFmt numFmtId="166" formatCode="m/d/yy;@"/>
    <numFmt numFmtId="167" formatCode="0.0%"/>
    <numFmt numFmtId="168" formatCode="_(* #,##0.0_);_(* \(#,##0.0\);_(* &quot;-&quot;??_);_(@_)"/>
    <numFmt numFmtId="169" formatCode="&quot;$&quot;#,##0.00"/>
    <numFmt numFmtId="170" formatCode="#,##0.0_);\(#,##0.0\)"/>
  </numFmts>
  <fonts count="57" x14ac:knownFonts="1">
    <font>
      <sz val="11"/>
      <color theme="1"/>
      <name val="Calibri"/>
      <family val="2"/>
      <scheme val="minor"/>
    </font>
    <font>
      <b/>
      <sz val="11"/>
      <color theme="1"/>
      <name val="Calibri"/>
      <family val="2"/>
      <scheme val="minor"/>
    </font>
    <font>
      <b/>
      <sz val="11"/>
      <color theme="0"/>
      <name val="Calibri"/>
      <family val="2"/>
      <scheme val="minor"/>
    </font>
    <font>
      <sz val="11"/>
      <color theme="1"/>
      <name val="Calibri"/>
      <family val="2"/>
      <scheme val="minor"/>
    </font>
    <font>
      <sz val="11"/>
      <color theme="0"/>
      <name val="Calibri"/>
      <family val="2"/>
      <scheme val="minor"/>
    </font>
    <font>
      <b/>
      <sz val="10"/>
      <color theme="1"/>
      <name val="Arial"/>
      <family val="2"/>
    </font>
    <font>
      <sz val="10"/>
      <color theme="1"/>
      <name val="Arial"/>
      <family val="2"/>
    </font>
    <font>
      <sz val="10"/>
      <color theme="1"/>
      <name val="Calibri"/>
      <family val="2"/>
      <scheme val="minor"/>
    </font>
    <font>
      <i/>
      <sz val="11"/>
      <color theme="1"/>
      <name val="Calibri"/>
      <family val="2"/>
      <scheme val="minor"/>
    </font>
    <font>
      <sz val="8"/>
      <color theme="1"/>
      <name val="Calibri"/>
      <family val="2"/>
      <scheme val="minor"/>
    </font>
    <font>
      <b/>
      <i/>
      <sz val="11"/>
      <color theme="1"/>
      <name val="Calibri"/>
      <family val="2"/>
      <scheme val="minor"/>
    </font>
    <font>
      <b/>
      <sz val="18"/>
      <color theme="0"/>
      <name val="Calibri"/>
      <family val="2"/>
      <scheme val="minor"/>
    </font>
    <font>
      <sz val="11"/>
      <color theme="1" tint="0.499984740745262"/>
      <name val="Calibri"/>
      <family val="2"/>
      <scheme val="minor"/>
    </font>
    <font>
      <b/>
      <sz val="11"/>
      <color theme="9" tint="-0.249977111117893"/>
      <name val="Calibri"/>
      <family val="2"/>
      <scheme val="minor"/>
    </font>
    <font>
      <b/>
      <sz val="12"/>
      <color theme="0"/>
      <name val="Calibri"/>
      <family val="2"/>
      <scheme val="minor"/>
    </font>
    <font>
      <b/>
      <sz val="12"/>
      <color theme="1"/>
      <name val="Calibri"/>
      <family val="2"/>
      <scheme val="minor"/>
    </font>
    <font>
      <b/>
      <sz val="11"/>
      <color rgb="FF000000"/>
      <name val="Calibri"/>
      <family val="2"/>
      <scheme val="minor"/>
    </font>
    <font>
      <sz val="11"/>
      <color rgb="FF000000"/>
      <name val="Calibri"/>
      <family val="2"/>
      <scheme val="minor"/>
    </font>
    <font>
      <sz val="8"/>
      <name val="Calibri"/>
      <family val="2"/>
      <scheme val="minor"/>
    </font>
    <font>
      <b/>
      <sz val="11"/>
      <color theme="1" tint="0.499984740745262"/>
      <name val="Calibri"/>
      <family val="2"/>
      <scheme val="minor"/>
    </font>
    <font>
      <b/>
      <sz val="11"/>
      <color rgb="FF843C0C"/>
      <name val="Calibri"/>
      <family val="2"/>
      <scheme val="minor"/>
    </font>
    <font>
      <sz val="10"/>
      <color theme="1" tint="0.499984740745262"/>
      <name val="Calibri"/>
      <family val="2"/>
      <scheme val="minor"/>
    </font>
    <font>
      <sz val="9"/>
      <color theme="1" tint="0.499984740745262"/>
      <name val="Calibri"/>
      <family val="2"/>
      <scheme val="minor"/>
    </font>
    <font>
      <i/>
      <sz val="9"/>
      <color theme="1" tint="0.499984740745262"/>
      <name val="Calibri"/>
      <family val="2"/>
      <scheme val="minor"/>
    </font>
    <font>
      <b/>
      <sz val="9"/>
      <color theme="1" tint="0.499984740745262"/>
      <name val="Calibri"/>
      <family val="2"/>
      <scheme val="minor"/>
    </font>
    <font>
      <i/>
      <sz val="8"/>
      <color theme="1" tint="0.499984740745262"/>
      <name val="Calibri"/>
      <family val="2"/>
      <scheme val="minor"/>
    </font>
    <font>
      <sz val="22"/>
      <color theme="1"/>
      <name val="Calibri"/>
      <family val="2"/>
      <scheme val="minor"/>
    </font>
    <font>
      <sz val="9"/>
      <color theme="1"/>
      <name val="Calibri"/>
      <family val="2"/>
      <scheme val="minor"/>
    </font>
    <font>
      <i/>
      <sz val="11"/>
      <color rgb="FF000000"/>
      <name val="Calibri"/>
      <family val="2"/>
      <scheme val="minor"/>
    </font>
    <font>
      <b/>
      <sz val="16"/>
      <color theme="0"/>
      <name val="Calibri"/>
      <family val="2"/>
      <scheme val="minor"/>
    </font>
    <font>
      <b/>
      <sz val="14"/>
      <color theme="9" tint="-0.249977111117893"/>
      <name val="Calibri"/>
      <family val="2"/>
      <scheme val="minor"/>
    </font>
    <font>
      <sz val="14"/>
      <color theme="1"/>
      <name val="Calibri"/>
      <family val="2"/>
      <scheme val="minor"/>
    </font>
    <font>
      <b/>
      <sz val="14"/>
      <color theme="1" tint="0.499984740745262"/>
      <name val="Calibri"/>
      <family val="2"/>
      <scheme val="minor"/>
    </font>
    <font>
      <sz val="11"/>
      <color theme="7"/>
      <name val="Calibri"/>
      <family val="2"/>
      <scheme val="minor"/>
    </font>
    <font>
      <sz val="18"/>
      <color theme="7" tint="-0.249977111117893"/>
      <name val="Calibri"/>
      <family val="2"/>
      <scheme val="minor"/>
    </font>
    <font>
      <b/>
      <sz val="11"/>
      <color theme="5" tint="-0.499984740745262"/>
      <name val="Calibri"/>
      <family val="2"/>
      <scheme val="minor"/>
    </font>
    <font>
      <sz val="9"/>
      <color rgb="FF000000"/>
      <name val="Calibri"/>
      <family val="2"/>
      <scheme val="minor"/>
    </font>
    <font>
      <b/>
      <sz val="8"/>
      <color theme="1" tint="0.499984740745262"/>
      <name val="Calibri"/>
      <family val="2"/>
      <scheme val="minor"/>
    </font>
    <font>
      <u/>
      <sz val="11"/>
      <color theme="10"/>
      <name val="Calibri"/>
      <family val="2"/>
      <scheme val="minor"/>
    </font>
    <font>
      <b/>
      <sz val="10"/>
      <color theme="5" tint="-0.499984740745262"/>
      <name val="Calibri"/>
      <family val="2"/>
      <scheme val="minor"/>
    </font>
    <font>
      <b/>
      <sz val="11"/>
      <color theme="7" tint="-0.249977111117893"/>
      <name val="Calibri"/>
      <family val="2"/>
      <scheme val="minor"/>
    </font>
    <font>
      <sz val="11"/>
      <color theme="7" tint="-0.249977111117893"/>
      <name val="Calibri"/>
      <family val="2"/>
      <scheme val="minor"/>
    </font>
    <font>
      <i/>
      <sz val="10"/>
      <color theme="1" tint="0.499984740745262"/>
      <name val="Calibri"/>
      <family val="2"/>
      <scheme val="minor"/>
    </font>
    <font>
      <b/>
      <u/>
      <sz val="11"/>
      <color theme="0"/>
      <name val="Calibri"/>
      <family val="2"/>
      <scheme val="minor"/>
    </font>
    <font>
      <b/>
      <sz val="20"/>
      <color theme="0"/>
      <name val="Calibri"/>
      <family val="2"/>
      <scheme val="minor"/>
    </font>
    <font>
      <sz val="8"/>
      <color theme="1" tint="0.499984740745262"/>
      <name val="Calibri"/>
      <family val="2"/>
      <scheme val="minor"/>
    </font>
    <font>
      <sz val="11"/>
      <color theme="5" tint="-0.499984740745262"/>
      <name val="Calibri"/>
      <family val="2"/>
      <scheme val="minor"/>
    </font>
    <font>
      <b/>
      <sz val="18"/>
      <color theme="5" tint="-0.499984740745262"/>
      <name val="Calibri"/>
      <family val="2"/>
      <scheme val="minor"/>
    </font>
    <font>
      <sz val="11"/>
      <color rgb="FF843C0C"/>
      <name val="Calibri"/>
      <family val="2"/>
      <scheme val="minor"/>
    </font>
    <font>
      <i/>
      <sz val="11"/>
      <color rgb="FFC00000"/>
      <name val="Calibri"/>
      <family val="2"/>
      <scheme val="minor"/>
    </font>
    <font>
      <i/>
      <sz val="11"/>
      <color theme="1" tint="0.34998626667073579"/>
      <name val="Calibri"/>
      <family val="2"/>
      <scheme val="minor"/>
    </font>
    <font>
      <sz val="14"/>
      <color theme="0"/>
      <name val="Calibri"/>
      <family val="2"/>
      <scheme val="minor"/>
    </font>
    <font>
      <b/>
      <sz val="20"/>
      <color theme="5" tint="-0.499984740745262"/>
      <name val="Calibri"/>
      <family val="2"/>
      <scheme val="minor"/>
    </font>
    <font>
      <b/>
      <sz val="14"/>
      <color theme="0"/>
      <name val="Calibri"/>
      <family val="2"/>
      <scheme val="minor"/>
    </font>
    <font>
      <b/>
      <sz val="10"/>
      <color theme="1" tint="0.499984740745262"/>
      <name val="Calibri"/>
      <family val="2"/>
      <scheme val="minor"/>
    </font>
    <font>
      <b/>
      <u/>
      <sz val="11"/>
      <color theme="9" tint="-0.249977111117893"/>
      <name val="Calibri"/>
      <family val="2"/>
      <scheme val="minor"/>
    </font>
    <font>
      <u/>
      <sz val="10"/>
      <color theme="10"/>
      <name val="Calibri"/>
      <family val="2"/>
      <scheme val="minor"/>
    </font>
  </fonts>
  <fills count="15">
    <fill>
      <patternFill patternType="none"/>
    </fill>
    <fill>
      <patternFill patternType="gray125"/>
    </fill>
    <fill>
      <patternFill patternType="solid">
        <fgColor theme="8" tint="0.39997558519241921"/>
        <bgColor indexed="64"/>
      </patternFill>
    </fill>
    <fill>
      <patternFill patternType="solid">
        <fgColor theme="9"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9" tint="-0.499984740745262"/>
        <bgColor indexed="64"/>
      </patternFill>
    </fill>
    <fill>
      <patternFill patternType="solid">
        <fgColor theme="7"/>
        <bgColor indexed="64"/>
      </patternFill>
    </fill>
    <fill>
      <patternFill patternType="solid">
        <fgColor theme="9"/>
        <bgColor indexed="64"/>
      </patternFill>
    </fill>
    <fill>
      <patternFill patternType="solid">
        <fgColor theme="2"/>
        <bgColor indexed="64"/>
      </patternFill>
    </fill>
    <fill>
      <patternFill patternType="solid">
        <fgColor theme="7" tint="-0.249977111117893"/>
        <bgColor indexed="64"/>
      </patternFill>
    </fill>
    <fill>
      <patternFill patternType="solid">
        <fgColor theme="5" tint="-0.249977111117893"/>
        <bgColor indexed="64"/>
      </patternFill>
    </fill>
    <fill>
      <patternFill patternType="solid">
        <fgColor theme="5" tint="0.79998168889431442"/>
        <bgColor indexed="64"/>
      </patternFill>
    </fill>
    <fill>
      <patternFill patternType="solid">
        <fgColor theme="2" tint="-0.249977111117893"/>
        <bgColor indexed="64"/>
      </patternFill>
    </fill>
  </fills>
  <borders count="96">
    <border>
      <left/>
      <right/>
      <top/>
      <bottom/>
      <diagonal/>
    </border>
    <border>
      <left/>
      <right style="thin">
        <color theme="0"/>
      </right>
      <top/>
      <bottom/>
      <diagonal/>
    </border>
    <border>
      <left style="thin">
        <color theme="0"/>
      </left>
      <right style="thin">
        <color theme="0"/>
      </right>
      <top style="medium">
        <color theme="0"/>
      </top>
      <bottom style="medium">
        <color theme="0"/>
      </bottom>
      <diagonal/>
    </border>
    <border>
      <left/>
      <right style="medium">
        <color theme="0"/>
      </right>
      <top/>
      <bottom/>
      <diagonal/>
    </border>
    <border>
      <left/>
      <right style="thin">
        <color theme="0"/>
      </right>
      <top style="medium">
        <color theme="0"/>
      </top>
      <bottom style="medium">
        <color theme="0"/>
      </bottom>
      <diagonal/>
    </border>
    <border>
      <left/>
      <right/>
      <top/>
      <bottom style="medium">
        <color theme="0"/>
      </bottom>
      <diagonal/>
    </border>
    <border>
      <left/>
      <right style="thin">
        <color theme="0"/>
      </right>
      <top/>
      <bottom style="medium">
        <color theme="0"/>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top/>
      <bottom/>
      <diagonal/>
    </border>
    <border>
      <left style="thin">
        <color theme="0"/>
      </left>
      <right style="thin">
        <color theme="0"/>
      </right>
      <top style="thin">
        <color theme="0"/>
      </top>
      <bottom style="thin">
        <color theme="0"/>
      </bottom>
      <diagonal/>
    </border>
    <border>
      <left/>
      <right/>
      <top style="thin">
        <color theme="0"/>
      </top>
      <bottom/>
      <diagonal/>
    </border>
    <border>
      <left style="thin">
        <color theme="0"/>
      </left>
      <right style="thin">
        <color theme="0"/>
      </right>
      <top/>
      <bottom style="thin">
        <color theme="0"/>
      </bottom>
      <diagonal/>
    </border>
    <border>
      <left style="thin">
        <color theme="0"/>
      </left>
      <right/>
      <top style="thin">
        <color theme="0"/>
      </top>
      <bottom style="thin">
        <color theme="0"/>
      </bottom>
      <diagonal/>
    </border>
    <border>
      <left style="thin">
        <color theme="0"/>
      </left>
      <right/>
      <top style="thin">
        <color theme="0"/>
      </top>
      <bottom/>
      <diagonal/>
    </border>
    <border>
      <left style="thin">
        <color indexed="64"/>
      </left>
      <right style="thin">
        <color indexed="64"/>
      </right>
      <top style="thin">
        <color indexed="64"/>
      </top>
      <bottom style="thin">
        <color indexed="64"/>
      </bottom>
      <diagonal/>
    </border>
    <border>
      <left/>
      <right style="thin">
        <color theme="0"/>
      </right>
      <top style="thin">
        <color theme="0"/>
      </top>
      <bottom/>
      <diagonal/>
    </border>
    <border>
      <left style="thin">
        <color indexed="64"/>
      </left>
      <right style="thin">
        <color indexed="64"/>
      </right>
      <top/>
      <bottom style="thin">
        <color indexed="64"/>
      </bottom>
      <diagonal/>
    </border>
    <border>
      <left style="thin">
        <color theme="9"/>
      </left>
      <right/>
      <top style="thin">
        <color theme="9"/>
      </top>
      <bottom/>
      <diagonal/>
    </border>
    <border>
      <left/>
      <right/>
      <top style="thin">
        <color theme="9"/>
      </top>
      <bottom/>
      <diagonal/>
    </border>
    <border>
      <left/>
      <right style="thin">
        <color theme="9"/>
      </right>
      <top style="thin">
        <color theme="9"/>
      </top>
      <bottom/>
      <diagonal/>
    </border>
    <border>
      <left style="thin">
        <color theme="9"/>
      </left>
      <right/>
      <top/>
      <bottom/>
      <diagonal/>
    </border>
    <border>
      <left/>
      <right style="thin">
        <color theme="9"/>
      </right>
      <top/>
      <bottom/>
      <diagonal/>
    </border>
    <border>
      <left style="thin">
        <color theme="9"/>
      </left>
      <right/>
      <top/>
      <bottom style="thin">
        <color theme="9"/>
      </bottom>
      <diagonal/>
    </border>
    <border>
      <left/>
      <right/>
      <top/>
      <bottom style="thin">
        <color theme="9"/>
      </bottom>
      <diagonal/>
    </border>
    <border>
      <left/>
      <right style="thin">
        <color theme="9"/>
      </right>
      <top/>
      <bottom style="thin">
        <color theme="9"/>
      </bottom>
      <diagonal/>
    </border>
    <border>
      <left style="thin">
        <color theme="9" tint="-0.24994659260841701"/>
      </left>
      <right/>
      <top style="thin">
        <color theme="9" tint="-0.24994659260841701"/>
      </top>
      <bottom style="thin">
        <color theme="9" tint="-0.24994659260841701"/>
      </bottom>
      <diagonal/>
    </border>
    <border>
      <left style="thin">
        <color theme="9" tint="-0.499984740745262"/>
      </left>
      <right/>
      <top style="thin">
        <color theme="9" tint="-0.24994659260841701"/>
      </top>
      <bottom style="thin">
        <color theme="9" tint="-0.24994659260841701"/>
      </bottom>
      <diagonal/>
    </border>
    <border>
      <left/>
      <right/>
      <top style="thin">
        <color theme="9" tint="-0.24994659260841701"/>
      </top>
      <bottom style="thin">
        <color theme="9" tint="-0.24994659260841701"/>
      </bottom>
      <diagonal/>
    </border>
    <border>
      <left/>
      <right style="thin">
        <color theme="9" tint="-0.24994659260841701"/>
      </right>
      <top style="thin">
        <color theme="9" tint="-0.24994659260841701"/>
      </top>
      <bottom style="thin">
        <color theme="9" tint="-0.24994659260841701"/>
      </bottom>
      <diagonal/>
    </border>
    <border>
      <left style="thin">
        <color theme="0"/>
      </left>
      <right style="thin">
        <color theme="0"/>
      </right>
      <top style="thin">
        <color theme="0"/>
      </top>
      <bottom style="medium">
        <color theme="0"/>
      </bottom>
      <diagonal/>
    </border>
    <border>
      <left style="medium">
        <color theme="7"/>
      </left>
      <right style="medium">
        <color theme="7"/>
      </right>
      <top style="medium">
        <color theme="7"/>
      </top>
      <bottom style="medium">
        <color theme="7"/>
      </bottom>
      <diagonal/>
    </border>
    <border>
      <left/>
      <right/>
      <top style="medium">
        <color theme="7"/>
      </top>
      <bottom/>
      <diagonal/>
    </border>
    <border>
      <left/>
      <right style="medium">
        <color theme="7"/>
      </right>
      <top style="medium">
        <color theme="7"/>
      </top>
      <bottom/>
      <diagonal/>
    </border>
    <border>
      <left style="medium">
        <color theme="7"/>
      </left>
      <right/>
      <top/>
      <bottom/>
      <diagonal/>
    </border>
    <border>
      <left/>
      <right style="medium">
        <color theme="7"/>
      </right>
      <top/>
      <bottom/>
      <diagonal/>
    </border>
    <border>
      <left style="medium">
        <color theme="7"/>
      </left>
      <right/>
      <top/>
      <bottom style="medium">
        <color theme="7"/>
      </bottom>
      <diagonal/>
    </border>
    <border>
      <left/>
      <right/>
      <top/>
      <bottom style="medium">
        <color theme="7"/>
      </bottom>
      <diagonal/>
    </border>
    <border>
      <left/>
      <right style="medium">
        <color theme="7"/>
      </right>
      <top/>
      <bottom style="medium">
        <color theme="7"/>
      </bottom>
      <diagonal/>
    </border>
    <border>
      <left style="medium">
        <color theme="7"/>
      </left>
      <right/>
      <top style="medium">
        <color theme="7"/>
      </top>
      <bottom style="medium">
        <color theme="7"/>
      </bottom>
      <diagonal/>
    </border>
    <border>
      <left/>
      <right/>
      <top style="medium">
        <color theme="7"/>
      </top>
      <bottom style="medium">
        <color theme="7"/>
      </bottom>
      <diagonal/>
    </border>
    <border>
      <left style="medium">
        <color theme="0"/>
      </left>
      <right/>
      <top style="medium">
        <color theme="0"/>
      </top>
      <bottom style="thin">
        <color theme="1" tint="0.499984740745262"/>
      </bottom>
      <diagonal/>
    </border>
    <border>
      <left/>
      <right/>
      <top style="medium">
        <color theme="0"/>
      </top>
      <bottom style="thin">
        <color theme="1" tint="0.499984740745262"/>
      </bottom>
      <diagonal/>
    </border>
    <border>
      <left style="medium">
        <color theme="0"/>
      </left>
      <right style="medium">
        <color theme="0"/>
      </right>
      <top style="medium">
        <color theme="0"/>
      </top>
      <bottom style="thin">
        <color theme="1" tint="0.499984740745262"/>
      </bottom>
      <diagonal/>
    </border>
    <border>
      <left style="medium">
        <color theme="0"/>
      </left>
      <right style="medium">
        <color theme="0"/>
      </right>
      <top style="thin">
        <color theme="1" tint="0.499984740745262"/>
      </top>
      <bottom style="thin">
        <color theme="1" tint="0.499984740745262"/>
      </bottom>
      <diagonal/>
    </border>
    <border>
      <left/>
      <right style="thin">
        <color theme="0"/>
      </right>
      <top style="medium">
        <color theme="0"/>
      </top>
      <bottom style="thin">
        <color theme="1" tint="0.499984740745262"/>
      </bottom>
      <diagonal/>
    </border>
    <border>
      <left style="medium">
        <color theme="0"/>
      </left>
      <right style="thin">
        <color theme="0"/>
      </right>
      <top style="thin">
        <color theme="1" tint="0.499984740745262"/>
      </top>
      <bottom style="thin">
        <color theme="1" tint="0.499984740745262"/>
      </bottom>
      <diagonal/>
    </border>
    <border>
      <left style="medium">
        <color theme="0"/>
      </left>
      <right/>
      <top/>
      <bottom style="thin">
        <color theme="1" tint="0.499984740745262"/>
      </bottom>
      <diagonal/>
    </border>
    <border>
      <left style="medium">
        <color theme="0"/>
      </left>
      <right/>
      <top/>
      <bottom/>
      <diagonal/>
    </border>
    <border>
      <left/>
      <right/>
      <top/>
      <bottom style="thin">
        <color theme="1" tint="0.499984740745262"/>
      </bottom>
      <diagonal/>
    </border>
    <border>
      <left style="medium">
        <color theme="0"/>
      </left>
      <right style="medium">
        <color theme="0"/>
      </right>
      <top/>
      <bottom style="thin">
        <color theme="1" tint="0.499984740745262"/>
      </bottom>
      <diagonal/>
    </border>
    <border>
      <left style="thin">
        <color theme="9" tint="-0.24994659260841701"/>
      </left>
      <right/>
      <top/>
      <bottom/>
      <diagonal/>
    </border>
    <border>
      <left style="medium">
        <color theme="7" tint="-0.249977111117893"/>
      </left>
      <right style="medium">
        <color theme="7"/>
      </right>
      <top style="medium">
        <color theme="7" tint="-0.249977111117893"/>
      </top>
      <bottom style="thick">
        <color theme="7" tint="-0.249977111117893"/>
      </bottom>
      <diagonal/>
    </border>
    <border>
      <left/>
      <right/>
      <top style="medium">
        <color theme="7" tint="-0.249977111117893"/>
      </top>
      <bottom style="thick">
        <color theme="7" tint="-0.249977111117893"/>
      </bottom>
      <diagonal/>
    </border>
    <border>
      <left/>
      <right style="medium">
        <color theme="7" tint="-0.249977111117893"/>
      </right>
      <top style="medium">
        <color theme="7" tint="-0.249977111117893"/>
      </top>
      <bottom style="thick">
        <color theme="7" tint="-0.249977111117893"/>
      </bottom>
      <diagonal/>
    </border>
    <border>
      <left style="medium">
        <color theme="7" tint="-0.249977111117893"/>
      </left>
      <right/>
      <top/>
      <bottom/>
      <diagonal/>
    </border>
    <border>
      <left/>
      <right style="medium">
        <color theme="7" tint="-0.249977111117893"/>
      </right>
      <top/>
      <bottom/>
      <diagonal/>
    </border>
    <border>
      <left/>
      <right style="medium">
        <color theme="7" tint="-0.249977111117893"/>
      </right>
      <top style="medium">
        <color theme="0"/>
      </top>
      <bottom style="thin">
        <color theme="1" tint="0.499984740745262"/>
      </bottom>
      <diagonal/>
    </border>
    <border>
      <left style="medium">
        <color theme="7" tint="-0.249977111117893"/>
      </left>
      <right/>
      <top/>
      <bottom style="medium">
        <color theme="7" tint="-0.249977111117893"/>
      </bottom>
      <diagonal/>
    </border>
    <border>
      <left/>
      <right/>
      <top/>
      <bottom style="medium">
        <color theme="7" tint="-0.249977111117893"/>
      </bottom>
      <diagonal/>
    </border>
    <border>
      <left/>
      <right style="medium">
        <color theme="7" tint="-0.249977111117893"/>
      </right>
      <top/>
      <bottom style="medium">
        <color theme="7" tint="-0.249977111117893"/>
      </bottom>
      <diagonal/>
    </border>
    <border>
      <left style="thick">
        <color theme="0"/>
      </left>
      <right style="thick">
        <color theme="0"/>
      </right>
      <top style="thick">
        <color theme="0"/>
      </top>
      <bottom style="thick">
        <color theme="0"/>
      </bottom>
      <diagonal/>
    </border>
    <border>
      <left style="thin">
        <color theme="9" tint="-0.249977111117893"/>
      </left>
      <right style="thin">
        <color theme="9" tint="-0.249977111117893"/>
      </right>
      <top style="thin">
        <color theme="9" tint="-0.249977111117893"/>
      </top>
      <bottom style="thin">
        <color theme="9" tint="-0.249977111117893"/>
      </bottom>
      <diagonal/>
    </border>
    <border>
      <left style="medium">
        <color theme="0"/>
      </left>
      <right style="medium">
        <color theme="0"/>
      </right>
      <top style="medium">
        <color theme="0"/>
      </top>
      <bottom style="thin">
        <color theme="1"/>
      </bottom>
      <diagonal/>
    </border>
    <border>
      <left style="medium">
        <color theme="0"/>
      </left>
      <right style="medium">
        <color theme="0"/>
      </right>
      <top/>
      <bottom style="thin">
        <color theme="1"/>
      </bottom>
      <diagonal/>
    </border>
    <border>
      <left style="medium">
        <color theme="0"/>
      </left>
      <right style="medium">
        <color theme="0"/>
      </right>
      <top style="medium">
        <color theme="0"/>
      </top>
      <bottom style="thin">
        <color indexed="64"/>
      </bottom>
      <diagonal/>
    </border>
    <border>
      <left style="medium">
        <color theme="0"/>
      </left>
      <right style="medium">
        <color theme="0"/>
      </right>
      <top/>
      <bottom style="thin">
        <color indexed="64"/>
      </bottom>
      <diagonal/>
    </border>
    <border>
      <left style="medium">
        <color theme="2" tint="-0.249977111117893"/>
      </left>
      <right/>
      <top style="medium">
        <color theme="2" tint="-0.249977111117893"/>
      </top>
      <bottom/>
      <diagonal/>
    </border>
    <border>
      <left/>
      <right/>
      <top style="medium">
        <color theme="2" tint="-0.249977111117893"/>
      </top>
      <bottom/>
      <diagonal/>
    </border>
    <border>
      <left/>
      <right style="medium">
        <color theme="2" tint="-0.249977111117893"/>
      </right>
      <top style="medium">
        <color theme="2" tint="-0.249977111117893"/>
      </top>
      <bottom/>
      <diagonal/>
    </border>
    <border>
      <left style="medium">
        <color theme="2" tint="-0.249977111117893"/>
      </left>
      <right/>
      <top/>
      <bottom/>
      <diagonal/>
    </border>
    <border>
      <left/>
      <right style="medium">
        <color theme="2" tint="-0.249977111117893"/>
      </right>
      <top/>
      <bottom/>
      <diagonal/>
    </border>
    <border>
      <left style="medium">
        <color theme="2" tint="-0.249977111117893"/>
      </left>
      <right/>
      <top/>
      <bottom style="medium">
        <color theme="2" tint="-0.249977111117893"/>
      </bottom>
      <diagonal/>
    </border>
    <border>
      <left/>
      <right/>
      <top/>
      <bottom style="medium">
        <color theme="2" tint="-0.249977111117893"/>
      </bottom>
      <diagonal/>
    </border>
    <border>
      <left/>
      <right style="medium">
        <color theme="2" tint="-0.249977111117893"/>
      </right>
      <top/>
      <bottom style="medium">
        <color theme="2" tint="-0.249977111117893"/>
      </bottom>
      <diagonal/>
    </border>
    <border>
      <left style="medium">
        <color theme="2"/>
      </left>
      <right style="medium">
        <color theme="2"/>
      </right>
      <top style="medium">
        <color theme="2"/>
      </top>
      <bottom style="medium">
        <color theme="2"/>
      </bottom>
      <diagonal/>
    </border>
    <border>
      <left style="medium">
        <color theme="2"/>
      </left>
      <right/>
      <top style="medium">
        <color theme="2"/>
      </top>
      <bottom/>
      <diagonal/>
    </border>
    <border>
      <left/>
      <right/>
      <top style="medium">
        <color theme="2"/>
      </top>
      <bottom/>
      <diagonal/>
    </border>
    <border>
      <left/>
      <right style="medium">
        <color theme="2"/>
      </right>
      <top style="medium">
        <color theme="2"/>
      </top>
      <bottom/>
      <diagonal/>
    </border>
    <border>
      <left style="medium">
        <color theme="2"/>
      </left>
      <right/>
      <top/>
      <bottom/>
      <diagonal/>
    </border>
    <border>
      <left/>
      <right style="medium">
        <color theme="2"/>
      </right>
      <top/>
      <bottom/>
      <diagonal/>
    </border>
    <border>
      <left style="medium">
        <color theme="2"/>
      </left>
      <right/>
      <top/>
      <bottom style="medium">
        <color theme="2"/>
      </bottom>
      <diagonal/>
    </border>
    <border>
      <left/>
      <right/>
      <top/>
      <bottom style="medium">
        <color theme="2"/>
      </bottom>
      <diagonal/>
    </border>
    <border>
      <left/>
      <right style="medium">
        <color theme="2"/>
      </right>
      <top/>
      <bottom style="medium">
        <color theme="2"/>
      </bottom>
      <diagonal/>
    </border>
    <border>
      <left style="medium">
        <color theme="5" tint="0.79998168889431442"/>
      </left>
      <right/>
      <top style="medium">
        <color theme="5" tint="0.79998168889431442"/>
      </top>
      <bottom/>
      <diagonal/>
    </border>
    <border>
      <left/>
      <right/>
      <top style="medium">
        <color theme="5" tint="0.79998168889431442"/>
      </top>
      <bottom/>
      <diagonal/>
    </border>
    <border>
      <left/>
      <right style="medium">
        <color theme="5" tint="0.79998168889431442"/>
      </right>
      <top style="medium">
        <color theme="5" tint="0.79998168889431442"/>
      </top>
      <bottom/>
      <diagonal/>
    </border>
    <border>
      <left style="medium">
        <color theme="5" tint="0.79998168889431442"/>
      </left>
      <right/>
      <top/>
      <bottom/>
      <diagonal/>
    </border>
    <border>
      <left/>
      <right style="medium">
        <color theme="5" tint="0.79998168889431442"/>
      </right>
      <top/>
      <bottom/>
      <diagonal/>
    </border>
    <border>
      <left style="medium">
        <color theme="5" tint="0.79998168889431442"/>
      </left>
      <right/>
      <top/>
      <bottom style="medium">
        <color theme="5" tint="0.79998168889431442"/>
      </bottom>
      <diagonal/>
    </border>
    <border>
      <left/>
      <right/>
      <top/>
      <bottom style="medium">
        <color theme="5" tint="0.79998168889431442"/>
      </bottom>
      <diagonal/>
    </border>
    <border>
      <left/>
      <right style="medium">
        <color theme="5" tint="0.79998168889431442"/>
      </right>
      <top/>
      <bottom style="medium">
        <color theme="5" tint="0.79998168889431442"/>
      </bottom>
      <diagonal/>
    </border>
    <border>
      <left style="medium">
        <color theme="9" tint="0.59999389629810485"/>
      </left>
      <right style="medium">
        <color theme="9" tint="0.59999389629810485"/>
      </right>
      <top style="medium">
        <color theme="9" tint="0.59999389629810485"/>
      </top>
      <bottom style="medium">
        <color theme="9" tint="0.59999389629810485"/>
      </bottom>
      <diagonal/>
    </border>
  </borders>
  <cellStyleXfs count="5">
    <xf numFmtId="0" fontId="0" fillId="0" borderId="0"/>
    <xf numFmtId="43"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0" fontId="38" fillId="0" borderId="0" applyNumberFormat="0" applyFill="0" applyBorder="0" applyAlignment="0" applyProtection="0"/>
  </cellStyleXfs>
  <cellXfs count="420">
    <xf numFmtId="0" fontId="0" fillId="0" borderId="0" xfId="0"/>
    <xf numFmtId="0" fontId="1" fillId="0" borderId="0" xfId="0" applyFont="1"/>
    <xf numFmtId="0" fontId="1" fillId="0" borderId="0" xfId="0" applyFont="1" applyAlignment="1">
      <alignment horizontal="left"/>
    </xf>
    <xf numFmtId="0" fontId="0" fillId="0" borderId="1" xfId="0" applyBorder="1" applyAlignment="1">
      <alignment horizontal="right"/>
    </xf>
    <xf numFmtId="0" fontId="0" fillId="0" borderId="3" xfId="0" applyBorder="1" applyAlignment="1">
      <alignment horizontal="right"/>
    </xf>
    <xf numFmtId="0" fontId="0" fillId="0" borderId="0" xfId="0" applyAlignment="1">
      <alignment vertical="top" wrapText="1"/>
    </xf>
    <xf numFmtId="0" fontId="1" fillId="0" borderId="0" xfId="0" applyFont="1" applyAlignment="1">
      <alignment horizontal="center" vertical="center"/>
    </xf>
    <xf numFmtId="0" fontId="1" fillId="0" borderId="0" xfId="0" applyFont="1" applyAlignment="1">
      <alignment horizontal="center" vertical="center" wrapText="1"/>
    </xf>
    <xf numFmtId="0" fontId="0" fillId="0" borderId="0" xfId="0" applyAlignment="1">
      <alignment horizontal="left"/>
    </xf>
    <xf numFmtId="0" fontId="0" fillId="2" borderId="7" xfId="0" applyFill="1" applyBorder="1"/>
    <xf numFmtId="0" fontId="2" fillId="3" borderId="10" xfId="0" applyFont="1" applyFill="1" applyBorder="1"/>
    <xf numFmtId="0" fontId="0" fillId="5" borderId="0" xfId="0" applyFill="1"/>
    <xf numFmtId="9" fontId="0" fillId="2" borderId="7" xfId="2" applyFont="1" applyFill="1" applyBorder="1"/>
    <xf numFmtId="9" fontId="0" fillId="5" borderId="7" xfId="2" applyFont="1" applyFill="1" applyBorder="1"/>
    <xf numFmtId="164" fontId="0" fillId="5" borderId="7" xfId="1" applyNumberFormat="1" applyFont="1" applyFill="1" applyBorder="1"/>
    <xf numFmtId="0" fontId="1" fillId="0" borderId="5" xfId="0" applyFont="1" applyBorder="1" applyAlignment="1">
      <alignment wrapText="1"/>
    </xf>
    <xf numFmtId="3" fontId="0" fillId="0" borderId="0" xfId="0" applyNumberFormat="1"/>
    <xf numFmtId="9" fontId="0" fillId="0" borderId="0" xfId="2" applyFont="1"/>
    <xf numFmtId="0" fontId="0" fillId="0" borderId="0" xfId="0" applyAlignment="1">
      <alignment horizontal="right"/>
    </xf>
    <xf numFmtId="0" fontId="1" fillId="0" borderId="0" xfId="0" applyFont="1" applyAlignment="1">
      <alignment horizontal="right"/>
    </xf>
    <xf numFmtId="9" fontId="0" fillId="0" borderId="0" xfId="2" applyFont="1" applyAlignment="1">
      <alignment horizontal="right"/>
    </xf>
    <xf numFmtId="1" fontId="0" fillId="5" borderId="7" xfId="2" applyNumberFormat="1" applyFont="1" applyFill="1" applyBorder="1"/>
    <xf numFmtId="0" fontId="4" fillId="0" borderId="0" xfId="0" applyFont="1"/>
    <xf numFmtId="9" fontId="0" fillId="0" borderId="0" xfId="0" applyNumberFormat="1"/>
    <xf numFmtId="0" fontId="1" fillId="0" borderId="0" xfId="0" applyFont="1"/>
    <xf numFmtId="165" fontId="0" fillId="2" borderId="7" xfId="0" applyNumberFormat="1" applyFill="1" applyBorder="1" applyProtection="1">
      <protection locked="0"/>
    </xf>
    <xf numFmtId="0" fontId="6" fillId="0" borderId="0" xfId="0" applyFont="1" applyBorder="1" applyAlignment="1" applyProtection="1">
      <alignment vertical="center" wrapText="1"/>
      <protection locked="0"/>
    </xf>
    <xf numFmtId="0" fontId="5" fillId="0" borderId="0" xfId="0" applyFont="1" applyBorder="1" applyAlignment="1">
      <alignment horizontal="center" vertical="center" wrapText="1"/>
    </xf>
    <xf numFmtId="2" fontId="6" fillId="0" borderId="0" xfId="0" applyNumberFormat="1" applyFont="1" applyBorder="1" applyAlignment="1" applyProtection="1">
      <alignment vertical="center" wrapText="1"/>
    </xf>
    <xf numFmtId="0" fontId="0" fillId="0" borderId="0" xfId="0" applyAlignment="1">
      <alignment wrapText="1"/>
    </xf>
    <xf numFmtId="0" fontId="2" fillId="3" borderId="11" xfId="0" applyFont="1" applyFill="1" applyBorder="1" applyAlignment="1">
      <alignment vertical="center"/>
    </xf>
    <xf numFmtId="0" fontId="2" fillId="3" borderId="11" xfId="0" applyFont="1" applyFill="1" applyBorder="1"/>
    <xf numFmtId="0" fontId="0" fillId="2" borderId="6" xfId="0" applyFill="1" applyBorder="1" applyAlignment="1">
      <alignment horizontal="left" readingOrder="1"/>
    </xf>
    <xf numFmtId="43" fontId="0" fillId="4" borderId="4" xfId="1" applyFont="1" applyFill="1" applyBorder="1" applyAlignment="1">
      <alignment horizontal="left"/>
    </xf>
    <xf numFmtId="0" fontId="1" fillId="0" borderId="0" xfId="0" applyFont="1"/>
    <xf numFmtId="0" fontId="0" fillId="2" borderId="7" xfId="0" applyFill="1" applyBorder="1" applyAlignment="1">
      <alignment vertical="top" wrapText="1"/>
    </xf>
    <xf numFmtId="0" fontId="1" fillId="0" borderId="0" xfId="0" applyFont="1" applyAlignment="1">
      <alignment wrapText="1"/>
    </xf>
    <xf numFmtId="3" fontId="0" fillId="2" borderId="7" xfId="0" applyNumberFormat="1" applyFill="1" applyBorder="1" applyAlignment="1">
      <alignment horizontal="right"/>
    </xf>
    <xf numFmtId="4" fontId="0" fillId="6" borderId="8" xfId="0" applyNumberFormat="1" applyFill="1" applyBorder="1" applyAlignment="1">
      <alignment horizontal="right" vertical="top" wrapText="1"/>
    </xf>
    <xf numFmtId="0" fontId="1" fillId="0" borderId="0" xfId="0" applyNumberFormat="1" applyFont="1" applyAlignment="1">
      <alignment horizontal="left"/>
    </xf>
    <xf numFmtId="37" fontId="0" fillId="2" borderId="4" xfId="1" applyNumberFormat="1" applyFont="1" applyFill="1" applyBorder="1" applyAlignment="1">
      <alignment horizontal="right"/>
    </xf>
    <xf numFmtId="0" fontId="1" fillId="0" borderId="0" xfId="0" applyFont="1" applyAlignment="1"/>
    <xf numFmtId="0" fontId="0" fillId="0" borderId="0" xfId="0" applyFont="1"/>
    <xf numFmtId="0" fontId="0" fillId="2" borderId="7" xfId="0" applyFont="1" applyFill="1" applyBorder="1" applyAlignment="1">
      <alignment horizontal="left"/>
    </xf>
    <xf numFmtId="0" fontId="0" fillId="2" borderId="7" xfId="0" applyFont="1" applyFill="1" applyBorder="1"/>
    <xf numFmtId="0" fontId="0" fillId="4" borderId="0" xfId="0" applyFill="1" applyBorder="1"/>
    <xf numFmtId="0" fontId="1" fillId="0" borderId="18" xfId="0" applyFont="1" applyBorder="1" applyAlignment="1">
      <alignment wrapText="1"/>
    </xf>
    <xf numFmtId="0" fontId="0" fillId="0" borderId="18" xfId="0" applyFont="1" applyBorder="1"/>
    <xf numFmtId="0" fontId="0" fillId="0" borderId="18" xfId="0" applyBorder="1"/>
    <xf numFmtId="0" fontId="0" fillId="0" borderId="0" xfId="0" applyBorder="1"/>
    <xf numFmtId="0" fontId="2" fillId="3" borderId="10" xfId="0" applyFont="1" applyFill="1" applyBorder="1" applyAlignment="1">
      <alignment vertical="center"/>
    </xf>
    <xf numFmtId="0" fontId="2" fillId="3" borderId="1" xfId="0" applyFont="1" applyFill="1" applyBorder="1" applyAlignment="1">
      <alignment vertical="center"/>
    </xf>
    <xf numFmtId="164" fontId="0" fillId="5" borderId="0" xfId="1" applyNumberFormat="1" applyFont="1" applyFill="1" applyBorder="1" applyAlignment="1">
      <alignment vertical="center"/>
    </xf>
    <xf numFmtId="164" fontId="0" fillId="5" borderId="14" xfId="1" applyNumberFormat="1" applyFont="1" applyFill="1" applyBorder="1"/>
    <xf numFmtId="168" fontId="0" fillId="5" borderId="13" xfId="1" applyNumberFormat="1" applyFont="1" applyFill="1" applyBorder="1"/>
    <xf numFmtId="168" fontId="0" fillId="5" borderId="16" xfId="1" applyNumberFormat="1" applyFont="1" applyFill="1" applyBorder="1"/>
    <xf numFmtId="168" fontId="0" fillId="0" borderId="0" xfId="1" applyNumberFormat="1" applyFont="1"/>
    <xf numFmtId="168" fontId="0" fillId="5" borderId="15" xfId="1" applyNumberFormat="1" applyFont="1" applyFill="1" applyBorder="1"/>
    <xf numFmtId="168" fontId="0" fillId="5" borderId="10" xfId="1" applyNumberFormat="1" applyFont="1" applyFill="1" applyBorder="1"/>
    <xf numFmtId="164" fontId="0" fillId="0" borderId="18" xfId="1" applyNumberFormat="1" applyFont="1" applyBorder="1"/>
    <xf numFmtId="0" fontId="0" fillId="0" borderId="0" xfId="0" applyAlignment="1"/>
    <xf numFmtId="164" fontId="0" fillId="0" borderId="20" xfId="1" applyNumberFormat="1" applyFont="1" applyBorder="1"/>
    <xf numFmtId="10" fontId="0" fillId="5" borderId="14" xfId="2" applyNumberFormat="1" applyFont="1" applyFill="1" applyBorder="1"/>
    <xf numFmtId="10" fontId="0" fillId="5" borderId="10" xfId="2" applyNumberFormat="1" applyFont="1" applyFill="1" applyBorder="1"/>
    <xf numFmtId="10" fontId="0" fillId="5" borderId="1" xfId="2" applyNumberFormat="1" applyFont="1" applyFill="1" applyBorder="1"/>
    <xf numFmtId="10" fontId="0" fillId="5" borderId="19" xfId="2" applyNumberFormat="1" applyFont="1" applyFill="1" applyBorder="1"/>
    <xf numFmtId="0" fontId="1" fillId="0" borderId="0" xfId="0" applyFont="1" applyAlignment="1">
      <alignment horizontal="left" wrapText="1"/>
    </xf>
    <xf numFmtId="168" fontId="1" fillId="0" borderId="0" xfId="1" applyNumberFormat="1" applyFont="1" applyAlignment="1">
      <alignment horizontal="left" wrapText="1"/>
    </xf>
    <xf numFmtId="0" fontId="0" fillId="0" borderId="1" xfId="0" applyBorder="1" applyAlignment="1">
      <alignment horizontal="left"/>
    </xf>
    <xf numFmtId="167" fontId="0" fillId="0" borderId="18" xfId="2" applyNumberFormat="1" applyFont="1" applyBorder="1" applyAlignment="1">
      <alignment horizontal="right"/>
    </xf>
    <xf numFmtId="167" fontId="0" fillId="0" borderId="18" xfId="2" applyNumberFormat="1" applyFont="1" applyBorder="1"/>
    <xf numFmtId="168" fontId="0" fillId="0" borderId="0" xfId="0" applyNumberFormat="1"/>
    <xf numFmtId="10" fontId="0" fillId="0" borderId="0" xfId="0" applyNumberFormat="1"/>
    <xf numFmtId="169" fontId="0" fillId="5" borderId="7" xfId="3" applyNumberFormat="1" applyFont="1" applyFill="1" applyBorder="1"/>
    <xf numFmtId="0" fontId="0" fillId="0" borderId="0" xfId="0" applyAlignment="1">
      <alignment vertical="center"/>
    </xf>
    <xf numFmtId="164" fontId="0" fillId="0" borderId="0" xfId="0" applyNumberFormat="1"/>
    <xf numFmtId="0" fontId="1" fillId="0" borderId="0" xfId="0" applyFont="1"/>
    <xf numFmtId="0" fontId="0" fillId="2" borderId="4" xfId="0" applyFont="1" applyFill="1" applyBorder="1" applyAlignment="1">
      <alignment horizontal="left"/>
    </xf>
    <xf numFmtId="164" fontId="0" fillId="0" borderId="0" xfId="1" applyNumberFormat="1" applyFont="1"/>
    <xf numFmtId="164" fontId="1" fillId="0" borderId="18" xfId="1" applyNumberFormat="1" applyFont="1" applyBorder="1" applyAlignment="1">
      <alignment wrapText="1"/>
    </xf>
    <xf numFmtId="164" fontId="0" fillId="0" borderId="18" xfId="1" applyNumberFormat="1" applyFont="1" applyBorder="1" applyAlignment="1">
      <alignment horizontal="right"/>
    </xf>
    <xf numFmtId="4" fontId="0" fillId="6" borderId="8" xfId="0" applyNumberFormat="1" applyFill="1" applyBorder="1" applyAlignment="1">
      <alignment vertical="top" wrapText="1"/>
    </xf>
    <xf numFmtId="0" fontId="1" fillId="0" borderId="9" xfId="0" applyFont="1" applyBorder="1" applyAlignment="1">
      <alignment horizontal="center"/>
    </xf>
    <xf numFmtId="0" fontId="1" fillId="0" borderId="9" xfId="0" applyFont="1" applyBorder="1" applyAlignment="1">
      <alignment horizontal="center" wrapText="1"/>
    </xf>
    <xf numFmtId="0" fontId="1" fillId="0" borderId="0" xfId="0" applyFont="1" applyBorder="1" applyAlignment="1">
      <alignment horizontal="center" wrapText="1"/>
    </xf>
    <xf numFmtId="168" fontId="0" fillId="0" borderId="13" xfId="1" applyNumberFormat="1" applyFont="1" applyFill="1" applyBorder="1"/>
    <xf numFmtId="168" fontId="0" fillId="0" borderId="17" xfId="1" applyNumberFormat="1" applyFont="1" applyFill="1" applyBorder="1"/>
    <xf numFmtId="168" fontId="0" fillId="0" borderId="16" xfId="1" applyNumberFormat="1" applyFont="1" applyFill="1" applyBorder="1"/>
    <xf numFmtId="168" fontId="0" fillId="0" borderId="15" xfId="1" applyNumberFormat="1" applyFont="1" applyFill="1" applyBorder="1"/>
    <xf numFmtId="168" fontId="0" fillId="0" borderId="10" xfId="1" applyNumberFormat="1" applyFont="1" applyFill="1" applyBorder="1"/>
    <xf numFmtId="10" fontId="0" fillId="6" borderId="8" xfId="2" applyNumberFormat="1" applyFont="1" applyFill="1" applyBorder="1" applyAlignment="1">
      <alignment horizontal="right" vertical="top" wrapText="1"/>
    </xf>
    <xf numFmtId="10" fontId="0" fillId="0" borderId="0" xfId="2" applyNumberFormat="1" applyFont="1" applyAlignment="1">
      <alignment wrapText="1"/>
    </xf>
    <xf numFmtId="10" fontId="1" fillId="0" borderId="0" xfId="2" applyNumberFormat="1" applyFont="1" applyAlignment="1">
      <alignment wrapText="1"/>
    </xf>
    <xf numFmtId="166" fontId="0" fillId="2" borderId="4" xfId="0" applyNumberFormat="1" applyFill="1" applyBorder="1" applyAlignment="1">
      <alignment horizontal="left"/>
    </xf>
    <xf numFmtId="166" fontId="0" fillId="2" borderId="2" xfId="0" applyNumberFormat="1" applyFill="1" applyBorder="1" applyAlignment="1">
      <alignment horizontal="left"/>
    </xf>
    <xf numFmtId="10" fontId="0" fillId="5" borderId="0" xfId="2" applyNumberFormat="1" applyFont="1" applyFill="1" applyBorder="1"/>
    <xf numFmtId="0" fontId="0" fillId="4" borderId="12" xfId="0" applyFill="1" applyBorder="1" applyAlignment="1">
      <alignment wrapText="1"/>
    </xf>
    <xf numFmtId="0" fontId="0" fillId="4" borderId="0" xfId="0" applyFill="1" applyBorder="1" applyAlignment="1">
      <alignment wrapText="1"/>
    </xf>
    <xf numFmtId="0" fontId="9" fillId="5" borderId="13" xfId="0" applyFont="1" applyFill="1" applyBorder="1" applyAlignment="1">
      <alignment vertical="top" wrapText="1"/>
    </xf>
    <xf numFmtId="168" fontId="0" fillId="0" borderId="0" xfId="1" applyNumberFormat="1" applyFont="1" applyFill="1" applyBorder="1"/>
    <xf numFmtId="0" fontId="1" fillId="0" borderId="0" xfId="0" applyFont="1" applyBorder="1" applyAlignment="1">
      <alignment horizontal="left"/>
    </xf>
    <xf numFmtId="0" fontId="10" fillId="0" borderId="0" xfId="0" applyFont="1" applyBorder="1" applyAlignment="1">
      <alignment horizontal="center" wrapText="1"/>
    </xf>
    <xf numFmtId="0" fontId="10" fillId="0" borderId="0" xfId="0" applyFont="1" applyBorder="1" applyAlignment="1">
      <alignment horizontal="center"/>
    </xf>
    <xf numFmtId="0" fontId="9" fillId="0" borderId="0" xfId="0" applyFont="1" applyBorder="1" applyAlignment="1">
      <alignment vertical="top" wrapText="1"/>
    </xf>
    <xf numFmtId="0" fontId="9" fillId="4" borderId="0" xfId="0" applyFont="1" applyFill="1" applyBorder="1" applyAlignment="1">
      <alignment vertical="top"/>
    </xf>
    <xf numFmtId="0" fontId="9" fillId="0" borderId="0" xfId="0" applyFont="1" applyBorder="1" applyAlignment="1">
      <alignment vertical="top"/>
    </xf>
    <xf numFmtId="0" fontId="0" fillId="0" borderId="0" xfId="0" applyBorder="1" applyAlignment="1">
      <alignment horizontal="left"/>
    </xf>
    <xf numFmtId="0" fontId="0" fillId="0" borderId="0" xfId="0" applyBorder="1" applyAlignment="1">
      <alignment wrapText="1"/>
    </xf>
    <xf numFmtId="0" fontId="1" fillId="0" borderId="0" xfId="0" applyFont="1" applyBorder="1"/>
    <xf numFmtId="0" fontId="0" fillId="0" borderId="0" xfId="0" applyFill="1" applyBorder="1"/>
    <xf numFmtId="0" fontId="2" fillId="3" borderId="0" xfId="0" applyFont="1" applyFill="1" applyBorder="1" applyAlignment="1">
      <alignment vertical="center"/>
    </xf>
    <xf numFmtId="0" fontId="0" fillId="0" borderId="24" xfId="0" applyBorder="1" applyAlignment="1">
      <alignment horizontal="left"/>
    </xf>
    <xf numFmtId="0" fontId="0" fillId="0" borderId="24" xfId="0" applyBorder="1"/>
    <xf numFmtId="0" fontId="0" fillId="0" borderId="25" xfId="0" applyBorder="1"/>
    <xf numFmtId="0" fontId="0" fillId="0" borderId="26" xfId="0" applyBorder="1"/>
    <xf numFmtId="0" fontId="0" fillId="0" borderId="27" xfId="0" applyBorder="1"/>
    <xf numFmtId="0" fontId="0" fillId="0" borderId="28" xfId="0" applyBorder="1"/>
    <xf numFmtId="0" fontId="0" fillId="0" borderId="23" xfId="0" applyBorder="1"/>
    <xf numFmtId="0" fontId="12" fillId="0" borderId="0" xfId="0" applyFont="1" applyAlignment="1">
      <alignment horizontal="center"/>
    </xf>
    <xf numFmtId="0" fontId="0" fillId="0" borderId="21" xfId="0" applyBorder="1"/>
    <xf numFmtId="0" fontId="0" fillId="0" borderId="22" xfId="0" applyBorder="1"/>
    <xf numFmtId="0" fontId="0" fillId="0" borderId="0" xfId="0" applyBorder="1" applyAlignment="1">
      <alignment vertical="center"/>
    </xf>
    <xf numFmtId="0" fontId="0" fillId="0" borderId="0" xfId="0" applyBorder="1" applyAlignment="1">
      <alignment horizontal="right"/>
    </xf>
    <xf numFmtId="165" fontId="0" fillId="5" borderId="13" xfId="1" applyNumberFormat="1" applyFont="1" applyFill="1" applyBorder="1"/>
    <xf numFmtId="165" fontId="0" fillId="5" borderId="13" xfId="1" applyNumberFormat="1" applyFont="1" applyFill="1" applyBorder="1" applyAlignment="1">
      <alignment horizontal="right"/>
    </xf>
    <xf numFmtId="0" fontId="1" fillId="0" borderId="0" xfId="0" applyFont="1" applyBorder="1" applyAlignment="1">
      <alignment horizontal="center"/>
    </xf>
    <xf numFmtId="164" fontId="0" fillId="5" borderId="17" xfId="1" applyNumberFormat="1" applyFont="1" applyFill="1" applyBorder="1"/>
    <xf numFmtId="164" fontId="0" fillId="5" borderId="16" xfId="1" applyNumberFormat="1" applyFont="1" applyFill="1" applyBorder="1"/>
    <xf numFmtId="164" fontId="0" fillId="5" borderId="13" xfId="1" applyNumberFormat="1" applyFont="1" applyFill="1" applyBorder="1"/>
    <xf numFmtId="0" fontId="13" fillId="0" borderId="0" xfId="0" applyFont="1" applyBorder="1"/>
    <xf numFmtId="0" fontId="1" fillId="0" borderId="0" xfId="0" applyFont="1"/>
    <xf numFmtId="0" fontId="1" fillId="0" borderId="0" xfId="0" applyFont="1" applyAlignment="1">
      <alignment horizontal="center"/>
    </xf>
    <xf numFmtId="0" fontId="1" fillId="0" borderId="0" xfId="0" applyFont="1"/>
    <xf numFmtId="0" fontId="0" fillId="0" borderId="0" xfId="0" applyAlignment="1">
      <alignment horizontal="center"/>
    </xf>
    <xf numFmtId="0" fontId="16" fillId="0" borderId="0" xfId="0" applyFont="1"/>
    <xf numFmtId="0" fontId="17" fillId="0" borderId="0" xfId="0" applyFont="1"/>
    <xf numFmtId="0" fontId="0" fillId="2" borderId="33" xfId="0" applyFill="1" applyBorder="1" applyAlignment="1">
      <alignment horizontal="left" readingOrder="1"/>
    </xf>
    <xf numFmtId="0" fontId="0" fillId="2" borderId="2" xfId="0" applyFill="1" applyBorder="1" applyAlignment="1">
      <alignment horizontal="left" readingOrder="1"/>
    </xf>
    <xf numFmtId="0" fontId="0" fillId="2" borderId="7" xfId="0" applyNumberFormat="1" applyFill="1" applyBorder="1" applyAlignment="1">
      <alignment horizontal="left"/>
    </xf>
    <xf numFmtId="0" fontId="0" fillId="0" borderId="0" xfId="0" applyFont="1" applyAlignment="1">
      <alignment horizontal="right" vertical="center"/>
    </xf>
    <xf numFmtId="0" fontId="0" fillId="0" borderId="0" xfId="0" applyFont="1" applyAlignment="1">
      <alignment horizontal="right" vertical="center" wrapText="1"/>
    </xf>
    <xf numFmtId="0" fontId="12" fillId="0" borderId="0" xfId="0" applyFont="1"/>
    <xf numFmtId="0" fontId="0" fillId="0" borderId="0" xfId="0" applyFont="1" applyAlignment="1">
      <alignment horizontal="right"/>
    </xf>
    <xf numFmtId="0" fontId="1" fillId="0" borderId="0" xfId="0" applyFont="1" applyBorder="1" applyAlignment="1">
      <alignment horizontal="right"/>
    </xf>
    <xf numFmtId="0" fontId="0" fillId="0" borderId="0" xfId="0" applyFont="1" applyAlignment="1">
      <alignment horizontal="right" wrapText="1"/>
    </xf>
    <xf numFmtId="0" fontId="0" fillId="0" borderId="5" xfId="0" applyFont="1" applyBorder="1" applyAlignment="1">
      <alignment horizontal="right" wrapText="1"/>
    </xf>
    <xf numFmtId="0" fontId="0" fillId="0" borderId="0" xfId="0" applyFont="1" applyBorder="1" applyAlignment="1">
      <alignment horizontal="right" wrapText="1"/>
    </xf>
    <xf numFmtId="3" fontId="0" fillId="2" borderId="7" xfId="0" applyNumberFormat="1" applyFill="1" applyBorder="1" applyAlignment="1">
      <alignment horizontal="right" vertical="top" wrapText="1"/>
    </xf>
    <xf numFmtId="4" fontId="0" fillId="6" borderId="7" xfId="0" applyNumberFormat="1" applyFill="1" applyBorder="1" applyAlignment="1">
      <alignment horizontal="right" vertical="top" wrapText="1"/>
    </xf>
    <xf numFmtId="2" fontId="0" fillId="2" borderId="7" xfId="0" applyNumberFormat="1" applyFill="1" applyBorder="1" applyAlignment="1">
      <alignment horizontal="left"/>
    </xf>
    <xf numFmtId="166" fontId="0" fillId="2" borderId="7" xfId="0" applyNumberFormat="1" applyFill="1" applyBorder="1" applyAlignment="1">
      <alignment horizontal="left"/>
    </xf>
    <xf numFmtId="0" fontId="0" fillId="2" borderId="7" xfId="0" applyFill="1" applyBorder="1" applyAlignment="1">
      <alignment horizontal="left" readingOrder="1"/>
    </xf>
    <xf numFmtId="37" fontId="0" fillId="2" borderId="7" xfId="1" applyNumberFormat="1" applyFont="1" applyFill="1" applyBorder="1" applyAlignment="1">
      <alignment horizontal="right"/>
    </xf>
    <xf numFmtId="0" fontId="0" fillId="2" borderId="7" xfId="0" applyFill="1" applyBorder="1" applyAlignment="1">
      <alignment horizontal="right"/>
    </xf>
    <xf numFmtId="43" fontId="0" fillId="2" borderId="7" xfId="1" applyFont="1" applyFill="1" applyBorder="1" applyAlignment="1">
      <alignment horizontal="left"/>
    </xf>
    <xf numFmtId="3" fontId="0" fillId="2" borderId="7" xfId="0" applyNumberFormat="1" applyFill="1" applyBorder="1" applyAlignment="1">
      <alignment vertical="top" wrapText="1"/>
    </xf>
    <xf numFmtId="0" fontId="15" fillId="0" borderId="0" xfId="0" applyFont="1"/>
    <xf numFmtId="0" fontId="0" fillId="0" borderId="0" xfId="0" applyFont="1" applyBorder="1" applyAlignment="1">
      <alignment horizontal="right"/>
    </xf>
    <xf numFmtId="0" fontId="0" fillId="0" borderId="0" xfId="0" applyFont="1" applyBorder="1"/>
    <xf numFmtId="0" fontId="0" fillId="0" borderId="35" xfId="0" applyBorder="1"/>
    <xf numFmtId="0" fontId="0" fillId="0" borderId="36" xfId="0" applyBorder="1"/>
    <xf numFmtId="0" fontId="0" fillId="0" borderId="38" xfId="0" applyBorder="1"/>
    <xf numFmtId="0" fontId="0" fillId="0" borderId="40" xfId="0" applyBorder="1"/>
    <xf numFmtId="0" fontId="0" fillId="0" borderId="41" xfId="0" applyBorder="1"/>
    <xf numFmtId="0" fontId="0" fillId="0" borderId="0" xfId="0" applyBorder="1" applyAlignment="1"/>
    <xf numFmtId="0" fontId="12" fillId="0" borderId="0" xfId="0" applyFont="1" applyBorder="1" applyAlignment="1"/>
    <xf numFmtId="43" fontId="0" fillId="0" borderId="0" xfId="0" applyNumberFormat="1" applyBorder="1"/>
    <xf numFmtId="0" fontId="15" fillId="0" borderId="0" xfId="0" applyFont="1" applyBorder="1"/>
    <xf numFmtId="4" fontId="0" fillId="0" borderId="7" xfId="0" applyNumberFormat="1" applyFill="1" applyBorder="1" applyAlignment="1">
      <alignment vertical="top" wrapText="1"/>
    </xf>
    <xf numFmtId="0" fontId="20" fillId="0" borderId="0" xfId="0" applyFont="1"/>
    <xf numFmtId="4" fontId="0" fillId="0" borderId="0" xfId="0" applyNumberFormat="1" applyAlignment="1">
      <alignment horizontal="right"/>
    </xf>
    <xf numFmtId="14" fontId="0" fillId="2" borderId="7" xfId="0" applyNumberFormat="1" applyFill="1" applyBorder="1" applyAlignment="1">
      <alignment horizontal="center"/>
    </xf>
    <xf numFmtId="0" fontId="0" fillId="2" borderId="7" xfId="0" applyNumberFormat="1" applyFill="1" applyBorder="1" applyAlignment="1">
      <alignment horizontal="center"/>
    </xf>
    <xf numFmtId="164" fontId="0" fillId="5" borderId="7" xfId="1" applyNumberFormat="1" applyFont="1" applyFill="1" applyBorder="1" applyAlignment="1">
      <alignment horizontal="center"/>
    </xf>
    <xf numFmtId="0" fontId="15" fillId="0" borderId="40" xfId="0" applyFont="1" applyBorder="1"/>
    <xf numFmtId="0" fontId="14" fillId="8" borderId="43" xfId="0" applyFont="1" applyFill="1" applyBorder="1"/>
    <xf numFmtId="0" fontId="15" fillId="0" borderId="0" xfId="0" applyFont="1" applyAlignment="1">
      <alignment horizontal="left"/>
    </xf>
    <xf numFmtId="0" fontId="14" fillId="8" borderId="42" xfId="0" applyFont="1" applyFill="1" applyBorder="1" applyAlignment="1">
      <alignment horizontal="left"/>
    </xf>
    <xf numFmtId="0" fontId="15" fillId="0" borderId="37" xfId="0" applyFont="1" applyBorder="1" applyAlignment="1">
      <alignment horizontal="left"/>
    </xf>
    <xf numFmtId="0" fontId="15" fillId="0" borderId="39" xfId="0" applyFont="1" applyBorder="1" applyAlignment="1">
      <alignment horizontal="left"/>
    </xf>
    <xf numFmtId="0" fontId="14" fillId="8" borderId="34" xfId="0" applyFont="1" applyFill="1" applyBorder="1" applyAlignment="1">
      <alignment horizontal="left"/>
    </xf>
    <xf numFmtId="0" fontId="12" fillId="0" borderId="0" xfId="0" applyFont="1" applyAlignment="1">
      <alignment vertical="center" wrapText="1"/>
    </xf>
    <xf numFmtId="0" fontId="1" fillId="0" borderId="0" xfId="0" applyFont="1" applyAlignment="1">
      <alignment horizontal="center"/>
    </xf>
    <xf numFmtId="0" fontId="1" fillId="0" borderId="0" xfId="0" applyFont="1"/>
    <xf numFmtId="0" fontId="0" fillId="0" borderId="0" xfId="0" applyFill="1"/>
    <xf numFmtId="0" fontId="1" fillId="0" borderId="0" xfId="0" applyFont="1" applyFill="1" applyAlignment="1">
      <alignment wrapText="1"/>
    </xf>
    <xf numFmtId="4" fontId="0" fillId="0" borderId="0" xfId="0" applyNumberFormat="1"/>
    <xf numFmtId="0" fontId="0" fillId="0" borderId="5" xfId="0" applyFont="1" applyBorder="1" applyAlignment="1">
      <alignment horizontal="right"/>
    </xf>
    <xf numFmtId="4" fontId="0" fillId="6" borderId="7" xfId="0" applyNumberFormat="1" applyFill="1" applyBorder="1" applyAlignment="1">
      <alignment horizontal="right" vertical="top"/>
    </xf>
    <xf numFmtId="0" fontId="0" fillId="0" borderId="0" xfId="0" applyFill="1" applyAlignment="1"/>
    <xf numFmtId="0" fontId="12" fillId="0" borderId="0" xfId="0" applyFont="1" applyAlignment="1">
      <alignment horizontal="right"/>
    </xf>
    <xf numFmtId="0" fontId="1" fillId="0" borderId="0" xfId="0" applyFont="1"/>
    <xf numFmtId="0" fontId="0" fillId="0" borderId="0" xfId="0" applyFill="1" applyBorder="1" applyAlignment="1">
      <alignment vertical="center"/>
    </xf>
    <xf numFmtId="10" fontId="0" fillId="0" borderId="46" xfId="2" applyNumberFormat="1" applyFont="1" applyFill="1" applyBorder="1" applyProtection="1">
      <protection locked="0"/>
    </xf>
    <xf numFmtId="10" fontId="0" fillId="0" borderId="46" xfId="2" applyNumberFormat="1" applyFont="1" applyFill="1" applyBorder="1" applyAlignment="1">
      <alignment horizontal="right" vertical="top" wrapText="1"/>
    </xf>
    <xf numFmtId="10" fontId="0" fillId="0" borderId="47" xfId="2" applyNumberFormat="1" applyFont="1" applyFill="1" applyBorder="1" applyAlignment="1">
      <alignment horizontal="right"/>
    </xf>
    <xf numFmtId="10" fontId="0" fillId="0" borderId="46" xfId="2" applyNumberFormat="1" applyFont="1" applyFill="1" applyBorder="1"/>
    <xf numFmtId="10" fontId="0" fillId="0" borderId="47" xfId="2" applyNumberFormat="1" applyFont="1" applyFill="1" applyBorder="1"/>
    <xf numFmtId="167" fontId="0" fillId="0" borderId="7" xfId="2" applyNumberFormat="1" applyFont="1" applyFill="1" applyBorder="1" applyAlignment="1">
      <alignment horizontal="center" vertical="center"/>
    </xf>
    <xf numFmtId="169" fontId="3" fillId="0" borderId="48" xfId="1" applyNumberFormat="1" applyFont="1" applyFill="1" applyBorder="1" applyAlignment="1">
      <alignment horizontal="right"/>
    </xf>
    <xf numFmtId="169" fontId="3" fillId="0" borderId="49" xfId="1" applyNumberFormat="1" applyFont="1" applyFill="1" applyBorder="1" applyAlignment="1">
      <alignment horizontal="right"/>
    </xf>
    <xf numFmtId="0" fontId="22" fillId="0" borderId="0" xfId="0" applyFont="1" applyAlignment="1">
      <alignment wrapText="1"/>
    </xf>
    <xf numFmtId="0" fontId="22" fillId="0" borderId="0" xfId="0" applyFont="1" applyAlignment="1">
      <alignment vertical="top" wrapText="1"/>
    </xf>
    <xf numFmtId="0" fontId="22" fillId="0" borderId="0" xfId="0" applyFont="1" applyAlignment="1">
      <alignment vertical="center"/>
    </xf>
    <xf numFmtId="0" fontId="25" fillId="0" borderId="0" xfId="0" applyFont="1" applyAlignment="1">
      <alignment vertical="center"/>
    </xf>
    <xf numFmtId="169" fontId="3" fillId="0" borderId="46" xfId="1" applyNumberFormat="1" applyFont="1" applyFill="1" applyBorder="1" applyAlignment="1">
      <alignment horizontal="right"/>
    </xf>
    <xf numFmtId="169" fontId="3" fillId="0" borderId="47" xfId="1" applyNumberFormat="1" applyFont="1" applyFill="1" applyBorder="1" applyAlignment="1">
      <alignment horizontal="right"/>
    </xf>
    <xf numFmtId="167" fontId="0" fillId="0" borderId="7" xfId="0" applyNumberFormat="1" applyFill="1" applyBorder="1" applyAlignment="1">
      <alignment horizontal="center"/>
    </xf>
    <xf numFmtId="10" fontId="0" fillId="0" borderId="53" xfId="2" applyNumberFormat="1" applyFont="1" applyFill="1" applyBorder="1" applyAlignment="1">
      <alignment horizontal="right"/>
    </xf>
    <xf numFmtId="10" fontId="0" fillId="0" borderId="46" xfId="2" applyNumberFormat="1" applyFont="1" applyFill="1" applyBorder="1" applyAlignment="1">
      <alignment horizontal="right"/>
    </xf>
    <xf numFmtId="0" fontId="26" fillId="0" borderId="27" xfId="0" applyFont="1" applyBorder="1"/>
    <xf numFmtId="0" fontId="9" fillId="2" borderId="5" xfId="0" applyFont="1" applyFill="1" applyBorder="1" applyAlignment="1">
      <alignment horizontal="center"/>
    </xf>
    <xf numFmtId="0" fontId="9" fillId="0" borderId="0" xfId="0" applyFont="1" applyAlignment="1">
      <alignment horizontal="center"/>
    </xf>
    <xf numFmtId="0" fontId="9" fillId="0" borderId="52" xfId="0" applyFont="1" applyBorder="1" applyAlignment="1">
      <alignment horizontal="center"/>
    </xf>
    <xf numFmtId="0" fontId="23" fillId="0" borderId="0" xfId="0" applyFont="1" applyAlignment="1">
      <alignment vertical="center"/>
    </xf>
    <xf numFmtId="0" fontId="27" fillId="2" borderId="5" xfId="0" applyFont="1" applyFill="1" applyBorder="1" applyAlignment="1">
      <alignment horizontal="right"/>
    </xf>
    <xf numFmtId="0" fontId="27" fillId="0" borderId="52" xfId="0" applyFont="1" applyBorder="1" applyAlignment="1">
      <alignment horizontal="right"/>
    </xf>
    <xf numFmtId="0" fontId="27" fillId="6" borderId="5" xfId="0" applyFont="1" applyFill="1" applyBorder="1" applyAlignment="1">
      <alignment horizontal="right"/>
    </xf>
    <xf numFmtId="0" fontId="30" fillId="0" borderId="30" xfId="0" applyFont="1" applyBorder="1" applyAlignment="1">
      <alignment horizontal="center" vertical="center"/>
    </xf>
    <xf numFmtId="0" fontId="30" fillId="0" borderId="31" xfId="0" applyFont="1" applyBorder="1" applyAlignment="1">
      <alignment horizontal="center" vertical="center"/>
    </xf>
    <xf numFmtId="0" fontId="30" fillId="0" borderId="32" xfId="0" applyFont="1" applyBorder="1" applyAlignment="1">
      <alignment horizontal="center" vertical="center"/>
    </xf>
    <xf numFmtId="0" fontId="31" fillId="0" borderId="0" xfId="0" applyFont="1" applyBorder="1"/>
    <xf numFmtId="167" fontId="30" fillId="0" borderId="0" xfId="0" applyNumberFormat="1" applyFont="1" applyBorder="1" applyAlignment="1">
      <alignment horizontal="right" vertical="center"/>
    </xf>
    <xf numFmtId="164" fontId="30" fillId="0" borderId="0" xfId="1" applyNumberFormat="1" applyFont="1" applyBorder="1" applyAlignment="1">
      <alignment horizontal="right"/>
    </xf>
    <xf numFmtId="0" fontId="23" fillId="0" borderId="0" xfId="0" applyFont="1" applyBorder="1"/>
    <xf numFmtId="0" fontId="0" fillId="0" borderId="0" xfId="0" applyFont="1" applyBorder="1" applyAlignment="1">
      <alignment horizontal="right" vertical="center"/>
    </xf>
    <xf numFmtId="0" fontId="1" fillId="0" borderId="0" xfId="0" applyFont="1" applyBorder="1" applyAlignment="1">
      <alignment horizontal="center" vertical="center"/>
    </xf>
    <xf numFmtId="0" fontId="7" fillId="0" borderId="0" xfId="0" applyFont="1" applyBorder="1" applyAlignment="1">
      <alignment horizontal="left" vertical="center" wrapText="1"/>
    </xf>
    <xf numFmtId="0" fontId="0" fillId="10" borderId="0" xfId="0" applyFill="1"/>
    <xf numFmtId="0" fontId="37" fillId="0" borderId="0" xfId="0" applyFont="1" applyBorder="1" applyAlignment="1">
      <alignment horizontal="center" vertical="center" wrapText="1"/>
    </xf>
    <xf numFmtId="0" fontId="9" fillId="2" borderId="0" xfId="0" applyFont="1" applyFill="1" applyBorder="1" applyAlignment="1">
      <alignment horizontal="center"/>
    </xf>
    <xf numFmtId="0" fontId="37" fillId="0" borderId="0" xfId="0" applyFont="1" applyBorder="1" applyAlignment="1">
      <alignment horizontal="left" vertical="center"/>
    </xf>
    <xf numFmtId="0" fontId="0" fillId="10" borderId="0" xfId="0" applyFill="1" applyAlignment="1">
      <alignment horizontal="center"/>
    </xf>
    <xf numFmtId="0" fontId="14" fillId="11" borderId="55" xfId="0" applyFont="1" applyFill="1" applyBorder="1" applyAlignment="1">
      <alignment horizontal="left"/>
    </xf>
    <xf numFmtId="0" fontId="14" fillId="11" borderId="56" xfId="0" applyFont="1" applyFill="1" applyBorder="1" applyAlignment="1"/>
    <xf numFmtId="0" fontId="0" fillId="11" borderId="56" xfId="0" applyFill="1" applyBorder="1"/>
    <xf numFmtId="0" fontId="0" fillId="11" borderId="57" xfId="0" applyFill="1" applyBorder="1"/>
    <xf numFmtId="0" fontId="0" fillId="0" borderId="59" xfId="0" applyBorder="1"/>
    <xf numFmtId="0" fontId="0" fillId="0" borderId="58" xfId="0" applyBorder="1"/>
    <xf numFmtId="0" fontId="0" fillId="0" borderId="61" xfId="0" applyBorder="1"/>
    <xf numFmtId="0" fontId="0" fillId="0" borderId="62" xfId="0" applyBorder="1" applyAlignment="1"/>
    <xf numFmtId="0" fontId="0" fillId="0" borderId="62" xfId="0" applyBorder="1"/>
    <xf numFmtId="0" fontId="0" fillId="0" borderId="63" xfId="0" applyBorder="1"/>
    <xf numFmtId="0" fontId="1" fillId="0" borderId="58" xfId="0" applyFont="1" applyBorder="1"/>
    <xf numFmtId="0" fontId="0" fillId="0" borderId="0" xfId="0" applyFont="1" applyFill="1"/>
    <xf numFmtId="0" fontId="40" fillId="0" borderId="58" xfId="0" applyFont="1" applyBorder="1"/>
    <xf numFmtId="0" fontId="41" fillId="0" borderId="58" xfId="0" applyFont="1" applyBorder="1"/>
    <xf numFmtId="0" fontId="41" fillId="0" borderId="58" xfId="0" applyFont="1" applyBorder="1" applyAlignment="1">
      <alignment horizontal="right"/>
    </xf>
    <xf numFmtId="0" fontId="40" fillId="0" borderId="58" xfId="0" applyFont="1" applyBorder="1" applyAlignment="1"/>
    <xf numFmtId="0" fontId="23" fillId="0" borderId="0" xfId="0" applyFont="1" applyFill="1" applyBorder="1" applyAlignment="1">
      <alignment horizontal="left" vertical="center" wrapText="1"/>
    </xf>
    <xf numFmtId="0" fontId="23" fillId="0" borderId="25" xfId="0" applyFont="1" applyFill="1" applyBorder="1" applyAlignment="1">
      <alignment horizontal="left" vertical="center" wrapText="1"/>
    </xf>
    <xf numFmtId="0" fontId="23" fillId="0" borderId="0" xfId="0" applyFont="1" applyBorder="1" applyAlignment="1">
      <alignment horizontal="left" vertical="center" wrapText="1"/>
    </xf>
    <xf numFmtId="0" fontId="23" fillId="0" borderId="25" xfId="0" applyFont="1" applyBorder="1" applyAlignment="1">
      <alignment horizontal="left" vertical="center" wrapText="1"/>
    </xf>
    <xf numFmtId="0" fontId="1" fillId="0" borderId="0" xfId="0" applyFont="1"/>
    <xf numFmtId="0" fontId="9" fillId="0" borderId="0" xfId="0" applyFont="1" applyBorder="1" applyAlignment="1">
      <alignment horizontal="center"/>
    </xf>
    <xf numFmtId="0" fontId="9" fillId="2" borderId="64" xfId="0" applyFont="1" applyFill="1" applyBorder="1" applyAlignment="1">
      <alignment horizontal="center"/>
    </xf>
    <xf numFmtId="0" fontId="9" fillId="6" borderId="64" xfId="0" applyFont="1" applyFill="1" applyBorder="1" applyAlignment="1">
      <alignment horizontal="center"/>
    </xf>
    <xf numFmtId="0" fontId="22" fillId="0" borderId="0" xfId="0" applyFont="1" applyFill="1"/>
    <xf numFmtId="0" fontId="24" fillId="0" borderId="0" xfId="0" applyFont="1" applyFill="1"/>
    <xf numFmtId="0" fontId="0" fillId="0" borderId="0" xfId="0" applyFont="1" applyBorder="1" applyAlignment="1"/>
    <xf numFmtId="168" fontId="0" fillId="5" borderId="7" xfId="1" applyNumberFormat="1" applyFont="1" applyFill="1" applyBorder="1"/>
    <xf numFmtId="0" fontId="30" fillId="0" borderId="31" xfId="0" applyNumberFormat="1" applyFont="1" applyBorder="1" applyAlignment="1">
      <alignment horizontal="center" vertical="center"/>
    </xf>
    <xf numFmtId="0" fontId="19" fillId="0" borderId="0" xfId="0" applyFont="1" applyBorder="1" applyAlignment="1">
      <alignment horizontal="right"/>
    </xf>
    <xf numFmtId="0" fontId="19" fillId="0" borderId="24" xfId="0" applyFont="1" applyBorder="1" applyAlignment="1">
      <alignment horizontal="right"/>
    </xf>
    <xf numFmtId="0" fontId="28" fillId="0" borderId="0" xfId="0" applyFont="1"/>
    <xf numFmtId="44" fontId="0" fillId="0" borderId="0" xfId="3" applyFont="1"/>
    <xf numFmtId="164" fontId="32" fillId="0" borderId="0" xfId="1" applyNumberFormat="1" applyFont="1" applyBorder="1" applyAlignment="1">
      <alignment horizontal="left"/>
    </xf>
    <xf numFmtId="0" fontId="0" fillId="0" borderId="0" xfId="0" applyFill="1" applyBorder="1" applyAlignment="1">
      <alignment horizontal="center" vertical="center"/>
    </xf>
    <xf numFmtId="0" fontId="33" fillId="0" borderId="0" xfId="0" applyFont="1" applyFill="1" applyBorder="1" applyAlignment="1">
      <alignment vertical="center"/>
    </xf>
    <xf numFmtId="0" fontId="34" fillId="0" borderId="0" xfId="0" applyFont="1" applyFill="1" applyBorder="1" applyAlignment="1">
      <alignment vertical="center"/>
    </xf>
    <xf numFmtId="0" fontId="1" fillId="3" borderId="0" xfId="0" applyFont="1" applyFill="1"/>
    <xf numFmtId="0" fontId="0" fillId="0" borderId="65" xfId="0" applyBorder="1"/>
    <xf numFmtId="0" fontId="0" fillId="0" borderId="65" xfId="0" applyFont="1" applyBorder="1" applyAlignment="1">
      <alignment horizontal="justify" vertical="center"/>
    </xf>
    <xf numFmtId="0" fontId="0" fillId="0" borderId="65" xfId="0" applyBorder="1" applyAlignment="1">
      <alignment vertical="top" wrapText="1"/>
    </xf>
    <xf numFmtId="0" fontId="0" fillId="0" borderId="65" xfId="0" applyBorder="1" applyAlignment="1">
      <alignment vertical="top"/>
    </xf>
    <xf numFmtId="0" fontId="0" fillId="0" borderId="65" xfId="0" applyBorder="1" applyAlignment="1">
      <alignment wrapText="1"/>
    </xf>
    <xf numFmtId="9" fontId="0" fillId="0" borderId="67" xfId="2" applyFont="1" applyFill="1" applyBorder="1" applyProtection="1">
      <protection locked="0"/>
    </xf>
    <xf numFmtId="165" fontId="0" fillId="0" borderId="66" xfId="0" applyNumberFormat="1" applyFill="1" applyBorder="1" applyProtection="1">
      <protection locked="0"/>
    </xf>
    <xf numFmtId="0" fontId="0" fillId="0" borderId="6" xfId="0" applyFont="1" applyFill="1" applyBorder="1" applyAlignment="1">
      <alignment horizontal="right"/>
    </xf>
    <xf numFmtId="0" fontId="0" fillId="2" borderId="7" xfId="0" applyFill="1" applyBorder="1" applyAlignment="1">
      <alignment horizontal="left" vertical="center" readingOrder="1"/>
    </xf>
    <xf numFmtId="0" fontId="1" fillId="0" borderId="0" xfId="0" applyFont="1"/>
    <xf numFmtId="165" fontId="0" fillId="0" borderId="68" xfId="0" applyNumberFormat="1" applyFill="1" applyBorder="1" applyProtection="1">
      <protection locked="0"/>
    </xf>
    <xf numFmtId="165" fontId="0" fillId="0" borderId="69" xfId="0" applyNumberFormat="1" applyFill="1" applyBorder="1" applyProtection="1">
      <protection locked="0"/>
    </xf>
    <xf numFmtId="0" fontId="35" fillId="13" borderId="0" xfId="0" applyFont="1" applyFill="1"/>
    <xf numFmtId="0" fontId="2" fillId="9" borderId="24" xfId="0" applyFont="1" applyFill="1" applyBorder="1"/>
    <xf numFmtId="0" fontId="11" fillId="7" borderId="54" xfId="0" applyFont="1" applyFill="1" applyBorder="1" applyAlignment="1">
      <alignment horizontal="center" vertical="center"/>
    </xf>
    <xf numFmtId="0" fontId="29" fillId="7" borderId="0" xfId="0" applyFont="1" applyFill="1" applyBorder="1" applyAlignment="1">
      <alignment horizontal="left"/>
    </xf>
    <xf numFmtId="0" fontId="29" fillId="9" borderId="0" xfId="0" applyFont="1" applyFill="1" applyBorder="1" applyAlignment="1">
      <alignment horizontal="left" vertical="center"/>
    </xf>
    <xf numFmtId="0" fontId="21" fillId="0" borderId="0" xfId="0" applyFont="1" applyBorder="1" applyAlignment="1">
      <alignment horizontal="center" wrapText="1"/>
    </xf>
    <xf numFmtId="0" fontId="21" fillId="0" borderId="0" xfId="0" applyFont="1" applyBorder="1" applyAlignment="1">
      <alignment horizontal="center"/>
    </xf>
    <xf numFmtId="0" fontId="23" fillId="0" borderId="12" xfId="0" applyFont="1" applyBorder="1" applyAlignment="1">
      <alignment vertical="top" wrapText="1"/>
    </xf>
    <xf numFmtId="0" fontId="23" fillId="0" borderId="0" xfId="0" applyFont="1" applyBorder="1" applyAlignment="1">
      <alignment vertical="top" wrapText="1"/>
    </xf>
    <xf numFmtId="0" fontId="1" fillId="0" borderId="0" xfId="0" applyFont="1" applyAlignment="1">
      <alignment horizontal="left" vertical="center"/>
    </xf>
    <xf numFmtId="0" fontId="11" fillId="10" borderId="0" xfId="0" applyFont="1" applyFill="1" applyBorder="1" applyAlignment="1">
      <alignment horizontal="center"/>
    </xf>
    <xf numFmtId="0" fontId="11" fillId="10" borderId="0" xfId="0" applyFont="1" applyFill="1" applyAlignment="1">
      <alignment horizontal="center"/>
    </xf>
    <xf numFmtId="0" fontId="45" fillId="0" borderId="0" xfId="0" applyFont="1" applyFill="1" applyBorder="1" applyAlignment="1">
      <alignment vertical="center"/>
    </xf>
    <xf numFmtId="0" fontId="0" fillId="0" borderId="0" xfId="0" applyAlignment="1">
      <alignment vertical="center" wrapText="1"/>
    </xf>
    <xf numFmtId="0" fontId="46" fillId="10" borderId="0" xfId="0" applyFont="1" applyFill="1" applyBorder="1" applyAlignment="1">
      <alignment horizontal="left" vertical="center"/>
    </xf>
    <xf numFmtId="0" fontId="46" fillId="10" borderId="0" xfId="0" applyFont="1" applyFill="1" applyAlignment="1">
      <alignment vertical="center"/>
    </xf>
    <xf numFmtId="0" fontId="47" fillId="0" borderId="0" xfId="0" applyFont="1" applyFill="1" applyBorder="1" applyAlignment="1">
      <alignment vertical="center"/>
    </xf>
    <xf numFmtId="0" fontId="14" fillId="14" borderId="70" xfId="0" applyFont="1" applyFill="1" applyBorder="1" applyAlignment="1">
      <alignment horizontal="left"/>
    </xf>
    <xf numFmtId="0" fontId="14" fillId="14" borderId="71" xfId="0" applyFont="1" applyFill="1" applyBorder="1"/>
    <xf numFmtId="0" fontId="0" fillId="14" borderId="71" xfId="0" applyFill="1" applyBorder="1"/>
    <xf numFmtId="0" fontId="0" fillId="14" borderId="72" xfId="0" applyFill="1" applyBorder="1"/>
    <xf numFmtId="0" fontId="0" fillId="0" borderId="74" xfId="0" applyBorder="1"/>
    <xf numFmtId="0" fontId="15" fillId="0" borderId="73" xfId="0" applyFont="1" applyBorder="1"/>
    <xf numFmtId="0" fontId="15" fillId="0" borderId="75" xfId="0" applyFont="1" applyBorder="1" applyAlignment="1">
      <alignment horizontal="left"/>
    </xf>
    <xf numFmtId="0" fontId="15" fillId="0" borderId="76" xfId="0" applyFont="1" applyBorder="1"/>
    <xf numFmtId="0" fontId="0" fillId="0" borderId="76" xfId="0" applyBorder="1"/>
    <xf numFmtId="0" fontId="0" fillId="0" borderId="77" xfId="0" applyBorder="1"/>
    <xf numFmtId="0" fontId="15" fillId="0" borderId="73" xfId="0" applyFont="1" applyBorder="1" applyAlignment="1">
      <alignment horizontal="left"/>
    </xf>
    <xf numFmtId="0" fontId="0" fillId="0" borderId="79" xfId="0" applyBorder="1"/>
    <xf numFmtId="0" fontId="0" fillId="0" borderId="80" xfId="0" applyBorder="1"/>
    <xf numFmtId="0" fontId="0" fillId="0" borderId="81" xfId="0" applyBorder="1"/>
    <xf numFmtId="0" fontId="0" fillId="0" borderId="82" xfId="0" applyBorder="1"/>
    <xf numFmtId="0" fontId="0" fillId="0" borderId="83" xfId="0" applyBorder="1"/>
    <xf numFmtId="0" fontId="35" fillId="0" borderId="82" xfId="0" applyFont="1" applyBorder="1"/>
    <xf numFmtId="0" fontId="0" fillId="0" borderId="83" xfId="0" applyBorder="1" applyAlignment="1">
      <alignment horizontal="center"/>
    </xf>
    <xf numFmtId="0" fontId="0" fillId="0" borderId="84" xfId="0" applyBorder="1"/>
    <xf numFmtId="0" fontId="0" fillId="0" borderId="85" xfId="0" applyBorder="1"/>
    <xf numFmtId="0" fontId="0" fillId="0" borderId="86" xfId="0" applyBorder="1" applyAlignment="1">
      <alignment horizontal="center"/>
    </xf>
    <xf numFmtId="0" fontId="0" fillId="0" borderId="80" xfId="0" applyBorder="1" applyAlignment="1">
      <alignment horizontal="right"/>
    </xf>
    <xf numFmtId="0" fontId="12" fillId="0" borderId="0" xfId="0" applyFont="1" applyBorder="1" applyAlignment="1">
      <alignment horizontal="right" wrapText="1"/>
    </xf>
    <xf numFmtId="0" fontId="0" fillId="0" borderId="0" xfId="0" applyBorder="1" applyAlignment="1">
      <alignment horizontal="center"/>
    </xf>
    <xf numFmtId="0" fontId="0" fillId="0" borderId="0" xfId="0" applyBorder="1" applyAlignment="1">
      <alignment horizontal="right" wrapText="1"/>
    </xf>
    <xf numFmtId="0" fontId="0" fillId="0" borderId="86" xfId="0" applyBorder="1"/>
    <xf numFmtId="44" fontId="0" fillId="0" borderId="78" xfId="3" applyFont="1" applyBorder="1"/>
    <xf numFmtId="0" fontId="0" fillId="10" borderId="79" xfId="0" applyFill="1" applyBorder="1"/>
    <xf numFmtId="0" fontId="23" fillId="10" borderId="80" xfId="0" applyFont="1" applyFill="1" applyBorder="1"/>
    <xf numFmtId="0" fontId="0" fillId="10" borderId="80" xfId="0" applyFill="1" applyBorder="1"/>
    <xf numFmtId="0" fontId="0" fillId="10" borderId="81" xfId="0" applyFill="1" applyBorder="1"/>
    <xf numFmtId="0" fontId="0" fillId="10" borderId="82" xfId="0" applyFill="1" applyBorder="1"/>
    <xf numFmtId="0" fontId="0" fillId="10" borderId="0" xfId="0" applyFill="1" applyBorder="1"/>
    <xf numFmtId="0" fontId="0" fillId="10" borderId="83" xfId="0" applyFill="1" applyBorder="1"/>
    <xf numFmtId="0" fontId="36" fillId="0" borderId="0" xfId="0" applyFont="1" applyBorder="1"/>
    <xf numFmtId="2" fontId="1" fillId="0" borderId="0" xfId="0" applyNumberFormat="1" applyFont="1" applyBorder="1" applyAlignment="1">
      <alignment horizontal="left"/>
    </xf>
    <xf numFmtId="0" fontId="17" fillId="0" borderId="0" xfId="0" applyFont="1" applyBorder="1"/>
    <xf numFmtId="0" fontId="0" fillId="0" borderId="85" xfId="0" applyFont="1" applyBorder="1" applyAlignment="1">
      <alignment horizontal="right" vertical="center"/>
    </xf>
    <xf numFmtId="0" fontId="48" fillId="10" borderId="80" xfId="0" applyFont="1" applyFill="1" applyBorder="1" applyAlignment="1">
      <alignment vertical="center"/>
    </xf>
    <xf numFmtId="0" fontId="48" fillId="10" borderId="0" xfId="0" applyFont="1" applyFill="1" applyBorder="1" applyAlignment="1">
      <alignment vertical="center"/>
    </xf>
    <xf numFmtId="0" fontId="23" fillId="0" borderId="83" xfId="0" applyFont="1" applyBorder="1" applyAlignment="1">
      <alignment vertical="top" wrapText="1"/>
    </xf>
    <xf numFmtId="0" fontId="23" fillId="0" borderId="0" xfId="0" applyFont="1" applyBorder="1" applyAlignment="1">
      <alignment vertical="center"/>
    </xf>
    <xf numFmtId="0" fontId="1" fillId="0" borderId="85" xfId="0" applyFont="1" applyBorder="1"/>
    <xf numFmtId="0" fontId="37" fillId="0" borderId="0" xfId="0" applyFont="1" applyAlignment="1">
      <alignment horizontal="right"/>
    </xf>
    <xf numFmtId="0" fontId="32" fillId="0" borderId="0" xfId="0" applyFont="1" applyBorder="1" applyAlignment="1">
      <alignment horizontal="left" vertical="center"/>
    </xf>
    <xf numFmtId="0" fontId="30" fillId="0" borderId="0" xfId="0" applyFont="1" applyBorder="1" applyAlignment="1">
      <alignment horizontal="center" vertical="center"/>
    </xf>
    <xf numFmtId="0" fontId="30" fillId="0" borderId="0" xfId="0" applyNumberFormat="1" applyFont="1" applyBorder="1" applyAlignment="1">
      <alignment horizontal="center" vertical="center"/>
    </xf>
    <xf numFmtId="0" fontId="50" fillId="0" borderId="0" xfId="0" applyFont="1" applyAlignment="1"/>
    <xf numFmtId="0" fontId="12" fillId="0" borderId="0" xfId="0" applyFont="1" applyAlignment="1">
      <alignment horizontal="left"/>
    </xf>
    <xf numFmtId="0" fontId="23" fillId="0" borderId="0" xfId="0" applyFont="1" applyBorder="1" applyAlignment="1">
      <alignment wrapText="1"/>
    </xf>
    <xf numFmtId="0" fontId="35" fillId="0" borderId="0" xfId="0" applyFont="1" applyBorder="1"/>
    <xf numFmtId="0" fontId="38" fillId="0" borderId="0" xfId="4" applyBorder="1"/>
    <xf numFmtId="0" fontId="39" fillId="0" borderId="0" xfId="0" applyFont="1" applyBorder="1"/>
    <xf numFmtId="0" fontId="17" fillId="0" borderId="0" xfId="0" applyFont="1" applyBorder="1" applyAlignment="1">
      <alignment wrapText="1"/>
    </xf>
    <xf numFmtId="0" fontId="0" fillId="8" borderId="0" xfId="0" applyFill="1" applyBorder="1"/>
    <xf numFmtId="0" fontId="0" fillId="9" borderId="0" xfId="0" applyFill="1" applyBorder="1"/>
    <xf numFmtId="0" fontId="0" fillId="0" borderId="87" xfId="0" applyBorder="1"/>
    <xf numFmtId="0" fontId="0" fillId="0" borderId="88" xfId="0" applyBorder="1"/>
    <xf numFmtId="0" fontId="0" fillId="0" borderId="89" xfId="0" applyBorder="1"/>
    <xf numFmtId="0" fontId="0" fillId="0" borderId="90" xfId="0" applyBorder="1"/>
    <xf numFmtId="0" fontId="0" fillId="0" borderId="91" xfId="0" applyBorder="1"/>
    <xf numFmtId="0" fontId="0" fillId="0" borderId="92" xfId="0" applyBorder="1"/>
    <xf numFmtId="0" fontId="0" fillId="0" borderId="93" xfId="0" applyBorder="1"/>
    <xf numFmtId="0" fontId="0" fillId="0" borderId="94" xfId="0" applyBorder="1"/>
    <xf numFmtId="170" fontId="0" fillId="2" borderId="4" xfId="1" applyNumberFormat="1" applyFont="1" applyFill="1" applyBorder="1" applyAlignment="1">
      <alignment horizontal="right"/>
    </xf>
    <xf numFmtId="0" fontId="29" fillId="7" borderId="29" xfId="0" applyFont="1" applyFill="1" applyBorder="1" applyAlignment="1">
      <alignment horizontal="center" vertical="center"/>
    </xf>
    <xf numFmtId="0" fontId="1" fillId="0" borderId="0" xfId="0" applyFont="1"/>
    <xf numFmtId="0" fontId="22" fillId="0" borderId="0" xfId="0" applyFont="1" applyBorder="1" applyAlignment="1">
      <alignment wrapText="1"/>
    </xf>
    <xf numFmtId="0" fontId="23" fillId="0" borderId="82" xfId="0" applyFont="1" applyBorder="1" applyAlignment="1">
      <alignment vertical="center" wrapText="1"/>
    </xf>
    <xf numFmtId="0" fontId="22" fillId="0" borderId="0" xfId="0" applyFont="1" applyBorder="1" applyAlignment="1">
      <alignment vertical="top" wrapText="1"/>
    </xf>
    <xf numFmtId="0" fontId="22" fillId="0" borderId="0" xfId="0" applyFont="1" applyBorder="1" applyAlignment="1">
      <alignment vertical="center"/>
    </xf>
    <xf numFmtId="0" fontId="12" fillId="0" borderId="0" xfId="0" applyFont="1" applyBorder="1" applyAlignment="1">
      <alignment vertical="center" wrapText="1"/>
    </xf>
    <xf numFmtId="0" fontId="52" fillId="0" borderId="0" xfId="0" applyFont="1" applyBorder="1" applyAlignment="1">
      <alignment horizontal="center"/>
    </xf>
    <xf numFmtId="0" fontId="51" fillId="9" borderId="0" xfId="0" applyFont="1" applyFill="1" applyBorder="1" applyAlignment="1">
      <alignment horizontal="left" vertical="center"/>
    </xf>
    <xf numFmtId="14" fontId="51" fillId="9" borderId="0" xfId="0" applyNumberFormat="1" applyFont="1" applyFill="1" applyBorder="1" applyAlignment="1">
      <alignment horizontal="left" vertical="center"/>
    </xf>
    <xf numFmtId="0" fontId="51" fillId="7" borderId="0" xfId="0" applyFont="1" applyFill="1" applyAlignment="1">
      <alignment horizontal="left"/>
    </xf>
    <xf numFmtId="0" fontId="53" fillId="7" borderId="0" xfId="0" applyFont="1" applyFill="1" applyBorder="1" applyAlignment="1">
      <alignment horizontal="left"/>
    </xf>
    <xf numFmtId="0" fontId="53" fillId="9" borderId="0" xfId="0" applyFont="1" applyFill="1" applyBorder="1" applyAlignment="1">
      <alignment horizontal="left" vertical="center"/>
    </xf>
    <xf numFmtId="0" fontId="55" fillId="10" borderId="7" xfId="4" applyFont="1" applyFill="1" applyBorder="1" applyAlignment="1">
      <alignment horizontal="center"/>
    </xf>
    <xf numFmtId="0" fontId="19" fillId="0" borderId="0" xfId="0" applyFont="1"/>
    <xf numFmtId="0" fontId="19" fillId="0" borderId="0" xfId="0" applyFont="1" applyBorder="1" applyAlignment="1">
      <alignment horizontal="left"/>
    </xf>
    <xf numFmtId="43" fontId="0" fillId="0" borderId="95" xfId="0" applyNumberFormat="1" applyFill="1" applyBorder="1"/>
    <xf numFmtId="43" fontId="0" fillId="0" borderId="0" xfId="0" applyNumberFormat="1" applyFill="1" applyBorder="1"/>
    <xf numFmtId="0" fontId="0" fillId="5" borderId="7" xfId="1" applyNumberFormat="1" applyFont="1" applyFill="1" applyBorder="1"/>
    <xf numFmtId="165" fontId="0" fillId="2" borderId="7" xfId="0" applyNumberFormat="1" applyFill="1" applyBorder="1" applyAlignment="1">
      <alignment horizontal="right"/>
    </xf>
    <xf numFmtId="165" fontId="0" fillId="5" borderId="7" xfId="1" applyNumberFormat="1" applyFont="1" applyFill="1" applyBorder="1"/>
    <xf numFmtId="0" fontId="39" fillId="0" borderId="0" xfId="0" applyFont="1"/>
    <xf numFmtId="0" fontId="22" fillId="0" borderId="94" xfId="0" applyFont="1" applyBorder="1" applyAlignment="1">
      <alignment horizontal="right"/>
    </xf>
    <xf numFmtId="0" fontId="0" fillId="0" borderId="7" xfId="0" applyNumberFormat="1" applyFill="1" applyBorder="1" applyAlignment="1">
      <alignment horizontal="center"/>
    </xf>
    <xf numFmtId="0" fontId="43" fillId="12" borderId="0" xfId="4" applyFont="1" applyFill="1" applyBorder="1" applyAlignment="1">
      <alignment horizontal="center"/>
    </xf>
    <xf numFmtId="0" fontId="42" fillId="0" borderId="0" xfId="0" applyFont="1" applyBorder="1" applyAlignment="1">
      <alignment horizontal="left" vertical="center" wrapText="1"/>
    </xf>
    <xf numFmtId="0" fontId="42" fillId="0" borderId="83" xfId="0" applyFont="1" applyBorder="1" applyAlignment="1">
      <alignment horizontal="left" vertical="center" wrapText="1"/>
    </xf>
    <xf numFmtId="0" fontId="48" fillId="10" borderId="80" xfId="0" applyFont="1" applyFill="1" applyBorder="1" applyAlignment="1">
      <alignment horizontal="left" vertical="center" wrapText="1"/>
    </xf>
    <xf numFmtId="0" fontId="48" fillId="10" borderId="81" xfId="0" applyFont="1" applyFill="1" applyBorder="1" applyAlignment="1">
      <alignment horizontal="left" vertical="center" wrapText="1"/>
    </xf>
    <xf numFmtId="0" fontId="21" fillId="0" borderId="73" xfId="0" applyFont="1" applyBorder="1" applyAlignment="1">
      <alignment horizontal="left" vertical="center" wrapText="1"/>
    </xf>
    <xf numFmtId="0" fontId="21" fillId="0" borderId="0" xfId="0" applyFont="1" applyBorder="1" applyAlignment="1">
      <alignment horizontal="left" vertical="center" wrapText="1"/>
    </xf>
    <xf numFmtId="0" fontId="21" fillId="0" borderId="74" xfId="0" applyFont="1" applyBorder="1" applyAlignment="1">
      <alignment horizontal="left" vertical="center" wrapText="1"/>
    </xf>
    <xf numFmtId="0" fontId="46" fillId="10" borderId="0" xfId="0" applyFont="1" applyFill="1" applyAlignment="1">
      <alignment horizontal="left" vertical="center" wrapText="1"/>
    </xf>
    <xf numFmtId="0" fontId="44" fillId="10" borderId="0" xfId="0" applyFont="1" applyFill="1" applyAlignment="1">
      <alignment horizontal="center" vertical="center" wrapText="1"/>
    </xf>
    <xf numFmtId="0" fontId="56" fillId="0" borderId="0" xfId="4" applyFont="1" applyBorder="1" applyAlignment="1">
      <alignment horizontal="center"/>
    </xf>
    <xf numFmtId="0" fontId="23" fillId="0" borderId="0" xfId="0" applyFont="1" applyFill="1" applyBorder="1" applyAlignment="1">
      <alignment horizontal="left" vertical="center" wrapText="1"/>
    </xf>
    <xf numFmtId="0" fontId="23" fillId="0" borderId="0" xfId="0" applyFont="1" applyBorder="1" applyAlignment="1">
      <alignment horizontal="left" vertical="center" wrapText="1"/>
    </xf>
    <xf numFmtId="0" fontId="0" fillId="0" borderId="44" xfId="0" applyFill="1" applyBorder="1" applyAlignment="1">
      <alignment horizontal="center"/>
    </xf>
    <xf numFmtId="0" fontId="0" fillId="0" borderId="45" xfId="0" applyFill="1" applyBorder="1" applyAlignment="1">
      <alignment horizontal="center"/>
    </xf>
    <xf numFmtId="0" fontId="0" fillId="0" borderId="60" xfId="0" applyFill="1" applyBorder="1" applyAlignment="1">
      <alignment horizontal="center"/>
    </xf>
    <xf numFmtId="0" fontId="9" fillId="5" borderId="13" xfId="0" applyFont="1" applyFill="1" applyBorder="1" applyAlignment="1">
      <alignment horizontal="left" vertical="top" wrapText="1"/>
    </xf>
    <xf numFmtId="0" fontId="8" fillId="0" borderId="9" xfId="0" applyFont="1" applyBorder="1" applyAlignment="1">
      <alignment horizontal="center" wrapText="1"/>
    </xf>
    <xf numFmtId="0" fontId="49" fillId="0" borderId="0" xfId="0" applyFont="1" applyBorder="1" applyAlignment="1">
      <alignment horizontal="center" wrapText="1"/>
    </xf>
    <xf numFmtId="0" fontId="22" fillId="0" borderId="51" xfId="0" applyFont="1" applyBorder="1" applyAlignment="1">
      <alignment horizontal="left" vertical="center" wrapText="1"/>
    </xf>
    <xf numFmtId="0" fontId="22" fillId="0" borderId="0" xfId="0" applyFont="1" applyBorder="1" applyAlignment="1">
      <alignment horizontal="left" vertical="center" wrapText="1"/>
    </xf>
    <xf numFmtId="0" fontId="12" fillId="0" borderId="0" xfId="0" applyFont="1" applyAlignment="1">
      <alignment horizontal="center"/>
    </xf>
    <xf numFmtId="0" fontId="0" fillId="0" borderId="50" xfId="0" applyFill="1" applyBorder="1" applyAlignment="1">
      <alignment horizontal="center"/>
    </xf>
    <xf numFmtId="0" fontId="0" fillId="0" borderId="52" xfId="0" applyFill="1" applyBorder="1" applyAlignment="1">
      <alignment horizontal="center"/>
    </xf>
    <xf numFmtId="0" fontId="4" fillId="12" borderId="0" xfId="0" applyFont="1" applyFill="1" applyBorder="1" applyAlignment="1">
      <alignment horizontal="center"/>
    </xf>
    <xf numFmtId="0" fontId="12" fillId="0" borderId="51" xfId="0" applyFont="1" applyFill="1" applyBorder="1" applyAlignment="1">
      <alignment horizontal="center"/>
    </xf>
    <xf numFmtId="0" fontId="12" fillId="0" borderId="0" xfId="0" applyFont="1" applyFill="1" applyAlignment="1">
      <alignment horizontal="center"/>
    </xf>
    <xf numFmtId="0" fontId="11" fillId="7" borderId="54" xfId="0" applyFont="1" applyFill="1" applyBorder="1" applyAlignment="1">
      <alignment horizontal="center" vertical="center"/>
    </xf>
    <xf numFmtId="0" fontId="11" fillId="7" borderId="0" xfId="0" applyFont="1" applyFill="1" applyBorder="1" applyAlignment="1">
      <alignment horizontal="center" vertical="center"/>
    </xf>
    <xf numFmtId="0" fontId="9" fillId="5" borderId="13" xfId="0" applyFont="1" applyFill="1" applyBorder="1" applyAlignment="1">
      <alignment vertical="top" wrapText="1"/>
    </xf>
    <xf numFmtId="0" fontId="1" fillId="0" borderId="0" xfId="0" applyFont="1"/>
  </cellXfs>
  <cellStyles count="5">
    <cellStyle name="Comma" xfId="1" builtinId="3"/>
    <cellStyle name="Currency" xfId="3" builtinId="4"/>
    <cellStyle name="Hyperlink" xfId="4" builtinId="8"/>
    <cellStyle name="Normal" xfId="0" builtinId="0"/>
    <cellStyle name="Percent" xfId="2" builtinId="5"/>
  </cellStyles>
  <dxfs count="3">
    <dxf>
      <border diagonalUp="0" diagonalDown="0">
        <left style="thin">
          <color theme="9" tint="-0.249977111117893"/>
        </left>
        <right style="thin">
          <color theme="9" tint="-0.249977111117893"/>
        </right>
        <top style="thin">
          <color theme="9" tint="-0.249977111117893"/>
        </top>
        <bottom style="thin">
          <color theme="9" tint="-0.249977111117893"/>
        </bottom>
        <vertical style="thin">
          <color theme="9" tint="-0.249977111117893"/>
        </vertical>
        <horizontal style="thin">
          <color theme="9" tint="-0.249977111117893"/>
        </horizontal>
      </border>
    </dxf>
    <dxf>
      <border diagonalUp="0" diagonalDown="0">
        <left style="thin">
          <color theme="9" tint="-0.249977111117893"/>
        </left>
        <right style="thin">
          <color theme="9" tint="-0.249977111117893"/>
        </right>
        <top style="thin">
          <color theme="9" tint="-0.249977111117893"/>
        </top>
        <bottom style="thin">
          <color theme="9" tint="-0.249977111117893"/>
        </bottom>
        <vertical style="thin">
          <color theme="9" tint="-0.249977111117893"/>
        </vertical>
        <horizontal style="thin">
          <color theme="9" tint="-0.249977111117893"/>
        </horizontal>
      </border>
    </dxf>
    <dxf>
      <font>
        <b/>
        <i val="0"/>
        <strike val="0"/>
        <condense val="0"/>
        <extend val="0"/>
        <outline val="0"/>
        <shadow val="0"/>
        <u val="none"/>
        <vertAlign val="baseline"/>
        <sz val="11"/>
        <color theme="1"/>
        <name val="Calibri"/>
        <family val="2"/>
        <scheme val="minor"/>
      </font>
      <fill>
        <patternFill patternType="solid">
          <fgColor indexed="64"/>
          <bgColor theme="9" tint="-0.249977111117893"/>
        </patternFill>
      </fill>
    </dxf>
  </dxfs>
  <tableStyles count="0" defaultTableStyle="TableStyleMedium2" defaultPivotStyle="PivotStyleLight16"/>
  <colors>
    <mruColors>
      <color rgb="FFFF7A7D"/>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ustomXml" Target="../customXml/item1.xml"/><Relationship Id="rId30" Type="http://schemas.openxmlformats.org/officeDocument/2006/relationships/customXml" Target="../customXml/item4.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accent6">
                    <a:lumMod val="75000"/>
                  </a:schemeClr>
                </a:solidFill>
                <a:latin typeface="+mn-lt"/>
                <a:ea typeface="+mn-ea"/>
                <a:cs typeface="+mn-cs"/>
              </a:defRPr>
            </a:pPr>
            <a:r>
              <a:rPr lang="en-US" sz="1800" b="1">
                <a:solidFill>
                  <a:schemeClr val="accent6">
                    <a:lumMod val="75000"/>
                  </a:schemeClr>
                </a:solidFill>
              </a:rPr>
              <a:t>In-Field</a:t>
            </a:r>
            <a:r>
              <a:rPr lang="en-US" sz="1800" b="1" baseline="0">
                <a:solidFill>
                  <a:schemeClr val="accent6">
                    <a:lumMod val="75000"/>
                  </a:schemeClr>
                </a:solidFill>
              </a:rPr>
              <a:t> </a:t>
            </a:r>
            <a:r>
              <a:rPr lang="en-US" sz="1800" b="1">
                <a:solidFill>
                  <a:schemeClr val="accent6">
                    <a:lumMod val="75000"/>
                  </a:schemeClr>
                </a:solidFill>
              </a:rPr>
              <a:t>Loss</a:t>
            </a:r>
          </a:p>
        </c:rich>
      </c:tx>
      <c:layout>
        <c:manualLayout>
          <c:xMode val="edge"/>
          <c:yMode val="edge"/>
          <c:x val="0.19315138692345896"/>
          <c:y val="1.7592887932998565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accent6">
                  <a:lumMod val="75000"/>
                </a:schemeClr>
              </a:solidFill>
              <a:latin typeface="+mn-lt"/>
              <a:ea typeface="+mn-ea"/>
              <a:cs typeface="+mn-cs"/>
            </a:defRPr>
          </a:pPr>
          <a:endParaRPr lang="en-US"/>
        </a:p>
      </c:txPr>
    </c:title>
    <c:autoTitleDeleted val="0"/>
    <c:plotArea>
      <c:layout/>
      <c:barChart>
        <c:barDir val="col"/>
        <c:grouping val="clustered"/>
        <c:varyColors val="0"/>
        <c:ser>
          <c:idx val="0"/>
          <c:order val="0"/>
          <c:tx>
            <c:strRef>
              <c:f>'Metric Table'!$D$11</c:f>
              <c:strCache>
                <c:ptCount val="1"/>
                <c:pt idx="0">
                  <c:v>TOTAL LOSS/ACRE</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'Metric Table'!$C$14:$C$16</c:f>
              <c:strCache>
                <c:ptCount val="3"/>
                <c:pt idx="0">
                  <c:v>Marketable In-Field Loss (Measured)</c:v>
                </c:pt>
                <c:pt idx="1">
                  <c:v>Edible, Not Marketable In-Field Loss (Measured)</c:v>
                </c:pt>
                <c:pt idx="2">
                  <c:v>Inedible In-Field Loss (Measured)</c:v>
                </c:pt>
              </c:strCache>
            </c:strRef>
          </c:cat>
          <c:val>
            <c:numRef>
              <c:f>'Metric Table'!$D$14:$D$16</c:f>
              <c:numCache>
                <c:formatCode>_(* #,##0_);_(* \(#,##0\);_(* "-"??_);_(@_)</c:formatCode>
                <c:ptCount val="3"/>
                <c:pt idx="0">
                  <c:v>0</c:v>
                </c:pt>
                <c:pt idx="1">
                  <c:v>0</c:v>
                </c:pt>
                <c:pt idx="2">
                  <c:v>0</c:v>
                </c:pt>
              </c:numCache>
            </c:numRef>
          </c:val>
          <c:extLst>
            <c:ext xmlns:c16="http://schemas.microsoft.com/office/drawing/2014/chart" uri="{C3380CC4-5D6E-409C-BE32-E72D297353CC}">
              <c16:uniqueId val="{00000000-A63D-854A-9211-FE04B6571239}"/>
            </c:ext>
          </c:extLst>
        </c:ser>
        <c:dLbls>
          <c:showLegendKey val="0"/>
          <c:showVal val="0"/>
          <c:showCatName val="0"/>
          <c:showSerName val="0"/>
          <c:showPercent val="0"/>
          <c:showBubbleSize val="0"/>
        </c:dLbls>
        <c:gapWidth val="219"/>
        <c:overlap val="-27"/>
        <c:axId val="300833167"/>
        <c:axId val="300834815"/>
      </c:barChart>
      <c:catAx>
        <c:axId val="300833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crossAx val="300834815"/>
        <c:crosses val="autoZero"/>
        <c:auto val="1"/>
        <c:lblAlgn val="ctr"/>
        <c:lblOffset val="100"/>
        <c:noMultiLvlLbl val="0"/>
      </c:catAx>
      <c:valAx>
        <c:axId val="3008348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30083316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Storage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6"/>
              </a:solidFill>
              <a:ln w="19050">
                <a:solidFill>
                  <a:schemeClr val="lt1"/>
                </a:solidFill>
              </a:ln>
              <a:effectLst/>
            </c:spPr>
            <c:extLst>
              <c:ext xmlns:c16="http://schemas.microsoft.com/office/drawing/2014/chart" uri="{C3380CC4-5D6E-409C-BE32-E72D297353CC}">
                <c16:uniqueId val="{00000001-8A53-504E-879A-0E0D433ED8F9}"/>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3-8A53-504E-879A-0E0D433ED8F9}"/>
              </c:ext>
            </c:extLst>
          </c:dPt>
          <c:dPt>
            <c:idx val="2"/>
            <c:bubble3D val="0"/>
            <c:spPr>
              <a:solidFill>
                <a:schemeClr val="accent4"/>
              </a:solidFill>
              <a:ln w="19050">
                <a:solidFill>
                  <a:schemeClr val="lt1"/>
                </a:solidFill>
              </a:ln>
              <a:effectLst/>
            </c:spPr>
            <c:extLst>
              <c:ext xmlns:c16="http://schemas.microsoft.com/office/drawing/2014/chart" uri="{C3380CC4-5D6E-409C-BE32-E72D297353CC}">
                <c16:uniqueId val="{00000005-8A53-504E-879A-0E0D433ED8F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'Reasons for Loss'!$D$59:$F$59</c:f>
              <c:numCache>
                <c:formatCode>0.0</c:formatCode>
                <c:ptCount val="3"/>
              </c:numCache>
            </c:numRef>
          </c:cat>
          <c:val>
            <c:numRef>
              <c:f>'Reasons for Loss'!$D$60:$F$60</c:f>
              <c:numCache>
                <c:formatCode>0%</c:formatCode>
                <c:ptCount val="3"/>
              </c:numCache>
            </c:numRef>
          </c:val>
          <c:extLst>
            <c:ext xmlns:c16="http://schemas.microsoft.com/office/drawing/2014/chart" uri="{C3380CC4-5D6E-409C-BE32-E72D297353CC}">
              <c16:uniqueId val="{00000006-8A53-504E-879A-0E0D433ED8F9}"/>
            </c:ext>
          </c:extLst>
        </c:ser>
        <c:dLbls>
          <c:dLblPos val="inEnd"/>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Storage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6"/>
              </a:solidFill>
              <a:ln w="19050">
                <a:solidFill>
                  <a:schemeClr val="lt1"/>
                </a:solidFill>
              </a:ln>
              <a:effectLst/>
            </c:spPr>
            <c:extLst>
              <c:ext xmlns:c16="http://schemas.microsoft.com/office/drawing/2014/chart" uri="{C3380CC4-5D6E-409C-BE32-E72D297353CC}">
                <c16:uniqueId val="{00000001-52BC-704A-9616-343FAD14FF2F}"/>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3-52BC-704A-9616-343FAD14FF2F}"/>
              </c:ext>
            </c:extLst>
          </c:dPt>
          <c:dPt>
            <c:idx val="2"/>
            <c:bubble3D val="0"/>
            <c:spPr>
              <a:solidFill>
                <a:schemeClr val="accent4"/>
              </a:solidFill>
              <a:ln w="19050">
                <a:solidFill>
                  <a:schemeClr val="lt1"/>
                </a:solidFill>
              </a:ln>
              <a:effectLst/>
            </c:spPr>
            <c:extLst>
              <c:ext xmlns:c16="http://schemas.microsoft.com/office/drawing/2014/chart" uri="{C3380CC4-5D6E-409C-BE32-E72D297353CC}">
                <c16:uniqueId val="{00000005-52BC-704A-9616-343FAD14FF2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'Reasons for Loss'!$D$64:$F$64</c:f>
              <c:numCache>
                <c:formatCode>0.0</c:formatCode>
                <c:ptCount val="3"/>
              </c:numCache>
            </c:numRef>
          </c:cat>
          <c:val>
            <c:numRef>
              <c:f>'Reasons for Loss'!$D$65:$F$65</c:f>
              <c:numCache>
                <c:formatCode>0%</c:formatCode>
                <c:ptCount val="3"/>
              </c:numCache>
            </c:numRef>
          </c:val>
          <c:extLst>
            <c:ext xmlns:c16="http://schemas.microsoft.com/office/drawing/2014/chart" uri="{C3380CC4-5D6E-409C-BE32-E72D297353CC}">
              <c16:uniqueId val="{00000006-52BC-704A-9616-343FAD14FF2F}"/>
            </c:ext>
          </c:extLst>
        </c:ser>
        <c:dLbls>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Packinghouse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6"/>
              </a:solidFill>
              <a:ln w="19050">
                <a:solidFill>
                  <a:schemeClr val="lt1"/>
                </a:solidFill>
              </a:ln>
              <a:effectLst/>
            </c:spPr>
            <c:extLst>
              <c:ext xmlns:c16="http://schemas.microsoft.com/office/drawing/2014/chart" uri="{C3380CC4-5D6E-409C-BE32-E72D297353CC}">
                <c16:uniqueId val="{00000001-4F85-F64B-9259-678A1E407CE8}"/>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3-4F85-F64B-9259-678A1E407CE8}"/>
              </c:ext>
            </c:extLst>
          </c:dPt>
          <c:dPt>
            <c:idx val="2"/>
            <c:bubble3D val="0"/>
            <c:spPr>
              <a:solidFill>
                <a:schemeClr val="accent4"/>
              </a:solidFill>
              <a:ln w="19050">
                <a:solidFill>
                  <a:schemeClr val="lt1"/>
                </a:solidFill>
              </a:ln>
              <a:effectLst/>
            </c:spPr>
            <c:extLst>
              <c:ext xmlns:c16="http://schemas.microsoft.com/office/drawing/2014/chart" uri="{C3380CC4-5D6E-409C-BE32-E72D297353CC}">
                <c16:uniqueId val="{00000005-4F85-F64B-9259-678A1E407CE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'Reasons for Loss'!$D$27:$F$27</c:f>
              <c:numCache>
                <c:formatCode>0%</c:formatCode>
                <c:ptCount val="3"/>
              </c:numCache>
            </c:numRef>
          </c:cat>
          <c:val>
            <c:numRef>
              <c:f>'Reasons for Loss'!$D$28:$F$28</c:f>
              <c:numCache>
                <c:formatCode>0%</c:formatCode>
                <c:ptCount val="3"/>
              </c:numCache>
            </c:numRef>
          </c:val>
          <c:extLst>
            <c:ext xmlns:c16="http://schemas.microsoft.com/office/drawing/2014/chart" uri="{C3380CC4-5D6E-409C-BE32-E72D297353CC}">
              <c16:uniqueId val="{00000006-4F85-F64B-9259-678A1E407CE8}"/>
            </c:ext>
          </c:extLst>
        </c:ser>
        <c:dLbls>
          <c:dLblPos val="inEnd"/>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kern="1200" spc="0" baseline="0">
                <a:solidFill>
                  <a:srgbClr val="595959"/>
                </a:solidFill>
                <a:effectLst/>
              </a:rPr>
              <a:t>Packinghouse</a:t>
            </a:r>
            <a:endParaRPr lang="en-US">
              <a:effectLst/>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6"/>
              </a:solidFill>
              <a:ln w="19050">
                <a:solidFill>
                  <a:schemeClr val="lt1"/>
                </a:solidFill>
              </a:ln>
              <a:effectLst/>
            </c:spPr>
            <c:extLst>
              <c:ext xmlns:c16="http://schemas.microsoft.com/office/drawing/2014/chart" uri="{C3380CC4-5D6E-409C-BE32-E72D297353CC}">
                <c16:uniqueId val="{00000001-3CEF-6F47-8D74-8F15EEFCE284}"/>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3-3CEF-6F47-8D74-8F15EEFCE284}"/>
              </c:ext>
            </c:extLst>
          </c:dPt>
          <c:dPt>
            <c:idx val="2"/>
            <c:bubble3D val="0"/>
            <c:spPr>
              <a:solidFill>
                <a:schemeClr val="accent4"/>
              </a:solidFill>
              <a:ln w="19050">
                <a:solidFill>
                  <a:schemeClr val="lt1"/>
                </a:solidFill>
              </a:ln>
              <a:effectLst/>
            </c:spPr>
            <c:extLst>
              <c:ext xmlns:c16="http://schemas.microsoft.com/office/drawing/2014/chart" uri="{C3380CC4-5D6E-409C-BE32-E72D297353CC}">
                <c16:uniqueId val="{00000005-3CEF-6F47-8D74-8F15EEFCE28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'Reasons for Loss'!$D$32:$F$32</c:f>
              <c:numCache>
                <c:formatCode>0.0</c:formatCode>
                <c:ptCount val="3"/>
              </c:numCache>
            </c:numRef>
          </c:cat>
          <c:val>
            <c:numRef>
              <c:f>'Reasons for Loss'!$D$33:$F$33</c:f>
              <c:numCache>
                <c:formatCode>0%</c:formatCode>
                <c:ptCount val="3"/>
              </c:numCache>
            </c:numRef>
          </c:val>
          <c:extLst>
            <c:ext xmlns:c16="http://schemas.microsoft.com/office/drawing/2014/chart" uri="{C3380CC4-5D6E-409C-BE32-E72D297353CC}">
              <c16:uniqueId val="{00000006-3CEF-6F47-8D74-8F15EEFCE284}"/>
            </c:ext>
          </c:extLst>
        </c:ser>
        <c:dLbls>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2000" b="1" i="0" u="none" strike="noStrike" kern="1200" spc="0" baseline="0">
                <a:solidFill>
                  <a:schemeClr val="accent6">
                    <a:lumMod val="75000"/>
                  </a:schemeClr>
                </a:solidFill>
                <a:latin typeface="+mn-lt"/>
                <a:ea typeface="+mn-ea"/>
                <a:cs typeface="+mn-cs"/>
              </a:defRPr>
            </a:pPr>
            <a:r>
              <a:rPr lang="en-US" sz="2000" b="1">
                <a:solidFill>
                  <a:schemeClr val="accent6">
                    <a:lumMod val="75000"/>
                  </a:schemeClr>
                </a:solidFill>
              </a:rPr>
              <a:t>Crop Loss and % Utilization</a:t>
            </a:r>
          </a:p>
        </c:rich>
      </c:tx>
      <c:overlay val="0"/>
      <c:spPr>
        <a:noFill/>
        <a:ln>
          <a:noFill/>
        </a:ln>
        <a:effectLst/>
      </c:spPr>
      <c:txPr>
        <a:bodyPr rot="0" spcFirstLastPara="1" vertOverflow="ellipsis" vert="horz" wrap="square" anchor="ctr" anchorCtr="1"/>
        <a:lstStyle/>
        <a:p>
          <a:pPr>
            <a:defRPr sz="2000" b="1" i="0" u="none" strike="noStrike" kern="1200" spc="0" baseline="0">
              <a:solidFill>
                <a:schemeClr val="accent6">
                  <a:lumMod val="75000"/>
                </a:schemeClr>
              </a:solidFill>
              <a:latin typeface="+mn-lt"/>
              <a:ea typeface="+mn-ea"/>
              <a:cs typeface="+mn-cs"/>
            </a:defRPr>
          </a:pPr>
          <a:endParaRPr lang="en-US"/>
        </a:p>
      </c:txPr>
    </c:title>
    <c:autoTitleDeleted val="0"/>
    <c:plotArea>
      <c:layout/>
      <c:barChart>
        <c:barDir val="col"/>
        <c:grouping val="clustered"/>
        <c:varyColors val="0"/>
        <c:ser>
          <c:idx val="0"/>
          <c:order val="0"/>
          <c:tx>
            <c:strRef>
              <c:f>Backend!$E$22</c:f>
              <c:strCache>
                <c:ptCount val="1"/>
                <c:pt idx="0">
                  <c:v>TOTAL LOSS</c:v>
                </c:pt>
              </c:strCache>
            </c:strRef>
          </c:tx>
          <c:spPr>
            <a:solidFill>
              <a:schemeClr val="accent6">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Backend!$D$23:$D$25</c:f>
              <c:numCache>
                <c:formatCode>General</c:formatCode>
                <c:ptCount val="3"/>
                <c:pt idx="0">
                  <c:v>0</c:v>
                </c:pt>
                <c:pt idx="1">
                  <c:v>0</c:v>
                </c:pt>
                <c:pt idx="2">
                  <c:v>0</c:v>
                </c:pt>
              </c:numCache>
            </c:numRef>
          </c:cat>
          <c:val>
            <c:numRef>
              <c:f>Backend!$E$23:$E$25</c:f>
              <c:numCache>
                <c:formatCode>_(* #,##0.0_);_(* \(#,##0.0\);_(* "-"??_);_(@_)</c:formatCode>
                <c:ptCount val="3"/>
                <c:pt idx="0">
                  <c:v>0</c:v>
                </c:pt>
                <c:pt idx="1">
                  <c:v>0</c:v>
                </c:pt>
                <c:pt idx="2">
                  <c:v>0</c:v>
                </c:pt>
              </c:numCache>
            </c:numRef>
          </c:val>
          <c:extLst>
            <c:ext xmlns:c16="http://schemas.microsoft.com/office/drawing/2014/chart" uri="{C3380CC4-5D6E-409C-BE32-E72D297353CC}">
              <c16:uniqueId val="{00000000-0D89-CC44-B80A-00E000D67F1D}"/>
            </c:ext>
          </c:extLst>
        </c:ser>
        <c:dLbls>
          <c:dLblPos val="inEnd"/>
          <c:showLegendKey val="0"/>
          <c:showVal val="1"/>
          <c:showCatName val="0"/>
          <c:showSerName val="0"/>
          <c:showPercent val="0"/>
          <c:showBubbleSize val="0"/>
        </c:dLbls>
        <c:gapWidth val="219"/>
        <c:overlap val="-27"/>
        <c:axId val="1651593871"/>
        <c:axId val="1611105311"/>
      </c:barChart>
      <c:lineChart>
        <c:grouping val="standard"/>
        <c:varyColors val="0"/>
        <c:ser>
          <c:idx val="1"/>
          <c:order val="1"/>
          <c:tx>
            <c:strRef>
              <c:f>Backend!$F$22</c:f>
              <c:strCache>
                <c:ptCount val="1"/>
                <c:pt idx="0">
                  <c:v>CROP UTILIZATION (%)</c:v>
                </c:pt>
              </c:strCache>
            </c:strRef>
          </c:tx>
          <c:spPr>
            <a:ln w="28575" cap="rnd">
              <a:solidFill>
                <a:schemeClr val="accent6">
                  <a:tint val="77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100" b="1" i="1" u="none" strike="noStrike" kern="1200" baseline="0">
                    <a:solidFill>
                      <a:schemeClr val="tx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Backend!$D$23:$D$25</c:f>
              <c:numCache>
                <c:formatCode>General</c:formatCode>
                <c:ptCount val="3"/>
                <c:pt idx="0">
                  <c:v>0</c:v>
                </c:pt>
                <c:pt idx="1">
                  <c:v>0</c:v>
                </c:pt>
                <c:pt idx="2">
                  <c:v>0</c:v>
                </c:pt>
              </c:numCache>
            </c:numRef>
          </c:cat>
          <c:val>
            <c:numRef>
              <c:f>Backend!$F$23:$F$25</c:f>
              <c:numCache>
                <c:formatCode>0.00%</c:formatCode>
                <c:ptCount val="3"/>
                <c:pt idx="0">
                  <c:v>0</c:v>
                </c:pt>
                <c:pt idx="1">
                  <c:v>0</c:v>
                </c:pt>
                <c:pt idx="2">
                  <c:v>0</c:v>
                </c:pt>
              </c:numCache>
            </c:numRef>
          </c:val>
          <c:smooth val="0"/>
          <c:extLst>
            <c:ext xmlns:c16="http://schemas.microsoft.com/office/drawing/2014/chart" uri="{C3380CC4-5D6E-409C-BE32-E72D297353CC}">
              <c16:uniqueId val="{00000001-0D89-CC44-B80A-00E000D67F1D}"/>
            </c:ext>
          </c:extLst>
        </c:ser>
        <c:dLbls>
          <c:showLegendKey val="0"/>
          <c:showVal val="1"/>
          <c:showCatName val="0"/>
          <c:showSerName val="0"/>
          <c:showPercent val="0"/>
          <c:showBubbleSize val="0"/>
        </c:dLbls>
        <c:marker val="1"/>
        <c:smooth val="0"/>
        <c:axId val="1632378543"/>
        <c:axId val="1631691119"/>
      </c:lineChart>
      <c:catAx>
        <c:axId val="16515938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611105311"/>
        <c:crosses val="autoZero"/>
        <c:auto val="1"/>
        <c:lblAlgn val="ctr"/>
        <c:lblOffset val="100"/>
        <c:noMultiLvlLbl val="0"/>
      </c:catAx>
      <c:valAx>
        <c:axId val="1611105311"/>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651593871"/>
        <c:crosses val="autoZero"/>
        <c:crossBetween val="between"/>
      </c:valAx>
      <c:valAx>
        <c:axId val="1631691119"/>
        <c:scaling>
          <c:orientation val="minMax"/>
          <c:min val="0"/>
        </c:scaling>
        <c:delete val="0"/>
        <c:axPos val="r"/>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632378543"/>
        <c:crosses val="max"/>
        <c:crossBetween val="between"/>
      </c:valAx>
      <c:catAx>
        <c:axId val="1632378543"/>
        <c:scaling>
          <c:orientation val="minMax"/>
        </c:scaling>
        <c:delete val="1"/>
        <c:axPos val="b"/>
        <c:numFmt formatCode="General" sourceLinked="1"/>
        <c:majorTickMark val="none"/>
        <c:minorTickMark val="none"/>
        <c:tickLblPos val="nextTo"/>
        <c:crossAx val="1631691119"/>
        <c:crosses val="autoZero"/>
        <c:auto val="1"/>
        <c:lblAlgn val="ctr"/>
        <c:lblOffset val="100"/>
        <c:noMultiLvlLbl val="0"/>
      </c:catAx>
      <c:spPr>
        <a:noFill/>
        <a:ln>
          <a:noFill/>
        </a:ln>
        <a:effectLst/>
      </c:spPr>
    </c:plotArea>
    <c:legend>
      <c:legendPos val="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800" b="1" i="0" u="none" strike="noStrike" kern="1200" spc="0" baseline="0">
                <a:solidFill>
                  <a:schemeClr val="accent6">
                    <a:lumMod val="75000"/>
                  </a:schemeClr>
                </a:solidFill>
                <a:latin typeface="+mn-lt"/>
                <a:ea typeface="+mn-ea"/>
                <a:cs typeface="+mn-cs"/>
              </a:defRPr>
            </a:pPr>
            <a:r>
              <a:rPr lang="en-US" sz="1800" b="1">
                <a:solidFill>
                  <a:schemeClr val="accent6">
                    <a:lumMod val="75000"/>
                  </a:schemeClr>
                </a:solidFill>
              </a:rPr>
              <a:t>Edible &amp; Marketable</a:t>
            </a:r>
            <a:r>
              <a:rPr lang="en-US" sz="1800" b="1" baseline="0">
                <a:solidFill>
                  <a:schemeClr val="accent6">
                    <a:lumMod val="75000"/>
                  </a:schemeClr>
                </a:solidFill>
              </a:rPr>
              <a:t> In-Field Loss</a:t>
            </a:r>
            <a:endParaRPr lang="en-US" sz="1800" b="1">
              <a:solidFill>
                <a:schemeClr val="accent6">
                  <a:lumMod val="75000"/>
                </a:schemeClr>
              </a:solidFill>
            </a:endParaRP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accent6">
                  <a:lumMod val="75000"/>
                </a:schemeClr>
              </a:solidFill>
              <a:latin typeface="+mn-lt"/>
              <a:ea typeface="+mn-ea"/>
              <a:cs typeface="+mn-cs"/>
            </a:defRPr>
          </a:pPr>
          <a:endParaRPr lang="en-US"/>
        </a:p>
      </c:txPr>
    </c:title>
    <c:autoTitleDeleted val="0"/>
    <c:plotArea>
      <c:layout/>
      <c:lineChart>
        <c:grouping val="standard"/>
        <c:varyColors val="0"/>
        <c:ser>
          <c:idx val="0"/>
          <c:order val="0"/>
          <c:tx>
            <c:strRef>
              <c:f>Backend!$E$27</c:f>
              <c:strCache>
                <c:ptCount val="1"/>
                <c:pt idx="0">
                  <c:v>Edible, Not Marketable In-Field Loss (Measured)</c:v>
                </c:pt>
              </c:strCache>
            </c:strRef>
          </c:tx>
          <c:spPr>
            <a:ln w="19050" cap="rnd">
              <a:solidFill>
                <a:schemeClr val="accent6">
                  <a:shade val="76000"/>
                </a:schemeClr>
              </a:solidFill>
              <a:round/>
            </a:ln>
            <a:effectLst/>
          </c:spPr>
          <c:marker>
            <c:symbol val="circle"/>
            <c:size val="5"/>
            <c:spPr>
              <a:solidFill>
                <a:schemeClr val="accent6">
                  <a:shade val="76000"/>
                </a:schemeClr>
              </a:solidFill>
              <a:ln w="9525">
                <a:solidFill>
                  <a:schemeClr val="accent6">
                    <a:shade val="76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Backend!$D$28:$D$30</c:f>
              <c:numCache>
                <c:formatCode>General</c:formatCode>
                <c:ptCount val="3"/>
                <c:pt idx="0">
                  <c:v>0</c:v>
                </c:pt>
                <c:pt idx="1">
                  <c:v>0</c:v>
                </c:pt>
                <c:pt idx="2">
                  <c:v>0</c:v>
                </c:pt>
              </c:numCache>
            </c:numRef>
          </c:cat>
          <c:val>
            <c:numRef>
              <c:f>Backend!$E$28:$E$30</c:f>
              <c:numCache>
                <c:formatCode>_(* #,##0_);_(* \(#,##0\);_(* "-"??_);_(@_)</c:formatCode>
                <c:ptCount val="3"/>
                <c:pt idx="0">
                  <c:v>0</c:v>
                </c:pt>
                <c:pt idx="1">
                  <c:v>0</c:v>
                </c:pt>
                <c:pt idx="2">
                  <c:v>0</c:v>
                </c:pt>
              </c:numCache>
            </c:numRef>
          </c:val>
          <c:smooth val="0"/>
          <c:extLst>
            <c:ext xmlns:c16="http://schemas.microsoft.com/office/drawing/2014/chart" uri="{C3380CC4-5D6E-409C-BE32-E72D297353CC}">
              <c16:uniqueId val="{00000000-3F4D-C849-BC6D-981C499D055F}"/>
            </c:ext>
          </c:extLst>
        </c:ser>
        <c:ser>
          <c:idx val="1"/>
          <c:order val="1"/>
          <c:tx>
            <c:strRef>
              <c:f>Backend!$F$27</c:f>
              <c:strCache>
                <c:ptCount val="1"/>
                <c:pt idx="0">
                  <c:v>Marketable In-Field Loss (Measured)</c:v>
                </c:pt>
              </c:strCache>
            </c:strRef>
          </c:tx>
          <c:spPr>
            <a:ln w="19050" cap="rnd">
              <a:solidFill>
                <a:schemeClr val="accent6">
                  <a:tint val="77000"/>
                </a:schemeClr>
              </a:solidFill>
              <a:round/>
            </a:ln>
            <a:effectLst/>
          </c:spPr>
          <c:marker>
            <c:symbol val="circle"/>
            <c:size val="5"/>
            <c:spPr>
              <a:solidFill>
                <a:schemeClr val="accent6">
                  <a:tint val="77000"/>
                </a:schemeClr>
              </a:solidFill>
              <a:ln w="9525">
                <a:solidFill>
                  <a:schemeClr val="accent6">
                    <a:tint val="77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Backend!$D$28:$D$30</c:f>
              <c:numCache>
                <c:formatCode>General</c:formatCode>
                <c:ptCount val="3"/>
                <c:pt idx="0">
                  <c:v>0</c:v>
                </c:pt>
                <c:pt idx="1">
                  <c:v>0</c:v>
                </c:pt>
                <c:pt idx="2">
                  <c:v>0</c:v>
                </c:pt>
              </c:numCache>
            </c:numRef>
          </c:cat>
          <c:val>
            <c:numRef>
              <c:f>Backend!$F$28:$F$30</c:f>
              <c:numCache>
                <c:formatCode>_(* #,##0_);_(* \(#,##0\);_(* "-"??_);_(@_)</c:formatCode>
                <c:ptCount val="3"/>
                <c:pt idx="0">
                  <c:v>0</c:v>
                </c:pt>
                <c:pt idx="1">
                  <c:v>0</c:v>
                </c:pt>
                <c:pt idx="2">
                  <c:v>0</c:v>
                </c:pt>
              </c:numCache>
            </c:numRef>
          </c:val>
          <c:smooth val="0"/>
          <c:extLst>
            <c:ext xmlns:c16="http://schemas.microsoft.com/office/drawing/2014/chart" uri="{C3380CC4-5D6E-409C-BE32-E72D297353CC}">
              <c16:uniqueId val="{00000001-3F4D-C849-BC6D-981C499D055F}"/>
            </c:ext>
          </c:extLst>
        </c:ser>
        <c:dLbls>
          <c:showLegendKey val="0"/>
          <c:showVal val="1"/>
          <c:showCatName val="0"/>
          <c:showSerName val="0"/>
          <c:showPercent val="0"/>
          <c:showBubbleSize val="0"/>
        </c:dLbls>
        <c:marker val="1"/>
        <c:smooth val="0"/>
        <c:axId val="1633148207"/>
        <c:axId val="1633178703"/>
      </c:lineChart>
      <c:catAx>
        <c:axId val="163314820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633178703"/>
        <c:crosses val="autoZero"/>
        <c:auto val="1"/>
        <c:lblAlgn val="ctr"/>
        <c:lblOffset val="100"/>
        <c:noMultiLvlLbl val="1"/>
      </c:catAx>
      <c:valAx>
        <c:axId val="1633178703"/>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63314820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accent2">
                    <a:lumMod val="50000"/>
                  </a:schemeClr>
                </a:solidFill>
                <a:latin typeface="+mn-lt"/>
                <a:ea typeface="+mn-ea"/>
                <a:cs typeface="+mn-cs"/>
              </a:defRPr>
            </a:pPr>
            <a:r>
              <a:rPr lang="en-US" sz="1200" b="1" i="0" baseline="0">
                <a:solidFill>
                  <a:schemeClr val="accent2">
                    <a:lumMod val="50000"/>
                  </a:schemeClr>
                </a:solidFill>
                <a:effectLst/>
              </a:rPr>
              <a:t>Opportunity of Harvesting Marketable and Edible Product Left In Field</a:t>
            </a:r>
            <a:endParaRPr lang="en-US" sz="1200">
              <a:solidFill>
                <a:schemeClr val="accent2">
                  <a:lumMod val="50000"/>
                </a:schemeClr>
              </a:solidFill>
              <a:effectLst/>
            </a:endParaRPr>
          </a:p>
          <a:p>
            <a:pPr>
              <a:defRPr sz="1200" b="0" i="0" u="none" strike="noStrike" kern="1200" spc="0" baseline="0">
                <a:solidFill>
                  <a:schemeClr val="accent2">
                    <a:lumMod val="50000"/>
                  </a:schemeClr>
                </a:solidFill>
                <a:latin typeface="+mn-lt"/>
                <a:ea typeface="+mn-ea"/>
                <a:cs typeface="+mn-cs"/>
              </a:defRPr>
            </a:pPr>
            <a:r>
              <a:rPr lang="en-US" sz="1200" b="1" i="0" baseline="0">
                <a:solidFill>
                  <a:schemeClr val="accent2">
                    <a:lumMod val="50000"/>
                  </a:schemeClr>
                </a:solidFill>
                <a:effectLst/>
              </a:rPr>
              <a:t>($/acre)</a:t>
            </a:r>
            <a:endParaRPr lang="en-US" sz="1200">
              <a:solidFill>
                <a:schemeClr val="accent2">
                  <a:lumMod val="50000"/>
                </a:schemeClr>
              </a:solidFill>
              <a:effectLst/>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accent2">
                  <a:lumMod val="50000"/>
                </a:schemeClr>
              </a:solidFill>
              <a:latin typeface="+mn-lt"/>
              <a:ea typeface="+mn-ea"/>
              <a:cs typeface="+mn-cs"/>
            </a:defRPr>
          </a:pPr>
          <a:endParaRPr lang="en-US"/>
        </a:p>
      </c:txPr>
    </c:title>
    <c:autoTitleDeleted val="0"/>
    <c:plotArea>
      <c:layout/>
      <c:barChart>
        <c:barDir val="col"/>
        <c:grouping val="clustered"/>
        <c:varyColors val="0"/>
        <c:ser>
          <c:idx val="0"/>
          <c:order val="0"/>
          <c:tx>
            <c:strRef>
              <c:f>Backend!$D$33</c:f>
              <c:strCache>
                <c:ptCount val="1"/>
                <c:pt idx="0">
                  <c:v>0</c:v>
                </c:pt>
              </c:strCache>
            </c:strRef>
          </c:tx>
          <c:spPr>
            <a:solidFill>
              <a:schemeClr val="accent6"/>
            </a:solidFill>
            <a:ln>
              <a:noFill/>
            </a:ln>
            <a:effectLst/>
          </c:spPr>
          <c:invertIfNegative val="0"/>
          <c:cat>
            <c:strRef>
              <c:f>Backend!$E$32:$H$32</c:f>
              <c:strCache>
                <c:ptCount val="4"/>
                <c:pt idx="0">
                  <c:v>Scenario 1</c:v>
                </c:pt>
                <c:pt idx="1">
                  <c:v>Scenario 2</c:v>
                </c:pt>
                <c:pt idx="2">
                  <c:v>Scenario 3</c:v>
                </c:pt>
                <c:pt idx="3">
                  <c:v>Scenario 4</c:v>
                </c:pt>
              </c:strCache>
            </c:strRef>
          </c:cat>
          <c:val>
            <c:numRef>
              <c:f>Backend!$E$33:$H$33</c:f>
              <c:numCache>
                <c:formatCode>_("$"* #,##0.00_);_("$"* \(#,##0.00\);_("$"* "-"??_);_(@_)</c:formatCode>
                <c:ptCount val="4"/>
                <c:pt idx="0">
                  <c:v>0</c:v>
                </c:pt>
                <c:pt idx="1">
                  <c:v>0</c:v>
                </c:pt>
                <c:pt idx="2">
                  <c:v>0</c:v>
                </c:pt>
                <c:pt idx="3">
                  <c:v>0</c:v>
                </c:pt>
              </c:numCache>
            </c:numRef>
          </c:val>
          <c:extLst>
            <c:ext xmlns:c16="http://schemas.microsoft.com/office/drawing/2014/chart" uri="{C3380CC4-5D6E-409C-BE32-E72D297353CC}">
              <c16:uniqueId val="{00000000-C86D-7844-88C0-6653FD8E20AB}"/>
            </c:ext>
          </c:extLst>
        </c:ser>
        <c:ser>
          <c:idx val="1"/>
          <c:order val="1"/>
          <c:tx>
            <c:strRef>
              <c:f>Backend!$D$34</c:f>
              <c:strCache>
                <c:ptCount val="1"/>
                <c:pt idx="0">
                  <c:v>0</c:v>
                </c:pt>
              </c:strCache>
            </c:strRef>
          </c:tx>
          <c:spPr>
            <a:solidFill>
              <a:schemeClr val="accent5"/>
            </a:solidFill>
            <a:ln>
              <a:noFill/>
            </a:ln>
            <a:effectLst/>
          </c:spPr>
          <c:invertIfNegative val="0"/>
          <c:cat>
            <c:strRef>
              <c:f>Backend!$E$32:$H$32</c:f>
              <c:strCache>
                <c:ptCount val="4"/>
                <c:pt idx="0">
                  <c:v>Scenario 1</c:v>
                </c:pt>
                <c:pt idx="1">
                  <c:v>Scenario 2</c:v>
                </c:pt>
                <c:pt idx="2">
                  <c:v>Scenario 3</c:v>
                </c:pt>
                <c:pt idx="3">
                  <c:v>Scenario 4</c:v>
                </c:pt>
              </c:strCache>
            </c:strRef>
          </c:cat>
          <c:val>
            <c:numRef>
              <c:f>Backend!$E$34:$H$34</c:f>
              <c:numCache>
                <c:formatCode>_("$"* #,##0.00_);_("$"* \(#,##0.00\);_("$"* "-"??_);_(@_)</c:formatCode>
                <c:ptCount val="4"/>
                <c:pt idx="0">
                  <c:v>0</c:v>
                </c:pt>
                <c:pt idx="1">
                  <c:v>0</c:v>
                </c:pt>
                <c:pt idx="2">
                  <c:v>0</c:v>
                </c:pt>
                <c:pt idx="3">
                  <c:v>0</c:v>
                </c:pt>
              </c:numCache>
            </c:numRef>
          </c:val>
          <c:extLst>
            <c:ext xmlns:c16="http://schemas.microsoft.com/office/drawing/2014/chart" uri="{C3380CC4-5D6E-409C-BE32-E72D297353CC}">
              <c16:uniqueId val="{00000001-C86D-7844-88C0-6653FD8E20AB}"/>
            </c:ext>
          </c:extLst>
        </c:ser>
        <c:ser>
          <c:idx val="2"/>
          <c:order val="2"/>
          <c:tx>
            <c:strRef>
              <c:f>Backend!$D$35</c:f>
              <c:strCache>
                <c:ptCount val="1"/>
                <c:pt idx="0">
                  <c:v>0</c:v>
                </c:pt>
              </c:strCache>
            </c:strRef>
          </c:tx>
          <c:spPr>
            <a:solidFill>
              <a:schemeClr val="accent4"/>
            </a:solidFill>
            <a:ln>
              <a:noFill/>
            </a:ln>
            <a:effectLst/>
          </c:spPr>
          <c:invertIfNegative val="0"/>
          <c:cat>
            <c:strRef>
              <c:f>Backend!$E$32:$H$32</c:f>
              <c:strCache>
                <c:ptCount val="4"/>
                <c:pt idx="0">
                  <c:v>Scenario 1</c:v>
                </c:pt>
                <c:pt idx="1">
                  <c:v>Scenario 2</c:v>
                </c:pt>
                <c:pt idx="2">
                  <c:v>Scenario 3</c:v>
                </c:pt>
                <c:pt idx="3">
                  <c:v>Scenario 4</c:v>
                </c:pt>
              </c:strCache>
            </c:strRef>
          </c:cat>
          <c:val>
            <c:numRef>
              <c:f>Backend!$E$35:$H$35</c:f>
              <c:numCache>
                <c:formatCode>_("$"* #,##0.00_);_("$"* \(#,##0.00\);_("$"* "-"??_);_(@_)</c:formatCode>
                <c:ptCount val="4"/>
                <c:pt idx="0">
                  <c:v>0</c:v>
                </c:pt>
                <c:pt idx="1">
                  <c:v>0</c:v>
                </c:pt>
                <c:pt idx="2">
                  <c:v>0</c:v>
                </c:pt>
                <c:pt idx="3">
                  <c:v>0</c:v>
                </c:pt>
              </c:numCache>
            </c:numRef>
          </c:val>
          <c:extLst>
            <c:ext xmlns:c16="http://schemas.microsoft.com/office/drawing/2014/chart" uri="{C3380CC4-5D6E-409C-BE32-E72D297353CC}">
              <c16:uniqueId val="{00000002-C86D-7844-88C0-6653FD8E20AB}"/>
            </c:ext>
          </c:extLst>
        </c:ser>
        <c:dLbls>
          <c:showLegendKey val="0"/>
          <c:showVal val="0"/>
          <c:showCatName val="0"/>
          <c:showSerName val="0"/>
          <c:showPercent val="0"/>
          <c:showBubbleSize val="0"/>
        </c:dLbls>
        <c:gapWidth val="219"/>
        <c:overlap val="-27"/>
        <c:axId val="362303903"/>
        <c:axId val="365649103"/>
      </c:barChart>
      <c:catAx>
        <c:axId val="3623039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5649103"/>
        <c:crosses val="autoZero"/>
        <c:auto val="1"/>
        <c:lblAlgn val="ctr"/>
        <c:lblOffset val="100"/>
        <c:noMultiLvlLbl val="0"/>
      </c:catAx>
      <c:valAx>
        <c:axId val="365649103"/>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230390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accent2">
                    <a:lumMod val="50000"/>
                  </a:schemeClr>
                </a:solidFill>
                <a:latin typeface="+mn-lt"/>
                <a:ea typeface="+mn-ea"/>
                <a:cs typeface="+mn-cs"/>
              </a:defRPr>
            </a:pPr>
            <a:r>
              <a:rPr lang="en-US" b="1">
                <a:solidFill>
                  <a:schemeClr val="accent2">
                    <a:lumMod val="50000"/>
                  </a:schemeClr>
                </a:solidFill>
              </a:rPr>
              <a:t>Total Farm</a:t>
            </a:r>
            <a:r>
              <a:rPr lang="en-US" b="1" baseline="0">
                <a:solidFill>
                  <a:schemeClr val="accent2">
                    <a:lumMod val="50000"/>
                  </a:schemeClr>
                </a:solidFill>
              </a:rPr>
              <a:t> </a:t>
            </a:r>
            <a:r>
              <a:rPr lang="en-US" b="1">
                <a:solidFill>
                  <a:schemeClr val="accent2">
                    <a:lumMod val="50000"/>
                  </a:schemeClr>
                </a:solidFill>
              </a:rPr>
              <a:t>Loss</a:t>
            </a:r>
            <a:r>
              <a:rPr lang="en-US" b="1" baseline="0">
                <a:solidFill>
                  <a:schemeClr val="accent2">
                    <a:lumMod val="50000"/>
                  </a:schemeClr>
                </a:solidFill>
              </a:rPr>
              <a:t> for All Stages</a:t>
            </a:r>
            <a:endParaRPr lang="en-US" b="1">
              <a:solidFill>
                <a:schemeClr val="accent2">
                  <a:lumMod val="50000"/>
                </a:schemeClr>
              </a:solidFill>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accent2">
                  <a:lumMod val="50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'Metric Table'!$C$13:$C$21</c:f>
              <c:strCache>
                <c:ptCount val="9"/>
                <c:pt idx="0">
                  <c:v>Walk-By Loss </c:v>
                </c:pt>
                <c:pt idx="1">
                  <c:v>Marketable In-Field Loss (Measured)</c:v>
                </c:pt>
                <c:pt idx="2">
                  <c:v>Edible, Not Marketable In-Field Loss (Measured)</c:v>
                </c:pt>
                <c:pt idx="3">
                  <c:v>Inedible In-Field Loss (Measured)</c:v>
                </c:pt>
                <c:pt idx="4">
                  <c:v>Transport Loss</c:v>
                </c:pt>
                <c:pt idx="5">
                  <c:v>Packinghouse Loss</c:v>
                </c:pt>
                <c:pt idx="6">
                  <c:v>Processing Facility Loss</c:v>
                </c:pt>
                <c:pt idx="7">
                  <c:v>Storage Loss</c:v>
                </c:pt>
                <c:pt idx="8">
                  <c:v>Rejected Loss</c:v>
                </c:pt>
              </c:strCache>
            </c:strRef>
          </c:cat>
          <c:val>
            <c:numRef>
              <c:f>'Metric Table'!$E$13:$E$21</c:f>
              <c:numCache>
                <c:formatCode>_(* #,##0_);_(* \(#,##0\);_(* "-"??_);_(@_)</c:formatCode>
                <c:ptCount val="9"/>
                <c:pt idx="0" formatCode="_(* #,##0.0_);_(* \(#,##0.0\);_(* &quot;-&quot;??_);_(@_)">
                  <c:v>0</c:v>
                </c:pt>
                <c:pt idx="1">
                  <c:v>0</c:v>
                </c:pt>
                <c:pt idx="2">
                  <c:v>0</c:v>
                </c:pt>
                <c:pt idx="3">
                  <c:v>0</c:v>
                </c:pt>
                <c:pt idx="4" formatCode="_(* #,##0.0_);_(* \(#,##0.0\);_(* &quot;-&quot;??_);_(@_)">
                  <c:v>0</c:v>
                </c:pt>
                <c:pt idx="5" formatCode="_(* #,##0.0_);_(* \(#,##0.0\);_(* &quot;-&quot;??_);_(@_)">
                  <c:v>0</c:v>
                </c:pt>
                <c:pt idx="6" formatCode="_(* #,##0.0_);_(* \(#,##0.0\);_(* &quot;-&quot;??_);_(@_)">
                  <c:v>0</c:v>
                </c:pt>
                <c:pt idx="7" formatCode="_(* #,##0.0_);_(* \(#,##0.0\);_(* &quot;-&quot;??_);_(@_)">
                  <c:v>0</c:v>
                </c:pt>
                <c:pt idx="8" formatCode="_(* #,##0.0_);_(* \(#,##0.0\);_(* &quot;-&quot;??_);_(@_)">
                  <c:v>0</c:v>
                </c:pt>
              </c:numCache>
            </c:numRef>
          </c:val>
          <c:extLst>
            <c:ext xmlns:c16="http://schemas.microsoft.com/office/drawing/2014/chart" uri="{C3380CC4-5D6E-409C-BE32-E72D297353CC}">
              <c16:uniqueId val="{00000000-508A-044C-AA31-CBC6DB60B1F5}"/>
            </c:ext>
          </c:extLst>
        </c:ser>
        <c:dLbls>
          <c:dLblPos val="outEnd"/>
          <c:showLegendKey val="0"/>
          <c:showVal val="1"/>
          <c:showCatName val="0"/>
          <c:showSerName val="0"/>
          <c:showPercent val="0"/>
          <c:showBubbleSize val="0"/>
        </c:dLbls>
        <c:gapWidth val="182"/>
        <c:axId val="1199380416"/>
        <c:axId val="1199382064"/>
      </c:barChart>
      <c:catAx>
        <c:axId val="11993804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9382064"/>
        <c:crosses val="autoZero"/>
        <c:auto val="1"/>
        <c:lblAlgn val="ctr"/>
        <c:lblOffset val="100"/>
        <c:noMultiLvlLbl val="0"/>
      </c:catAx>
      <c:valAx>
        <c:axId val="1199382064"/>
        <c:scaling>
          <c:orientation val="minMax"/>
        </c:scaling>
        <c:delete val="0"/>
        <c:axPos val="b"/>
        <c:majorGridlines>
          <c:spPr>
            <a:ln w="9525" cap="flat" cmpd="sng" algn="ctr">
              <a:solidFill>
                <a:schemeClr val="tx1">
                  <a:lumMod val="15000"/>
                  <a:lumOff val="85000"/>
                </a:schemeClr>
              </a:solidFill>
              <a:round/>
            </a:ln>
            <a:effectLst/>
          </c:spPr>
        </c:majorGridlines>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93804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accent2">
                    <a:lumMod val="50000"/>
                  </a:schemeClr>
                </a:solidFill>
                <a:latin typeface="+mn-lt"/>
                <a:ea typeface="+mn-ea"/>
                <a:cs typeface="+mn-cs"/>
              </a:defRPr>
            </a:pPr>
            <a:r>
              <a:rPr lang="en-US" b="1">
                <a:solidFill>
                  <a:schemeClr val="accent2">
                    <a:lumMod val="50000"/>
                  </a:schemeClr>
                </a:solidFill>
              </a:rPr>
              <a:t>Total Farm Loss for</a:t>
            </a:r>
            <a:r>
              <a:rPr lang="en-US" b="1" baseline="0">
                <a:solidFill>
                  <a:schemeClr val="accent2">
                    <a:lumMod val="50000"/>
                  </a:schemeClr>
                </a:solidFill>
              </a:rPr>
              <a:t> All Stages</a:t>
            </a:r>
            <a:endParaRPr lang="en-US" b="1">
              <a:solidFill>
                <a:schemeClr val="accent2">
                  <a:lumMod val="50000"/>
                </a:schemeClr>
              </a:solidFill>
            </a:endParaRPr>
          </a:p>
        </c:rich>
      </c:tx>
      <c:layout>
        <c:manualLayout>
          <c:xMode val="edge"/>
          <c:yMode val="edge"/>
          <c:x val="2.5161615251743642E-2"/>
          <c:y val="2.2281166922607683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accent2">
                  <a:lumMod val="50000"/>
                </a:schemeClr>
              </a:solidFill>
              <a:latin typeface="+mn-lt"/>
              <a:ea typeface="+mn-ea"/>
              <a:cs typeface="+mn-cs"/>
            </a:defRPr>
          </a:pPr>
          <a:endParaRPr lang="en-US"/>
        </a:p>
      </c:txPr>
    </c:title>
    <c:autoTitleDeleted val="0"/>
    <c:plotArea>
      <c:layout/>
      <c:pieChart>
        <c:varyColors val="1"/>
        <c:ser>
          <c:idx val="0"/>
          <c:order val="0"/>
          <c:tx>
            <c:strRef>
              <c:f>'Metric Table'!$D$10</c:f>
              <c:strCache>
                <c:ptCount val="1"/>
                <c:pt idx="0">
                  <c:v>LBS/ACRE</c:v>
                </c:pt>
              </c:strCache>
            </c:strRef>
          </c:tx>
          <c:dPt>
            <c:idx val="0"/>
            <c:bubble3D val="0"/>
            <c:spPr>
              <a:solidFill>
                <a:schemeClr val="accent6"/>
              </a:solidFill>
              <a:ln w="19050">
                <a:solidFill>
                  <a:schemeClr val="lt1"/>
                </a:solidFill>
              </a:ln>
              <a:effectLst/>
            </c:spPr>
            <c:extLst>
              <c:ext xmlns:c16="http://schemas.microsoft.com/office/drawing/2014/chart" uri="{C3380CC4-5D6E-409C-BE32-E72D297353CC}">
                <c16:uniqueId val="{00000001-5C3C-274B-9D68-DEDCBEAA0409}"/>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3-5C3C-274B-9D68-DEDCBEAA0409}"/>
              </c:ext>
            </c:extLst>
          </c:dPt>
          <c:dPt>
            <c:idx val="2"/>
            <c:bubble3D val="0"/>
            <c:spPr>
              <a:solidFill>
                <a:schemeClr val="accent4"/>
              </a:solidFill>
              <a:ln w="19050">
                <a:solidFill>
                  <a:schemeClr val="lt1"/>
                </a:solidFill>
              </a:ln>
              <a:effectLst/>
            </c:spPr>
            <c:extLst>
              <c:ext xmlns:c16="http://schemas.microsoft.com/office/drawing/2014/chart" uri="{C3380CC4-5D6E-409C-BE32-E72D297353CC}">
                <c16:uniqueId val="{00000005-5C3C-274B-9D68-DEDCBEAA0409}"/>
              </c:ext>
            </c:extLst>
          </c:dPt>
          <c:dPt>
            <c:idx val="3"/>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7-5C3C-274B-9D68-DEDCBEAA0409}"/>
              </c:ext>
            </c:extLst>
          </c:dPt>
          <c:dPt>
            <c:idx val="4"/>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9-5C3C-274B-9D68-DEDCBEAA0409}"/>
              </c:ext>
            </c:extLst>
          </c:dPt>
          <c:dPt>
            <c:idx val="5"/>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B-5C3C-274B-9D68-DEDCBEAA0409}"/>
              </c:ext>
            </c:extLst>
          </c:dPt>
          <c:dPt>
            <c:idx val="6"/>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00D-5C3C-274B-9D68-DEDCBEAA0409}"/>
              </c:ext>
            </c:extLst>
          </c:dPt>
          <c:dPt>
            <c:idx val="7"/>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0F-5C3C-274B-9D68-DEDCBEAA0409}"/>
              </c:ext>
            </c:extLst>
          </c:dPt>
          <c:dPt>
            <c:idx val="8"/>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11-5C3C-274B-9D68-DEDCBEAA0409}"/>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'Metric Table'!$C$13:$C$21</c:f>
              <c:strCache>
                <c:ptCount val="9"/>
                <c:pt idx="0">
                  <c:v>Walk-By Loss </c:v>
                </c:pt>
                <c:pt idx="1">
                  <c:v>Marketable In-Field Loss (Measured)</c:v>
                </c:pt>
                <c:pt idx="2">
                  <c:v>Edible, Not Marketable In-Field Loss (Measured)</c:v>
                </c:pt>
                <c:pt idx="3">
                  <c:v>Inedible In-Field Loss (Measured)</c:v>
                </c:pt>
                <c:pt idx="4">
                  <c:v>Transport Loss</c:v>
                </c:pt>
                <c:pt idx="5">
                  <c:v>Packinghouse Loss</c:v>
                </c:pt>
                <c:pt idx="6">
                  <c:v>Processing Facility Loss</c:v>
                </c:pt>
                <c:pt idx="7">
                  <c:v>Storage Loss</c:v>
                </c:pt>
                <c:pt idx="8">
                  <c:v>Rejected Loss</c:v>
                </c:pt>
              </c:strCache>
            </c:strRef>
          </c:cat>
          <c:val>
            <c:numRef>
              <c:f>'Metric Table'!$D$13:$D$21</c:f>
              <c:numCache>
                <c:formatCode>_(* #,##0_);_(* \(#,##0\);_(* "-"??_);_(@_)</c:formatCode>
                <c:ptCount val="9"/>
                <c:pt idx="0" formatCode="_(* #,##0.0_);_(* \(#,##0.0\);_(* &quot;-&quot;??_);_(@_)">
                  <c:v>0</c:v>
                </c:pt>
                <c:pt idx="1">
                  <c:v>0</c:v>
                </c:pt>
                <c:pt idx="2">
                  <c:v>0</c:v>
                </c:pt>
                <c:pt idx="3">
                  <c:v>0</c:v>
                </c:pt>
                <c:pt idx="4" formatCode="_(* #,##0.0_);_(* \(#,##0.0\);_(* &quot;-&quot;??_);_(@_)">
                  <c:v>0</c:v>
                </c:pt>
                <c:pt idx="5" formatCode="_(* #,##0.0_);_(* \(#,##0.0\);_(* &quot;-&quot;??_);_(@_)">
                  <c:v>0</c:v>
                </c:pt>
                <c:pt idx="6" formatCode="_(* #,##0.0_);_(* \(#,##0.0\);_(* &quot;-&quot;??_);_(@_)">
                  <c:v>0</c:v>
                </c:pt>
                <c:pt idx="7" formatCode="_(* #,##0.0_);_(* \(#,##0.0\);_(* &quot;-&quot;??_);_(@_)">
                  <c:v>0</c:v>
                </c:pt>
                <c:pt idx="8" formatCode="_(* #,##0.0_);_(* \(#,##0.0\);_(* &quot;-&quot;??_);_(@_)">
                  <c:v>0</c:v>
                </c:pt>
              </c:numCache>
            </c:numRef>
          </c:val>
          <c:extLst>
            <c:ext xmlns:c16="http://schemas.microsoft.com/office/drawing/2014/chart" uri="{C3380CC4-5D6E-409C-BE32-E72D297353CC}">
              <c16:uniqueId val="{00000012-5C3C-274B-9D68-DEDCBEAA0409}"/>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accent2">
                    <a:lumMod val="50000"/>
                  </a:schemeClr>
                </a:solidFill>
                <a:latin typeface="+mn-lt"/>
                <a:ea typeface="+mn-ea"/>
                <a:cs typeface="+mn-cs"/>
              </a:defRPr>
            </a:pPr>
            <a:r>
              <a:rPr lang="en-US" b="1">
                <a:solidFill>
                  <a:schemeClr val="accent2">
                    <a:lumMod val="50000"/>
                  </a:schemeClr>
                </a:solidFill>
              </a:rPr>
              <a:t>Measured Loss In-Field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accent2">
                  <a:lumMod val="50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'Metric Table'!$C$14:$C$16</c:f>
              <c:strCache>
                <c:ptCount val="3"/>
                <c:pt idx="0">
                  <c:v>Marketable In-Field Loss (Measured)</c:v>
                </c:pt>
                <c:pt idx="1">
                  <c:v>Edible, Not Marketable In-Field Loss (Measured)</c:v>
                </c:pt>
                <c:pt idx="2">
                  <c:v>Inedible In-Field Loss (Measured)</c:v>
                </c:pt>
              </c:strCache>
            </c:strRef>
          </c:cat>
          <c:val>
            <c:numRef>
              <c:f>'Metric Table'!$D$14:$D$16</c:f>
              <c:numCache>
                <c:formatCode>_(* #,##0_);_(* \(#,##0\);_(* "-"??_);_(@_)</c:formatCode>
                <c:ptCount val="3"/>
                <c:pt idx="0">
                  <c:v>0</c:v>
                </c:pt>
                <c:pt idx="1">
                  <c:v>0</c:v>
                </c:pt>
                <c:pt idx="2">
                  <c:v>0</c:v>
                </c:pt>
              </c:numCache>
            </c:numRef>
          </c:val>
          <c:extLst>
            <c:ext xmlns:c16="http://schemas.microsoft.com/office/drawing/2014/chart" uri="{C3380CC4-5D6E-409C-BE32-E72D297353CC}">
              <c16:uniqueId val="{00000000-6AD6-D34D-8309-16D9018E0876}"/>
            </c:ext>
          </c:extLst>
        </c:ser>
        <c:dLbls>
          <c:dLblPos val="outEnd"/>
          <c:showLegendKey val="0"/>
          <c:showVal val="1"/>
          <c:showCatName val="0"/>
          <c:showSerName val="0"/>
          <c:showPercent val="0"/>
          <c:showBubbleSize val="0"/>
        </c:dLbls>
        <c:gapWidth val="182"/>
        <c:axId val="327669727"/>
        <c:axId val="327254511"/>
      </c:barChart>
      <c:catAx>
        <c:axId val="32766972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7254511"/>
        <c:crosses val="autoZero"/>
        <c:auto val="1"/>
        <c:lblAlgn val="ctr"/>
        <c:lblOffset val="100"/>
        <c:noMultiLvlLbl val="0"/>
      </c:catAx>
      <c:valAx>
        <c:axId val="327254511"/>
        <c:scaling>
          <c:orientation val="minMax"/>
        </c:scaling>
        <c:delete val="0"/>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766972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2">
                    <a:lumMod val="50000"/>
                  </a:schemeClr>
                </a:solidFill>
                <a:latin typeface="+mn-lt"/>
                <a:ea typeface="+mn-ea"/>
                <a:cs typeface="+mn-cs"/>
              </a:defRPr>
            </a:pPr>
            <a:r>
              <a:rPr lang="en-US" sz="1400" b="1" i="0" baseline="0">
                <a:solidFill>
                  <a:schemeClr val="accent2">
                    <a:lumMod val="50000"/>
                  </a:schemeClr>
                </a:solidFill>
                <a:effectLst/>
              </a:rPr>
              <a:t>Opportunity of Harvesting Marketable and Edible Product Left In Field </a:t>
            </a:r>
            <a:endParaRPr lang="en-US" sz="1400">
              <a:solidFill>
                <a:schemeClr val="accent2">
                  <a:lumMod val="50000"/>
                </a:schemeClr>
              </a:solidFill>
              <a:effectLst/>
            </a:endParaRPr>
          </a:p>
          <a:p>
            <a:pPr>
              <a:defRPr sz="1400" b="0" i="0" u="none" strike="noStrike" kern="1200" spc="0" baseline="0">
                <a:solidFill>
                  <a:schemeClr val="accent2">
                    <a:lumMod val="50000"/>
                  </a:schemeClr>
                </a:solidFill>
                <a:latin typeface="+mn-lt"/>
                <a:ea typeface="+mn-ea"/>
                <a:cs typeface="+mn-cs"/>
              </a:defRPr>
            </a:pPr>
            <a:r>
              <a:rPr lang="en-US" sz="1400" b="1" i="0" baseline="0">
                <a:solidFill>
                  <a:schemeClr val="accent2">
                    <a:lumMod val="50000"/>
                  </a:schemeClr>
                </a:solidFill>
                <a:effectLst/>
              </a:rPr>
              <a:t>by Recovery Scenario</a:t>
            </a:r>
            <a:endParaRPr lang="en-US" sz="1400">
              <a:solidFill>
                <a:schemeClr val="accent2">
                  <a:lumMod val="50000"/>
                </a:schemeClr>
              </a:solidFill>
              <a:effectLst/>
            </a:endParaRPr>
          </a:p>
          <a:p>
            <a:pPr>
              <a:defRPr sz="1400" b="0" i="0" u="none" strike="noStrike" kern="1200" spc="0" baseline="0">
                <a:solidFill>
                  <a:schemeClr val="accent2">
                    <a:lumMod val="50000"/>
                  </a:schemeClr>
                </a:solidFill>
                <a:latin typeface="+mn-lt"/>
                <a:ea typeface="+mn-ea"/>
                <a:cs typeface="+mn-cs"/>
              </a:defRPr>
            </a:pPr>
            <a:r>
              <a:rPr lang="en-US" sz="1400" b="1" i="0" baseline="0">
                <a:solidFill>
                  <a:schemeClr val="accent2">
                    <a:lumMod val="50000"/>
                  </a:schemeClr>
                </a:solidFill>
                <a:effectLst/>
              </a:rPr>
              <a:t>($/acre)</a:t>
            </a:r>
            <a:endParaRPr lang="en-US" sz="1400">
              <a:solidFill>
                <a:schemeClr val="accent2">
                  <a:lumMod val="50000"/>
                </a:schemeClr>
              </a:solidFill>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2">
                  <a:lumMod val="50000"/>
                </a:schemeClr>
              </a:solidFill>
              <a:latin typeface="+mn-lt"/>
              <a:ea typeface="+mn-ea"/>
              <a:cs typeface="+mn-cs"/>
            </a:defRPr>
          </a:pPr>
          <a:endParaRPr lang="en-US"/>
        </a:p>
      </c:txPr>
    </c:title>
    <c:autoTitleDeleted val="0"/>
    <c:plotArea>
      <c:layout/>
      <c:barChart>
        <c:barDir val="col"/>
        <c:grouping val="stacked"/>
        <c:varyColors val="0"/>
        <c:ser>
          <c:idx val="0"/>
          <c:order val="0"/>
          <c:tx>
            <c:strRef>
              <c:f>'Check your work'!$C$53</c:f>
              <c:strCache>
                <c:ptCount val="1"/>
                <c:pt idx="0">
                  <c:v>0</c:v>
                </c:pt>
              </c:strCache>
            </c:strRef>
          </c:tx>
          <c:spPr>
            <a:solidFill>
              <a:schemeClr val="accent6"/>
            </a:solidFill>
            <a:ln>
              <a:noFill/>
            </a:ln>
            <a:effectLst/>
          </c:spPr>
          <c:invertIfNegative val="0"/>
          <c:cat>
            <c:strRef>
              <c:f>'Check your work'!$D$52:$G$52</c:f>
              <c:strCache>
                <c:ptCount val="4"/>
                <c:pt idx="0">
                  <c:v>Scenario 1</c:v>
                </c:pt>
                <c:pt idx="1">
                  <c:v>Scenario 2</c:v>
                </c:pt>
                <c:pt idx="2">
                  <c:v>Scenario 3</c:v>
                </c:pt>
                <c:pt idx="3">
                  <c:v>Scenario 4</c:v>
                </c:pt>
              </c:strCache>
            </c:strRef>
          </c:cat>
          <c:val>
            <c:numRef>
              <c:f>'Check your work'!$D$53:$G$53</c:f>
              <c:numCache>
                <c:formatCode>_("$"* #,##0.00_);_("$"* \(#,##0.00\);_("$"* "-"??_);_(@_)</c:formatCode>
                <c:ptCount val="4"/>
                <c:pt idx="0">
                  <c:v>0</c:v>
                </c:pt>
                <c:pt idx="1">
                  <c:v>0</c:v>
                </c:pt>
                <c:pt idx="2">
                  <c:v>0</c:v>
                </c:pt>
                <c:pt idx="3">
                  <c:v>0</c:v>
                </c:pt>
              </c:numCache>
            </c:numRef>
          </c:val>
          <c:extLst>
            <c:ext xmlns:c16="http://schemas.microsoft.com/office/drawing/2014/chart" uri="{C3380CC4-5D6E-409C-BE32-E72D297353CC}">
              <c16:uniqueId val="{00000000-F3AC-3D44-87F3-A1952D8B9943}"/>
            </c:ext>
          </c:extLst>
        </c:ser>
        <c:ser>
          <c:idx val="1"/>
          <c:order val="1"/>
          <c:tx>
            <c:strRef>
              <c:f>'Check your work'!$C$54</c:f>
              <c:strCache>
                <c:ptCount val="1"/>
                <c:pt idx="0">
                  <c:v>0</c:v>
                </c:pt>
              </c:strCache>
            </c:strRef>
          </c:tx>
          <c:spPr>
            <a:solidFill>
              <a:srgbClr val="FF5050"/>
            </a:solidFill>
            <a:ln>
              <a:noFill/>
            </a:ln>
            <a:effectLst/>
          </c:spPr>
          <c:invertIfNegative val="0"/>
          <c:cat>
            <c:strRef>
              <c:f>'Check your work'!$D$52:$G$52</c:f>
              <c:strCache>
                <c:ptCount val="4"/>
                <c:pt idx="0">
                  <c:v>Scenario 1</c:v>
                </c:pt>
                <c:pt idx="1">
                  <c:v>Scenario 2</c:v>
                </c:pt>
                <c:pt idx="2">
                  <c:v>Scenario 3</c:v>
                </c:pt>
                <c:pt idx="3">
                  <c:v>Scenario 4</c:v>
                </c:pt>
              </c:strCache>
            </c:strRef>
          </c:cat>
          <c:val>
            <c:numRef>
              <c:f>'Check your work'!$D$54:$G$54</c:f>
              <c:numCache>
                <c:formatCode>_("$"* #,##0.00_);_("$"* \(#,##0.00\);_("$"* "-"??_);_(@_)</c:formatCode>
                <c:ptCount val="4"/>
                <c:pt idx="0">
                  <c:v>0</c:v>
                </c:pt>
                <c:pt idx="1">
                  <c:v>0</c:v>
                </c:pt>
                <c:pt idx="2">
                  <c:v>0</c:v>
                </c:pt>
                <c:pt idx="3">
                  <c:v>0</c:v>
                </c:pt>
              </c:numCache>
            </c:numRef>
          </c:val>
          <c:extLst>
            <c:ext xmlns:c16="http://schemas.microsoft.com/office/drawing/2014/chart" uri="{C3380CC4-5D6E-409C-BE32-E72D297353CC}">
              <c16:uniqueId val="{00000001-F3AC-3D44-87F3-A1952D8B9943}"/>
            </c:ext>
          </c:extLst>
        </c:ser>
        <c:dLbls>
          <c:showLegendKey val="0"/>
          <c:showVal val="0"/>
          <c:showCatName val="0"/>
          <c:showSerName val="0"/>
          <c:showPercent val="0"/>
          <c:showBubbleSize val="0"/>
        </c:dLbls>
        <c:gapWidth val="150"/>
        <c:overlap val="100"/>
        <c:axId val="291192416"/>
        <c:axId val="832785856"/>
      </c:barChart>
      <c:catAx>
        <c:axId val="29119241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Harvest/Recovery Scenarios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2785856"/>
        <c:crosses val="autoZero"/>
        <c:auto val="1"/>
        <c:lblAlgn val="ctr"/>
        <c:lblOffset val="100"/>
        <c:noMultiLvlLbl val="0"/>
      </c:catAx>
      <c:valAx>
        <c:axId val="832785856"/>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11924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Walk-by In-Field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6"/>
              </a:solidFill>
              <a:ln w="19050">
                <a:solidFill>
                  <a:schemeClr val="lt1"/>
                </a:solidFill>
              </a:ln>
              <a:effectLst/>
            </c:spPr>
            <c:extLst>
              <c:ext xmlns:c16="http://schemas.microsoft.com/office/drawing/2014/chart" uri="{C3380CC4-5D6E-409C-BE32-E72D297353CC}">
                <c16:uniqueId val="{00000001-9219-1540-A3CC-588E6A474FD3}"/>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3-9219-1540-A3CC-588E6A474FD3}"/>
              </c:ext>
            </c:extLst>
          </c:dPt>
          <c:dPt>
            <c:idx val="2"/>
            <c:bubble3D val="0"/>
            <c:spPr>
              <a:solidFill>
                <a:schemeClr val="accent4"/>
              </a:solidFill>
              <a:ln w="19050">
                <a:solidFill>
                  <a:schemeClr val="lt1"/>
                </a:solidFill>
              </a:ln>
              <a:effectLst/>
            </c:spPr>
            <c:extLst>
              <c:ext xmlns:c16="http://schemas.microsoft.com/office/drawing/2014/chart" uri="{C3380CC4-5D6E-409C-BE32-E72D297353CC}">
                <c16:uniqueId val="{00000005-9219-1540-A3CC-588E6A474FD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'Reasons for Loss'!$D$12:$F$12</c:f>
              <c:numCache>
                <c:formatCode>0.0</c:formatCode>
                <c:ptCount val="3"/>
              </c:numCache>
            </c:numRef>
          </c:cat>
          <c:val>
            <c:numRef>
              <c:f>'Reasons for Loss'!$D$13:$F$13</c:f>
              <c:numCache>
                <c:formatCode>0%</c:formatCode>
                <c:ptCount val="3"/>
              </c:numCache>
            </c:numRef>
          </c:val>
          <c:extLst>
            <c:ext xmlns:c16="http://schemas.microsoft.com/office/drawing/2014/chart" uri="{C3380CC4-5D6E-409C-BE32-E72D297353CC}">
              <c16:uniqueId val="{00000006-9219-1540-A3CC-588E6A474FD3}"/>
            </c:ext>
          </c:extLst>
        </c:ser>
        <c:dLbls>
          <c:dLblPos val="inEnd"/>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kern="1200" spc="0" baseline="0">
                <a:solidFill>
                  <a:srgbClr val="595959"/>
                </a:solidFill>
                <a:effectLst/>
              </a:rPr>
              <a:t>Walk-by In-Field</a:t>
            </a:r>
            <a:endParaRPr lang="en-US">
              <a:effectLst/>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6"/>
              </a:solidFill>
              <a:ln w="19050">
                <a:solidFill>
                  <a:schemeClr val="lt1"/>
                </a:solidFill>
              </a:ln>
              <a:effectLst/>
            </c:spPr>
            <c:extLst>
              <c:ext xmlns:c16="http://schemas.microsoft.com/office/drawing/2014/chart" uri="{C3380CC4-5D6E-409C-BE32-E72D297353CC}">
                <c16:uniqueId val="{00000001-8F89-D34C-8B9C-868C90C07CE1}"/>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3-8F89-D34C-8B9C-868C90C07CE1}"/>
              </c:ext>
            </c:extLst>
          </c:dPt>
          <c:dPt>
            <c:idx val="2"/>
            <c:bubble3D val="0"/>
            <c:spPr>
              <a:solidFill>
                <a:schemeClr val="accent4"/>
              </a:solidFill>
              <a:ln w="19050">
                <a:solidFill>
                  <a:schemeClr val="lt1"/>
                </a:solidFill>
              </a:ln>
              <a:effectLst/>
            </c:spPr>
            <c:extLst>
              <c:ext xmlns:c16="http://schemas.microsoft.com/office/drawing/2014/chart" uri="{C3380CC4-5D6E-409C-BE32-E72D297353CC}">
                <c16:uniqueId val="{00000005-8F89-D34C-8B9C-868C90C07CE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'Reasons for Loss'!$D$17:$F$17</c:f>
              <c:numCache>
                <c:formatCode>0.0</c:formatCode>
                <c:ptCount val="3"/>
              </c:numCache>
            </c:numRef>
          </c:cat>
          <c:val>
            <c:numRef>
              <c:f>'Reasons for Loss'!$D$18:$F$18</c:f>
              <c:numCache>
                <c:formatCode>0%</c:formatCode>
                <c:ptCount val="3"/>
              </c:numCache>
            </c:numRef>
          </c:val>
          <c:extLst>
            <c:ext xmlns:c16="http://schemas.microsoft.com/office/drawing/2014/chart" uri="{C3380CC4-5D6E-409C-BE32-E72D297353CC}">
              <c16:uniqueId val="{00000006-8F89-D34C-8B9C-868C90C07CE1}"/>
            </c:ext>
          </c:extLst>
        </c:ser>
        <c:dLbls>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Processing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6"/>
              </a:solidFill>
              <a:ln w="19050">
                <a:solidFill>
                  <a:schemeClr val="lt1"/>
                </a:solidFill>
              </a:ln>
              <a:effectLst/>
            </c:spPr>
            <c:extLst>
              <c:ext xmlns:c16="http://schemas.microsoft.com/office/drawing/2014/chart" uri="{C3380CC4-5D6E-409C-BE32-E72D297353CC}">
                <c16:uniqueId val="{00000001-110D-4F42-8C44-A9AF5CC9BAAC}"/>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3-110D-4F42-8C44-A9AF5CC9BAAC}"/>
              </c:ext>
            </c:extLst>
          </c:dPt>
          <c:dPt>
            <c:idx val="2"/>
            <c:bubble3D val="0"/>
            <c:spPr>
              <a:solidFill>
                <a:schemeClr val="accent4"/>
              </a:solidFill>
              <a:ln w="19050">
                <a:solidFill>
                  <a:schemeClr val="lt1"/>
                </a:solidFill>
              </a:ln>
              <a:effectLst/>
            </c:spPr>
            <c:extLst>
              <c:ext xmlns:c16="http://schemas.microsoft.com/office/drawing/2014/chart" uri="{C3380CC4-5D6E-409C-BE32-E72D297353CC}">
                <c16:uniqueId val="{00000005-110D-4F42-8C44-A9AF5CC9BAA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'Reasons for Loss'!$D$43:$F$43</c:f>
              <c:numCache>
                <c:formatCode>0.0</c:formatCode>
                <c:ptCount val="3"/>
              </c:numCache>
            </c:numRef>
          </c:cat>
          <c:val>
            <c:numRef>
              <c:f>'Reasons for Loss'!$D$44:$F$44</c:f>
              <c:numCache>
                <c:formatCode>0%</c:formatCode>
                <c:ptCount val="3"/>
              </c:numCache>
            </c:numRef>
          </c:val>
          <c:extLst>
            <c:ext xmlns:c16="http://schemas.microsoft.com/office/drawing/2014/chart" uri="{C3380CC4-5D6E-409C-BE32-E72D297353CC}">
              <c16:uniqueId val="{00000006-110D-4F42-8C44-A9AF5CC9BAAC}"/>
            </c:ext>
          </c:extLst>
        </c:ser>
        <c:dLbls>
          <c:dLblPos val="inEnd"/>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Processing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6"/>
              </a:solidFill>
              <a:ln w="19050">
                <a:solidFill>
                  <a:schemeClr val="lt1"/>
                </a:solidFill>
              </a:ln>
              <a:effectLst/>
            </c:spPr>
            <c:extLst>
              <c:ext xmlns:c16="http://schemas.microsoft.com/office/drawing/2014/chart" uri="{C3380CC4-5D6E-409C-BE32-E72D297353CC}">
                <c16:uniqueId val="{00000001-A7F8-1F4B-9107-7678CC6AF493}"/>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3-A7F8-1F4B-9107-7678CC6AF493}"/>
              </c:ext>
            </c:extLst>
          </c:dPt>
          <c:dPt>
            <c:idx val="2"/>
            <c:bubble3D val="0"/>
            <c:spPr>
              <a:solidFill>
                <a:schemeClr val="accent4"/>
              </a:solidFill>
              <a:ln w="19050">
                <a:solidFill>
                  <a:schemeClr val="lt1"/>
                </a:solidFill>
              </a:ln>
              <a:effectLst/>
            </c:spPr>
            <c:extLst>
              <c:ext xmlns:c16="http://schemas.microsoft.com/office/drawing/2014/chart" uri="{C3380CC4-5D6E-409C-BE32-E72D297353CC}">
                <c16:uniqueId val="{00000005-A7F8-1F4B-9107-7678CC6AF49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'Reasons for Loss'!$D$48:$F$48</c:f>
              <c:numCache>
                <c:formatCode>0.0</c:formatCode>
                <c:ptCount val="3"/>
              </c:numCache>
            </c:numRef>
          </c:cat>
          <c:val>
            <c:numRef>
              <c:f>'Reasons for Loss'!$D$49:$F$49</c:f>
              <c:numCache>
                <c:formatCode>0%</c:formatCode>
                <c:ptCount val="3"/>
              </c:numCache>
            </c:numRef>
          </c:val>
          <c:extLst>
            <c:ext xmlns:c16="http://schemas.microsoft.com/office/drawing/2014/chart" uri="{C3380CC4-5D6E-409C-BE32-E72D297353CC}">
              <c16:uniqueId val="{00000006-A7F8-1F4B-9107-7678CC6AF493}"/>
            </c:ext>
          </c:extLst>
        </c:ser>
        <c:dLbls>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withinLinear" id="19">
  <a:schemeClr val="accent6"/>
</cs:colorStyle>
</file>

<file path=xl/charts/colors15.xml><?xml version="1.0" encoding="utf-8"?>
<cs:colorStyle xmlns:cs="http://schemas.microsoft.com/office/drawing/2012/chartStyle" xmlns:a="http://schemas.openxmlformats.org/drawingml/2006/main" meth="withinLinear" id="19">
  <a:schemeClr val="accent6"/>
</cs:colorStyle>
</file>

<file path=xl/charts/colors1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twoCellAnchor>
    <xdr:from>
      <xdr:col>1</xdr:col>
      <xdr:colOff>339035</xdr:colOff>
      <xdr:row>2</xdr:row>
      <xdr:rowOff>30481</xdr:rowOff>
    </xdr:from>
    <xdr:to>
      <xdr:col>7</xdr:col>
      <xdr:colOff>700424</xdr:colOff>
      <xdr:row>23</xdr:row>
      <xdr:rowOff>101601</xdr:rowOff>
    </xdr:to>
    <xdr:sp macro="" textlink="">
      <xdr:nvSpPr>
        <xdr:cNvPr id="2" name="TextBox 1">
          <a:extLst>
            <a:ext uri="{FF2B5EF4-FFF2-40B4-BE49-F238E27FC236}">
              <a16:creationId xmlns:a16="http://schemas.microsoft.com/office/drawing/2014/main" id="{4EB9A551-19EA-2E47-BEC3-05C2BFEC8F0B}"/>
            </a:ext>
          </a:extLst>
        </xdr:cNvPr>
        <xdr:cNvSpPr txBox="1"/>
      </xdr:nvSpPr>
      <xdr:spPr>
        <a:xfrm>
          <a:off x="684475" y="426721"/>
          <a:ext cx="4821629" cy="41452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i="0" u="none" strike="noStrike">
              <a:solidFill>
                <a:schemeClr val="accent2">
                  <a:lumMod val="50000"/>
                </a:schemeClr>
              </a:solidFill>
              <a:effectLst/>
              <a:latin typeface="+mn-lt"/>
              <a:ea typeface="+mn-ea"/>
              <a:cs typeface="+mn-cs"/>
            </a:rPr>
            <a:t>Food Loss Metric Calculator</a:t>
          </a:r>
          <a:r>
            <a:rPr lang="en-US" sz="2400">
              <a:solidFill>
                <a:schemeClr val="accent2">
                  <a:lumMod val="50000"/>
                </a:schemeClr>
              </a:solidFill>
            </a:rPr>
            <a:t> </a:t>
          </a:r>
        </a:p>
        <a:p>
          <a:r>
            <a:rPr lang="en-US" sz="1100" b="0" i="0" u="none" strike="noStrike">
              <a:solidFill>
                <a:schemeClr val="dk1"/>
              </a:solidFill>
              <a:effectLst/>
              <a:latin typeface="+mn-lt"/>
              <a:ea typeface="+mn-ea"/>
              <a:cs typeface="+mn-cs"/>
            </a:rPr>
            <a:t>Thank you for using this tool and taking steps to measure and reduce on-farm food loss!</a:t>
          </a:r>
          <a:r>
            <a:rPr lang="en-US"/>
            <a:t> </a:t>
          </a:r>
          <a:r>
            <a:rPr lang="en-US" sz="1100" b="0" i="0" u="none" strike="noStrike">
              <a:solidFill>
                <a:schemeClr val="dk1"/>
              </a:solidFill>
              <a:effectLst/>
              <a:latin typeface="+mn-lt"/>
              <a:ea typeface="+mn-ea"/>
              <a:cs typeface="+mn-cs"/>
            </a:rPr>
            <a:t>The outputs of this tool can open doors to new conversations between growers and buyers on increased operational efficiencies and markets for surplus food.</a:t>
          </a:r>
        </a:p>
        <a:p>
          <a:endParaRPr lang="en-US" sz="1100" b="0" i="0" u="none" strike="noStrike">
            <a:solidFill>
              <a:schemeClr val="dk1"/>
            </a:solidFill>
            <a:effectLst/>
            <a:latin typeface="+mn-lt"/>
            <a:ea typeface="+mn-ea"/>
            <a:cs typeface="+mn-cs"/>
          </a:endParaRPr>
        </a:p>
        <a:p>
          <a:r>
            <a:rPr lang="en-US" sz="1100" b="1" i="0" u="none" strike="noStrike">
              <a:solidFill>
                <a:schemeClr val="accent2">
                  <a:lumMod val="50000"/>
                </a:schemeClr>
              </a:solidFill>
              <a:effectLst/>
              <a:latin typeface="+mn-lt"/>
              <a:ea typeface="+mn-ea"/>
              <a:cs typeface="+mn-cs"/>
            </a:rPr>
            <a:t>Purpose</a:t>
          </a:r>
          <a:r>
            <a:rPr lang="en-US"/>
            <a:t> </a:t>
          </a:r>
        </a:p>
        <a:p>
          <a:r>
            <a:rPr lang="en-US" sz="1100" b="0" i="0" u="none" strike="noStrike">
              <a:solidFill>
                <a:schemeClr val="dk1"/>
              </a:solidFill>
              <a:effectLst/>
              <a:latin typeface="+mn-lt"/>
              <a:ea typeface="+mn-ea"/>
              <a:cs typeface="+mn-cs"/>
            </a:rPr>
            <a:t>To track and report food loss from field to farm-gate by understanding how much of a crop is not being sold, and why.</a:t>
          </a:r>
          <a:r>
            <a:rPr lang="en-US"/>
            <a:t> </a:t>
          </a:r>
        </a:p>
        <a:p>
          <a:endParaRPr lang="en-US"/>
        </a:p>
        <a:p>
          <a:r>
            <a:rPr lang="en-US" sz="1100" b="1" i="0" u="none" strike="noStrike">
              <a:solidFill>
                <a:schemeClr val="accent2">
                  <a:lumMod val="50000"/>
                </a:schemeClr>
              </a:solidFill>
              <a:effectLst/>
              <a:latin typeface="+mn-lt"/>
              <a:ea typeface="+mn-ea"/>
              <a:cs typeface="+mn-cs"/>
            </a:rPr>
            <a:t>Why</a:t>
          </a:r>
          <a:r>
            <a:rPr lang="en-US"/>
            <a:t> </a:t>
          </a:r>
        </a:p>
        <a:p>
          <a:r>
            <a:rPr lang="en-US" sz="1100" b="0" i="0" u="none" strike="noStrike">
              <a:solidFill>
                <a:schemeClr val="dk1"/>
              </a:solidFill>
              <a:effectLst/>
              <a:latin typeface="+mn-lt"/>
              <a:ea typeface="+mn-ea"/>
              <a:cs typeface="+mn-cs"/>
            </a:rPr>
            <a:t>Understand where on your farm loss occurrs and how to work towards full utilization by making changes in your management practices. </a:t>
          </a:r>
          <a:r>
            <a:rPr lang="en-US"/>
            <a:t> </a:t>
          </a:r>
        </a:p>
        <a:p>
          <a:endParaRPr lang="en-US"/>
        </a:p>
        <a:p>
          <a:r>
            <a:rPr lang="en-US" sz="1100" b="1" i="0" u="none" strike="noStrike">
              <a:solidFill>
                <a:schemeClr val="accent2">
                  <a:lumMod val="50000"/>
                </a:schemeClr>
              </a:solidFill>
              <a:effectLst/>
              <a:latin typeface="+mn-lt"/>
              <a:ea typeface="+mn-ea"/>
              <a:cs typeface="+mn-cs"/>
            </a:rPr>
            <a:t>Please Note</a:t>
          </a:r>
          <a:r>
            <a:rPr lang="en-US">
              <a:solidFill>
                <a:schemeClr val="accent2">
                  <a:lumMod val="50000"/>
                </a:schemeClr>
              </a:solidFill>
            </a:rPr>
            <a:t> </a:t>
          </a:r>
        </a:p>
        <a:p>
          <a:r>
            <a:rPr lang="en-US" sz="1100" b="0" i="0" u="none" strike="noStrike">
              <a:solidFill>
                <a:schemeClr val="dk1"/>
              </a:solidFill>
              <a:effectLst/>
              <a:latin typeface="+mn-lt"/>
              <a:ea typeface="+mn-ea"/>
              <a:cs typeface="+mn-cs"/>
            </a:rPr>
            <a:t>Collect your samples as close to the end of harvest season as possible.</a:t>
          </a:r>
        </a:p>
        <a:p>
          <a:endParaRPr lang="en-US"/>
        </a:p>
        <a:p>
          <a:r>
            <a:rPr lang="en-US" sz="1100" b="0" i="0" u="none" strike="noStrike">
              <a:solidFill>
                <a:schemeClr val="dk1"/>
              </a:solidFill>
              <a:effectLst/>
              <a:latin typeface="+mn-lt"/>
              <a:ea typeface="+mn-ea"/>
              <a:cs typeface="+mn-cs"/>
            </a:rPr>
            <a:t>Only complete the sections that are a part of your farm operation. For example, if you don't operate your own storage facility but process your crop, you can fill in inputs for Processing and leave inputs for Storage blank.</a:t>
          </a:r>
        </a:p>
        <a:p>
          <a:endParaRPr lang="en-US" sz="1100" b="0" i="0" u="none" strike="noStrike">
            <a:solidFill>
              <a:schemeClr val="dk1"/>
            </a:solidFill>
            <a:effectLst/>
            <a:latin typeface="+mn-lt"/>
            <a:ea typeface="+mn-ea"/>
            <a:cs typeface="+mn-cs"/>
          </a:endParaRPr>
        </a:p>
        <a:p>
          <a:r>
            <a:rPr lang="en-US" sz="1100"/>
            <a:t>We welcome suggestions and feedback at NFLB@wwfus.org.</a:t>
          </a:r>
        </a:p>
      </xdr:txBody>
    </xdr:sp>
    <xdr:clientData/>
  </xdr:twoCellAnchor>
  <xdr:twoCellAnchor editAs="oneCell">
    <xdr:from>
      <xdr:col>1</xdr:col>
      <xdr:colOff>344589</xdr:colOff>
      <xdr:row>24</xdr:row>
      <xdr:rowOff>32733</xdr:rowOff>
    </xdr:from>
    <xdr:to>
      <xdr:col>12</xdr:col>
      <xdr:colOff>548641</xdr:colOff>
      <xdr:row>42</xdr:row>
      <xdr:rowOff>60960</xdr:rowOff>
    </xdr:to>
    <xdr:pic>
      <xdr:nvPicPr>
        <xdr:cNvPr id="5" name="Picture 4">
          <a:extLst>
            <a:ext uri="{FF2B5EF4-FFF2-40B4-BE49-F238E27FC236}">
              <a16:creationId xmlns:a16="http://schemas.microsoft.com/office/drawing/2014/main" id="{3C43A34E-C515-034E-A47F-040935DB7F7E}"/>
            </a:ext>
          </a:extLst>
        </xdr:cNvPr>
        <xdr:cNvPicPr>
          <a:picLocks noChangeAspect="1"/>
        </xdr:cNvPicPr>
      </xdr:nvPicPr>
      <xdr:blipFill rotWithShape="1">
        <a:blip xmlns:r="http://schemas.openxmlformats.org/officeDocument/2006/relationships" r:embed="rId1"/>
        <a:srcRect l="4363" t="5847"/>
        <a:stretch/>
      </xdr:blipFill>
      <xdr:spPr>
        <a:xfrm>
          <a:off x="690029" y="4696173"/>
          <a:ext cx="8779092" cy="350294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xdr:colOff>
      <xdr:row>0</xdr:row>
      <xdr:rowOff>0</xdr:rowOff>
    </xdr:from>
    <xdr:to>
      <xdr:col>7</xdr:col>
      <xdr:colOff>590550</xdr:colOff>
      <xdr:row>3</xdr:row>
      <xdr:rowOff>28574</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609601" y="0"/>
          <a:ext cx="7924799" cy="6000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tx1"/>
              </a:solidFill>
            </a:rPr>
            <a:t>OPTIONAL</a:t>
          </a:r>
        </a:p>
        <a:p>
          <a:r>
            <a:rPr lang="en-US" sz="1100" b="1">
              <a:solidFill>
                <a:schemeClr val="accent2">
                  <a:lumMod val="50000"/>
                </a:schemeClr>
              </a:solidFill>
            </a:rPr>
            <a:t>FOOD</a:t>
          </a:r>
          <a:r>
            <a:rPr lang="en-US" sz="1100" b="1" baseline="0">
              <a:solidFill>
                <a:schemeClr val="accent2">
                  <a:lumMod val="50000"/>
                </a:schemeClr>
              </a:solidFill>
            </a:rPr>
            <a:t> LOSS ALLOCATION WORKSHEET FOR BUYERS/CONTRACTS</a:t>
          </a:r>
          <a:endParaRPr lang="en-US" sz="1100" b="1">
            <a:solidFill>
              <a:schemeClr val="accent2">
                <a:lumMod val="50000"/>
              </a:schemeClr>
            </a:solidFill>
          </a:endParaRPr>
        </a:p>
      </xdr:txBody>
    </xdr:sp>
    <xdr:clientData/>
  </xdr:twoCellAnchor>
  <xdr:twoCellAnchor>
    <xdr:from>
      <xdr:col>1</xdr:col>
      <xdr:colOff>9525</xdr:colOff>
      <xdr:row>2</xdr:row>
      <xdr:rowOff>161925</xdr:rowOff>
    </xdr:from>
    <xdr:to>
      <xdr:col>8</xdr:col>
      <xdr:colOff>95250</xdr:colOff>
      <xdr:row>8</xdr:row>
      <xdr:rowOff>57150</xdr:rowOff>
    </xdr:to>
    <xdr:sp macro="" textlink="">
      <xdr:nvSpPr>
        <xdr:cNvPr id="25" name="TextBox 3">
          <a:extLst>
            <a:ext uri="{FF2B5EF4-FFF2-40B4-BE49-F238E27FC236}">
              <a16:creationId xmlns:a16="http://schemas.microsoft.com/office/drawing/2014/main" id="{00000000-0008-0000-0500-000019000000}"/>
            </a:ext>
          </a:extLst>
        </xdr:cNvPr>
        <xdr:cNvSpPr txBox="1"/>
      </xdr:nvSpPr>
      <xdr:spPr>
        <a:xfrm>
          <a:off x="619125" y="542925"/>
          <a:ext cx="8029575" cy="1038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i="1">
              <a:solidFill>
                <a:schemeClr val="dk1"/>
              </a:solidFill>
              <a:effectLst/>
              <a:latin typeface="+mn-lt"/>
              <a:ea typeface="+mn-ea"/>
              <a:cs typeface="+mn-cs"/>
            </a:rPr>
            <a:t>This worksheet</a:t>
          </a:r>
          <a:r>
            <a:rPr lang="en-US" sz="1100" i="1" baseline="0">
              <a:solidFill>
                <a:schemeClr val="dk1"/>
              </a:solidFill>
              <a:effectLst/>
              <a:latin typeface="+mn-lt"/>
              <a:ea typeface="+mn-ea"/>
              <a:cs typeface="+mn-cs"/>
            </a:rPr>
            <a:t> is designed to help you track and report the amount of the specified crop(s) that is lost on your farm operation per contract, or to calculate how much loss is created per buyer. This will allow you to report out to specific buyers who may be interested in understanding their supply chain food loss and allow you to have conversations with specific buyers who frequently contribute to more on farm loss than others.</a:t>
          </a:r>
          <a:endParaRPr lang="en-US">
            <a:effectLst/>
          </a:endParaRPr>
        </a:p>
        <a:p>
          <a:endParaRPr lang="en-US" sz="1100" b="1">
            <a:solidFill>
              <a:schemeClr val="accent2">
                <a:lumMod val="50000"/>
              </a:schemeClr>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9525</xdr:colOff>
      <xdr:row>0</xdr:row>
      <xdr:rowOff>9525</xdr:rowOff>
    </xdr:from>
    <xdr:to>
      <xdr:col>15</xdr:col>
      <xdr:colOff>0</xdr:colOff>
      <xdr:row>1</xdr:row>
      <xdr:rowOff>19050</xdr:rowOff>
    </xdr:to>
    <xdr:sp macro="" textlink="">
      <xdr:nvSpPr>
        <xdr:cNvPr id="7" name="TextBox 1">
          <a:extLst>
            <a:ext uri="{FF2B5EF4-FFF2-40B4-BE49-F238E27FC236}">
              <a16:creationId xmlns:a16="http://schemas.microsoft.com/office/drawing/2014/main" id="{00000000-0008-0000-0700-000007000000}"/>
            </a:ext>
          </a:extLst>
        </xdr:cNvPr>
        <xdr:cNvSpPr txBox="1"/>
      </xdr:nvSpPr>
      <xdr:spPr>
        <a:xfrm>
          <a:off x="619125" y="9525"/>
          <a:ext cx="10991850" cy="200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2">
                  <a:lumMod val="50000"/>
                </a:schemeClr>
              </a:solidFill>
            </a:rPr>
            <a:t>FOOD</a:t>
          </a:r>
          <a:r>
            <a:rPr lang="en-US" sz="1100" b="1" baseline="0">
              <a:solidFill>
                <a:schemeClr val="accent2">
                  <a:lumMod val="50000"/>
                </a:schemeClr>
              </a:solidFill>
            </a:rPr>
            <a:t> LOSS ALLOCATION DASHBOARD BY BUYERS/CONTRACTS</a:t>
          </a:r>
          <a:endParaRPr lang="en-US" sz="1100" b="1">
            <a:solidFill>
              <a:schemeClr val="accent2">
                <a:lumMod val="50000"/>
              </a:schemeClr>
            </a:solidFill>
          </a:endParaRPr>
        </a:p>
      </xdr:txBody>
    </xdr:sp>
    <xdr:clientData/>
  </xdr:twoCellAnchor>
  <xdr:twoCellAnchor>
    <xdr:from>
      <xdr:col>1</xdr:col>
      <xdr:colOff>0</xdr:colOff>
      <xdr:row>2</xdr:row>
      <xdr:rowOff>1</xdr:rowOff>
    </xdr:from>
    <xdr:to>
      <xdr:col>6</xdr:col>
      <xdr:colOff>295275</xdr:colOff>
      <xdr:row>5</xdr:row>
      <xdr:rowOff>0</xdr:rowOff>
    </xdr:to>
    <xdr:sp macro="" textlink="">
      <xdr:nvSpPr>
        <xdr:cNvPr id="6" name="TextBox 2">
          <a:extLst>
            <a:ext uri="{FF2B5EF4-FFF2-40B4-BE49-F238E27FC236}">
              <a16:creationId xmlns:a16="http://schemas.microsoft.com/office/drawing/2014/main" id="{00000000-0008-0000-0700-000006000000}"/>
            </a:ext>
          </a:extLst>
        </xdr:cNvPr>
        <xdr:cNvSpPr txBox="1"/>
      </xdr:nvSpPr>
      <xdr:spPr>
        <a:xfrm>
          <a:off x="609600" y="381001"/>
          <a:ext cx="5810250" cy="5714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i="1">
              <a:solidFill>
                <a:schemeClr val="dk1"/>
              </a:solidFill>
              <a:effectLst/>
              <a:latin typeface="+mn-lt"/>
              <a:ea typeface="+mn-ea"/>
              <a:cs typeface="+mn-cs"/>
            </a:rPr>
            <a:t>This</a:t>
          </a:r>
          <a:r>
            <a:rPr lang="en-US" sz="1100" i="1" baseline="0">
              <a:solidFill>
                <a:schemeClr val="dk1"/>
              </a:solidFill>
              <a:effectLst/>
              <a:latin typeface="+mn-lt"/>
              <a:ea typeface="+mn-ea"/>
              <a:cs typeface="+mn-cs"/>
            </a:rPr>
            <a:t> dashboard calculates the amount of loss attributed to each buyer/contract based on the inputs on the Contracts-Buyers worksheet tab and the final metrics dashboard tab.</a:t>
          </a:r>
          <a:endParaRPr lang="en-US">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31370</xdr:colOff>
      <xdr:row>27</xdr:row>
      <xdr:rowOff>126370</xdr:rowOff>
    </xdr:from>
    <xdr:to>
      <xdr:col>6</xdr:col>
      <xdr:colOff>825036</xdr:colOff>
      <xdr:row>31</xdr:row>
      <xdr:rowOff>101970</xdr:rowOff>
    </xdr:to>
    <xdr:sp macro="" textlink="">
      <xdr:nvSpPr>
        <xdr:cNvPr id="3" name="TextBox 2">
          <a:extLst>
            <a:ext uri="{FF2B5EF4-FFF2-40B4-BE49-F238E27FC236}">
              <a16:creationId xmlns:a16="http://schemas.microsoft.com/office/drawing/2014/main" id="{477CA70E-50BC-F74A-932E-18ADD8F20281}"/>
            </a:ext>
          </a:extLst>
        </xdr:cNvPr>
        <xdr:cNvSpPr txBox="1"/>
      </xdr:nvSpPr>
      <xdr:spPr>
        <a:xfrm>
          <a:off x="4694217" y="6290969"/>
          <a:ext cx="1674323" cy="75428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i="1">
              <a:solidFill>
                <a:schemeClr val="tx1">
                  <a:lumMod val="50000"/>
                  <a:lumOff val="50000"/>
                </a:schemeClr>
              </a:solidFill>
            </a:rPr>
            <a:t>The average Food Bank Price per Lb is $0.07. If available, please provide the value relevant to your region/state.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10949</xdr:colOff>
      <xdr:row>30</xdr:row>
      <xdr:rowOff>120431</xdr:rowOff>
    </xdr:from>
    <xdr:to>
      <xdr:col>11</xdr:col>
      <xdr:colOff>772160</xdr:colOff>
      <xdr:row>33</xdr:row>
      <xdr:rowOff>20321</xdr:rowOff>
    </xdr:to>
    <xdr:sp macro="" textlink="">
      <xdr:nvSpPr>
        <xdr:cNvPr id="3" name="TextBox 2">
          <a:extLst>
            <a:ext uri="{FF2B5EF4-FFF2-40B4-BE49-F238E27FC236}">
              <a16:creationId xmlns:a16="http://schemas.microsoft.com/office/drawing/2014/main" id="{6A7B9948-3663-8C44-B2DE-77CBA658DA8F}"/>
            </a:ext>
          </a:extLst>
        </xdr:cNvPr>
        <xdr:cNvSpPr txBox="1"/>
      </xdr:nvSpPr>
      <xdr:spPr>
        <a:xfrm>
          <a:off x="143029" y="6927631"/>
          <a:ext cx="10982171" cy="539970"/>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i="0" u="none" strike="noStrike">
              <a:solidFill>
                <a:schemeClr val="accent2">
                  <a:lumMod val="50000"/>
                </a:schemeClr>
              </a:solidFill>
              <a:effectLst/>
              <a:latin typeface="+mn-lt"/>
              <a:ea typeface="+mn-ea"/>
              <a:cs typeface="+mn-cs"/>
            </a:rPr>
            <a:t>Below are the four stages that we take into account with this metric. Please fill out inputs </a:t>
          </a:r>
          <a:r>
            <a:rPr lang="en-US" sz="1100" b="1" i="0" u="none" strike="noStrike">
              <a:solidFill>
                <a:schemeClr val="accent2">
                  <a:lumMod val="50000"/>
                </a:schemeClr>
              </a:solidFill>
              <a:effectLst/>
              <a:latin typeface="+mn-lt"/>
              <a:ea typeface="+mn-ea"/>
              <a:cs typeface="+mn-cs"/>
            </a:rPr>
            <a:t>only</a:t>
          </a:r>
          <a:r>
            <a:rPr lang="en-US" sz="1100" b="0" i="0" u="none" strike="noStrike">
              <a:solidFill>
                <a:schemeClr val="accent2">
                  <a:lumMod val="50000"/>
                </a:schemeClr>
              </a:solidFill>
              <a:effectLst/>
              <a:latin typeface="+mn-lt"/>
              <a:ea typeface="+mn-ea"/>
              <a:cs typeface="+mn-cs"/>
            </a:rPr>
            <a:t> for those stages that apply to your operation,</a:t>
          </a:r>
          <a:r>
            <a:rPr lang="en-US" sz="1100" b="0" i="0" u="none" strike="noStrike" baseline="0">
              <a:solidFill>
                <a:schemeClr val="accent2">
                  <a:lumMod val="50000"/>
                </a:schemeClr>
              </a:solidFill>
              <a:effectLst/>
              <a:latin typeface="+mn-lt"/>
              <a:ea typeface="+mn-ea"/>
              <a:cs typeface="+mn-cs"/>
            </a:rPr>
            <a:t> </a:t>
          </a:r>
          <a:r>
            <a:rPr lang="en-US" sz="1100" b="1" i="0" u="none" strike="noStrike" baseline="0">
              <a:solidFill>
                <a:schemeClr val="accent2">
                  <a:lumMod val="50000"/>
                </a:schemeClr>
              </a:solidFill>
              <a:effectLst/>
              <a:latin typeface="+mn-lt"/>
              <a:ea typeface="+mn-ea"/>
              <a:cs typeface="+mn-cs"/>
            </a:rPr>
            <a:t>for the full harvest</a:t>
          </a:r>
          <a:r>
            <a:rPr lang="en-US" sz="1100" b="0" i="0" u="none" strike="noStrike" baseline="0">
              <a:solidFill>
                <a:schemeClr val="accent2">
                  <a:lumMod val="50000"/>
                </a:schemeClr>
              </a:solidFill>
              <a:effectLst/>
              <a:latin typeface="+mn-lt"/>
              <a:ea typeface="+mn-ea"/>
              <a:cs typeface="+mn-cs"/>
            </a:rPr>
            <a:t>. </a:t>
          </a:r>
        </a:p>
        <a:p>
          <a:r>
            <a:rPr lang="en-US" sz="1100" b="0" i="0" u="none" strike="noStrike" baseline="0">
              <a:solidFill>
                <a:schemeClr val="accent2">
                  <a:lumMod val="50000"/>
                </a:schemeClr>
              </a:solidFill>
              <a:effectLst/>
              <a:latin typeface="+mn-lt"/>
              <a:ea typeface="+mn-ea"/>
              <a:cs typeface="+mn-cs"/>
            </a:rPr>
            <a:t>Please note if you have any stage in your operations post-harvest, there is opportunity for transport loss.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948266</xdr:colOff>
      <xdr:row>13</xdr:row>
      <xdr:rowOff>0</xdr:rowOff>
    </xdr:from>
    <xdr:to>
      <xdr:col>9</xdr:col>
      <xdr:colOff>609600</xdr:colOff>
      <xdr:row>13</xdr:row>
      <xdr:rowOff>0</xdr:rowOff>
    </xdr:to>
    <xdr:graphicFrame macro="">
      <xdr:nvGraphicFramePr>
        <xdr:cNvPr id="2" name="Chart 1">
          <a:extLst>
            <a:ext uri="{FF2B5EF4-FFF2-40B4-BE49-F238E27FC236}">
              <a16:creationId xmlns:a16="http://schemas.microsoft.com/office/drawing/2014/main" id="{33CCEF38-A6E9-BF42-B451-80825A72FF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468690</xdr:colOff>
      <xdr:row>29</xdr:row>
      <xdr:rowOff>151191</xdr:rowOff>
    </xdr:from>
    <xdr:to>
      <xdr:col>9</xdr:col>
      <xdr:colOff>800099</xdr:colOff>
      <xdr:row>45</xdr:row>
      <xdr:rowOff>166309</xdr:rowOff>
    </xdr:to>
    <xdr:graphicFrame macro="">
      <xdr:nvGraphicFramePr>
        <xdr:cNvPr id="9" name="Chart 8">
          <a:extLst>
            <a:ext uri="{FF2B5EF4-FFF2-40B4-BE49-F238E27FC236}">
              <a16:creationId xmlns:a16="http://schemas.microsoft.com/office/drawing/2014/main" id="{C93CA741-0F72-D14B-999C-597A44DDE4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399142</xdr:colOff>
      <xdr:row>17</xdr:row>
      <xdr:rowOff>3628</xdr:rowOff>
    </xdr:from>
    <xdr:to>
      <xdr:col>5</xdr:col>
      <xdr:colOff>96762</xdr:colOff>
      <xdr:row>46</xdr:row>
      <xdr:rowOff>3628</xdr:rowOff>
    </xdr:to>
    <xdr:graphicFrame macro="">
      <xdr:nvGraphicFramePr>
        <xdr:cNvPr id="10" name="Chart 9">
          <a:extLst>
            <a:ext uri="{FF2B5EF4-FFF2-40B4-BE49-F238E27FC236}">
              <a16:creationId xmlns:a16="http://schemas.microsoft.com/office/drawing/2014/main" id="{06F5A218-410A-E047-85BB-6B89F5D407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483810</xdr:colOff>
      <xdr:row>17</xdr:row>
      <xdr:rowOff>2</xdr:rowOff>
    </xdr:from>
    <xdr:to>
      <xdr:col>9</xdr:col>
      <xdr:colOff>812800</xdr:colOff>
      <xdr:row>27</xdr:row>
      <xdr:rowOff>151190</xdr:rowOff>
    </xdr:to>
    <xdr:graphicFrame macro="">
      <xdr:nvGraphicFramePr>
        <xdr:cNvPr id="11" name="Chart 10">
          <a:extLst>
            <a:ext uri="{FF2B5EF4-FFF2-40B4-BE49-F238E27FC236}">
              <a16:creationId xmlns:a16="http://schemas.microsoft.com/office/drawing/2014/main" id="{8EB260AF-7792-F64D-B003-2616B51448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105834</xdr:colOff>
      <xdr:row>49</xdr:row>
      <xdr:rowOff>181429</xdr:rowOff>
    </xdr:from>
    <xdr:to>
      <xdr:col>7</xdr:col>
      <xdr:colOff>1164167</xdr:colOff>
      <xdr:row>67</xdr:row>
      <xdr:rowOff>166310</xdr:rowOff>
    </xdr:to>
    <xdr:sp macro="" textlink="">
      <xdr:nvSpPr>
        <xdr:cNvPr id="5" name="TextBox 4">
          <a:extLst>
            <a:ext uri="{FF2B5EF4-FFF2-40B4-BE49-F238E27FC236}">
              <a16:creationId xmlns:a16="http://schemas.microsoft.com/office/drawing/2014/main" id="{94607BF3-CFD7-7E49-B8AB-5AB5A4978D1E}"/>
            </a:ext>
          </a:extLst>
        </xdr:cNvPr>
        <xdr:cNvSpPr txBox="1"/>
      </xdr:nvSpPr>
      <xdr:spPr>
        <a:xfrm>
          <a:off x="9872739" y="10719405"/>
          <a:ext cx="2086428" cy="35227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tx1">
                  <a:lumMod val="50000"/>
                  <a:lumOff val="50000"/>
                </a:schemeClr>
              </a:solidFill>
            </a:rPr>
            <a:t>Opportunity</a:t>
          </a:r>
        </a:p>
        <a:p>
          <a:r>
            <a:rPr lang="en-US" sz="1100">
              <a:solidFill>
                <a:schemeClr val="tx1">
                  <a:lumMod val="50000"/>
                  <a:lumOff val="50000"/>
                </a:schemeClr>
              </a:solidFill>
            </a:rPr>
            <a:t>By inputing the cost of labor to pick and pack the crops on the Harvest Data tab in this calculator, in addition to the "cost per pound for the marketable product" and "price per pound for product sold to the food bank or secondary market channel", you can estimate the per acre profitability of harvesting and selling recovered product.</a:t>
          </a:r>
        </a:p>
        <a:p>
          <a:endParaRPr lang="en-US" sz="1100">
            <a:solidFill>
              <a:schemeClr val="tx1">
                <a:lumMod val="50000"/>
                <a:lumOff val="50000"/>
              </a:schemeClr>
            </a:solidFill>
          </a:endParaRPr>
        </a:p>
        <a:p>
          <a:r>
            <a:rPr lang="en-US" sz="1100">
              <a:solidFill>
                <a:schemeClr val="tx1">
                  <a:lumMod val="50000"/>
                  <a:lumOff val="50000"/>
                </a:schemeClr>
              </a:solidFill>
            </a:rPr>
            <a:t>* Please note that your farm operation may have more and different recovery scenarios</a:t>
          </a:r>
        </a:p>
      </xdr:txBody>
    </xdr:sp>
    <xdr:clientData/>
  </xdr:twoCellAnchor>
  <xdr:twoCellAnchor>
    <xdr:from>
      <xdr:col>1</xdr:col>
      <xdr:colOff>959884</xdr:colOff>
      <xdr:row>49</xdr:row>
      <xdr:rowOff>88603</xdr:rowOff>
    </xdr:from>
    <xdr:to>
      <xdr:col>6</xdr:col>
      <xdr:colOff>44301</xdr:colOff>
      <xdr:row>67</xdr:row>
      <xdr:rowOff>59069</xdr:rowOff>
    </xdr:to>
    <xdr:graphicFrame macro="">
      <xdr:nvGraphicFramePr>
        <xdr:cNvPr id="12" name="Chart 11">
          <a:extLst>
            <a:ext uri="{FF2B5EF4-FFF2-40B4-BE49-F238E27FC236}">
              <a16:creationId xmlns:a16="http://schemas.microsoft.com/office/drawing/2014/main" id="{92714C30-CF79-7A41-86BF-3208193D42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249311</xdr:colOff>
      <xdr:row>77</xdr:row>
      <xdr:rowOff>1</xdr:rowOff>
    </xdr:from>
    <xdr:to>
      <xdr:col>2</xdr:col>
      <xdr:colOff>1742608</xdr:colOff>
      <xdr:row>88</xdr:row>
      <xdr:rowOff>147488</xdr:rowOff>
    </xdr:to>
    <xdr:graphicFrame macro="">
      <xdr:nvGraphicFramePr>
        <xdr:cNvPr id="13" name="Chart 12">
          <a:extLst>
            <a:ext uri="{FF2B5EF4-FFF2-40B4-BE49-F238E27FC236}">
              <a16:creationId xmlns:a16="http://schemas.microsoft.com/office/drawing/2014/main" id="{ED06257A-94C9-2C40-877C-85DD4C6F99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237253</xdr:colOff>
      <xdr:row>93</xdr:row>
      <xdr:rowOff>6030</xdr:rowOff>
    </xdr:from>
    <xdr:to>
      <xdr:col>2</xdr:col>
      <xdr:colOff>1730550</xdr:colOff>
      <xdr:row>104</xdr:row>
      <xdr:rowOff>153517</xdr:rowOff>
    </xdr:to>
    <xdr:graphicFrame macro="">
      <xdr:nvGraphicFramePr>
        <xdr:cNvPr id="14" name="Chart 13">
          <a:extLst>
            <a:ext uri="{FF2B5EF4-FFF2-40B4-BE49-F238E27FC236}">
              <a16:creationId xmlns:a16="http://schemas.microsoft.com/office/drawing/2014/main" id="{37B530FF-A34E-0E42-8E18-36632BA81C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1476326</xdr:colOff>
      <xdr:row>76</xdr:row>
      <xdr:rowOff>180312</xdr:rowOff>
    </xdr:from>
    <xdr:to>
      <xdr:col>6</xdr:col>
      <xdr:colOff>1099513</xdr:colOff>
      <xdr:row>88</xdr:row>
      <xdr:rowOff>132415</xdr:rowOff>
    </xdr:to>
    <xdr:graphicFrame macro="">
      <xdr:nvGraphicFramePr>
        <xdr:cNvPr id="17" name="Chart 16">
          <a:extLst>
            <a:ext uri="{FF2B5EF4-FFF2-40B4-BE49-F238E27FC236}">
              <a16:creationId xmlns:a16="http://schemas.microsoft.com/office/drawing/2014/main" id="{FFA2C34F-1FFD-384E-9F8B-A1E217DA56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1464268</xdr:colOff>
      <xdr:row>92</xdr:row>
      <xdr:rowOff>186341</xdr:rowOff>
    </xdr:from>
    <xdr:to>
      <xdr:col>6</xdr:col>
      <xdr:colOff>1087455</xdr:colOff>
      <xdr:row>104</xdr:row>
      <xdr:rowOff>138444</xdr:rowOff>
    </xdr:to>
    <xdr:graphicFrame macro="">
      <xdr:nvGraphicFramePr>
        <xdr:cNvPr id="18" name="Chart 17">
          <a:extLst>
            <a:ext uri="{FF2B5EF4-FFF2-40B4-BE49-F238E27FC236}">
              <a16:creationId xmlns:a16="http://schemas.microsoft.com/office/drawing/2014/main" id="{1BB92257-09C7-9449-B332-56CDDF25C6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1224001</xdr:colOff>
      <xdr:row>76</xdr:row>
      <xdr:rowOff>179195</xdr:rowOff>
    </xdr:from>
    <xdr:to>
      <xdr:col>9</xdr:col>
      <xdr:colOff>819276</xdr:colOff>
      <xdr:row>88</xdr:row>
      <xdr:rowOff>131298</xdr:rowOff>
    </xdr:to>
    <xdr:graphicFrame macro="">
      <xdr:nvGraphicFramePr>
        <xdr:cNvPr id="19" name="Chart 18">
          <a:extLst>
            <a:ext uri="{FF2B5EF4-FFF2-40B4-BE49-F238E27FC236}">
              <a16:creationId xmlns:a16="http://schemas.microsoft.com/office/drawing/2014/main" id="{7848B058-016D-4A40-933D-A09539ADEB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1211943</xdr:colOff>
      <xdr:row>92</xdr:row>
      <xdr:rowOff>185224</xdr:rowOff>
    </xdr:from>
    <xdr:to>
      <xdr:col>9</xdr:col>
      <xdr:colOff>807218</xdr:colOff>
      <xdr:row>104</xdr:row>
      <xdr:rowOff>137327</xdr:rowOff>
    </xdr:to>
    <xdr:graphicFrame macro="">
      <xdr:nvGraphicFramePr>
        <xdr:cNvPr id="20" name="Chart 19">
          <a:extLst>
            <a:ext uri="{FF2B5EF4-FFF2-40B4-BE49-F238E27FC236}">
              <a16:creationId xmlns:a16="http://schemas.microsoft.com/office/drawing/2014/main" id="{B1D50C1C-4B80-A040-BE61-74C37DEDEC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38854</xdr:colOff>
      <xdr:row>76</xdr:row>
      <xdr:rowOff>180312</xdr:rowOff>
    </xdr:from>
    <xdr:to>
      <xdr:col>4</xdr:col>
      <xdr:colOff>1350723</xdr:colOff>
      <xdr:row>88</xdr:row>
      <xdr:rowOff>132415</xdr:rowOff>
    </xdr:to>
    <xdr:graphicFrame macro="">
      <xdr:nvGraphicFramePr>
        <xdr:cNvPr id="21" name="Chart 20">
          <a:extLst>
            <a:ext uri="{FF2B5EF4-FFF2-40B4-BE49-F238E27FC236}">
              <a16:creationId xmlns:a16="http://schemas.microsoft.com/office/drawing/2014/main" id="{5250EA95-3D87-DD47-95AA-D589BEB927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xdr:col>
      <xdr:colOff>26796</xdr:colOff>
      <xdr:row>92</xdr:row>
      <xdr:rowOff>186341</xdr:rowOff>
    </xdr:from>
    <xdr:to>
      <xdr:col>4</xdr:col>
      <xdr:colOff>1338665</xdr:colOff>
      <xdr:row>104</xdr:row>
      <xdr:rowOff>138444</xdr:rowOff>
    </xdr:to>
    <xdr:graphicFrame macro="">
      <xdr:nvGraphicFramePr>
        <xdr:cNvPr id="22" name="Chart 21">
          <a:extLst>
            <a:ext uri="{FF2B5EF4-FFF2-40B4-BE49-F238E27FC236}">
              <a16:creationId xmlns:a16="http://schemas.microsoft.com/office/drawing/2014/main" id="{E1B67A5E-1826-544D-A707-BB1A60ECE0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0.17811</cdr:x>
      <cdr:y>0.06658</cdr:y>
    </cdr:from>
    <cdr:to>
      <cdr:x>0.91325</cdr:x>
      <cdr:y>0.12018</cdr:y>
    </cdr:to>
    <cdr:sp macro="" textlink="">
      <cdr:nvSpPr>
        <cdr:cNvPr id="2" name="TextBox 1">
          <a:extLst xmlns:a="http://schemas.openxmlformats.org/drawingml/2006/main">
            <a:ext uri="{FF2B5EF4-FFF2-40B4-BE49-F238E27FC236}">
              <a16:creationId xmlns:a16="http://schemas.microsoft.com/office/drawing/2014/main" id="{A124B920-5208-C34B-B37F-5735EF03D612}"/>
            </a:ext>
          </a:extLst>
        </cdr:cNvPr>
        <cdr:cNvSpPr txBox="1"/>
      </cdr:nvSpPr>
      <cdr:spPr>
        <a:xfrm xmlns:a="http://schemas.openxmlformats.org/drawingml/2006/main">
          <a:off x="812949" y="292220"/>
          <a:ext cx="3355408" cy="23525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solidFill>
                <a:schemeClr val="bg2">
                  <a:lumMod val="50000"/>
                </a:schemeClr>
              </a:solidFill>
            </a:rPr>
            <a:t>these values are not adjusted for moisture fluctuations</a:t>
          </a:r>
        </a:p>
      </cdr:txBody>
    </cdr:sp>
  </cdr:relSizeAnchor>
</c:userShapes>
</file>

<file path=xl/drawings/drawing6.xml><?xml version="1.0" encoding="utf-8"?>
<xdr:wsDr xmlns:xdr="http://schemas.openxmlformats.org/drawingml/2006/spreadsheetDrawing" xmlns:a="http://schemas.openxmlformats.org/drawingml/2006/main">
  <xdr:twoCellAnchor>
    <xdr:from>
      <xdr:col>1</xdr:col>
      <xdr:colOff>218783</xdr:colOff>
      <xdr:row>2</xdr:row>
      <xdr:rowOff>45179</xdr:rowOff>
    </xdr:from>
    <xdr:to>
      <xdr:col>10</xdr:col>
      <xdr:colOff>448235</xdr:colOff>
      <xdr:row>7</xdr:row>
      <xdr:rowOff>170757</xdr:rowOff>
    </xdr:to>
    <xdr:sp macro="" textlink="">
      <xdr:nvSpPr>
        <xdr:cNvPr id="2" name="TextBox 1">
          <a:extLst>
            <a:ext uri="{FF2B5EF4-FFF2-40B4-BE49-F238E27FC236}">
              <a16:creationId xmlns:a16="http://schemas.microsoft.com/office/drawing/2014/main" id="{EE927C6E-CEBA-7C4E-A154-440F22FC773E}"/>
            </a:ext>
          </a:extLst>
        </xdr:cNvPr>
        <xdr:cNvSpPr txBox="1"/>
      </xdr:nvSpPr>
      <xdr:spPr>
        <a:xfrm>
          <a:off x="560296" y="237280"/>
          <a:ext cx="7860124" cy="108608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 remaining tabs are </a:t>
          </a:r>
          <a:r>
            <a:rPr lang="en-US" sz="1100" b="1">
              <a:solidFill>
                <a:schemeClr val="accent2">
                  <a:lumMod val="50000"/>
                </a:schemeClr>
              </a:solidFill>
            </a:rPr>
            <a:t>optional</a:t>
          </a:r>
          <a:r>
            <a:rPr lang="en-US" sz="1100"/>
            <a:t>. They can supplement your understanding of the required tabs, provide insights for your second and third year of data collection if evaluating multiple years, or provide a more detailed breakdown of your operations if you are examining multiple fields.</a:t>
          </a:r>
        </a:p>
        <a:p>
          <a:endParaRPr lang="en-US" sz="1100"/>
        </a:p>
        <a:p>
          <a:r>
            <a:rPr lang="en-US" sz="1100"/>
            <a:t>Click the tab titles in the Table of Contents below to go directly to that tab.</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287867</xdr:colOff>
      <xdr:row>7</xdr:row>
      <xdr:rowOff>201082</xdr:rowOff>
    </xdr:from>
    <xdr:to>
      <xdr:col>12</xdr:col>
      <xdr:colOff>668867</xdr:colOff>
      <xdr:row>57</xdr:row>
      <xdr:rowOff>172719</xdr:rowOff>
    </xdr:to>
    <xdr:sp macro="" textlink="">
      <xdr:nvSpPr>
        <xdr:cNvPr id="2" name="TextBox 1">
          <a:extLst>
            <a:ext uri="{FF2B5EF4-FFF2-40B4-BE49-F238E27FC236}">
              <a16:creationId xmlns:a16="http://schemas.microsoft.com/office/drawing/2014/main" id="{5ACF161F-38F1-6343-9ABB-CFD175228C65}"/>
            </a:ext>
          </a:extLst>
        </xdr:cNvPr>
        <xdr:cNvSpPr txBox="1"/>
      </xdr:nvSpPr>
      <xdr:spPr>
        <a:xfrm>
          <a:off x="7999307" y="1552362"/>
          <a:ext cx="2849880" cy="99081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i="0" u="none" strike="noStrike">
              <a:solidFill>
                <a:schemeClr val="tx1">
                  <a:lumMod val="50000"/>
                  <a:lumOff val="50000"/>
                </a:schemeClr>
              </a:solidFill>
              <a:effectLst/>
              <a:latin typeface="+mn-lt"/>
              <a:ea typeface="+mn-ea"/>
              <a:cs typeface="+mn-cs"/>
            </a:rPr>
            <a:t>Destination Definitions</a:t>
          </a:r>
        </a:p>
        <a:p>
          <a:endParaRPr lang="en-US" sz="1100" b="1" i="0" u="none" strike="noStrike">
            <a:solidFill>
              <a:schemeClr val="tx1">
                <a:lumMod val="50000"/>
                <a:lumOff val="50000"/>
              </a:schemeClr>
            </a:solidFill>
            <a:effectLst/>
            <a:latin typeface="+mn-lt"/>
            <a:ea typeface="+mn-ea"/>
            <a:cs typeface="+mn-cs"/>
          </a:endParaRPr>
        </a:p>
        <a:p>
          <a:r>
            <a:rPr lang="en-US" sz="1100" b="1" i="0" u="none" strike="noStrike">
              <a:solidFill>
                <a:schemeClr val="tx1">
                  <a:lumMod val="50000"/>
                  <a:lumOff val="50000"/>
                </a:schemeClr>
              </a:solidFill>
              <a:effectLst/>
              <a:latin typeface="+mn-lt"/>
              <a:ea typeface="+mn-ea"/>
              <a:cs typeface="+mn-cs"/>
            </a:rPr>
            <a:t>Redistributed to people through alternative markets</a:t>
          </a:r>
          <a:r>
            <a:rPr lang="en-US" sz="1100" b="0" i="0" u="none" strike="noStrike">
              <a:solidFill>
                <a:schemeClr val="tx1">
                  <a:lumMod val="50000"/>
                  <a:lumOff val="50000"/>
                </a:schemeClr>
              </a:solidFill>
              <a:effectLst/>
              <a:latin typeface="+mn-lt"/>
              <a:ea typeface="+mn-ea"/>
              <a:cs typeface="+mn-cs"/>
            </a:rPr>
            <a:t>:</a:t>
          </a:r>
          <a:r>
            <a:rPr lang="en-US" sz="1100" b="1" i="0" u="none" strike="noStrike">
              <a:solidFill>
                <a:schemeClr val="tx1">
                  <a:lumMod val="50000"/>
                  <a:lumOff val="50000"/>
                </a:schemeClr>
              </a:solidFill>
              <a:effectLst/>
              <a:latin typeface="+mn-lt"/>
              <a:ea typeface="+mn-ea"/>
              <a:cs typeface="+mn-cs"/>
            </a:rPr>
            <a:t> </a:t>
          </a:r>
          <a:r>
            <a:rPr lang="en-US" sz="1100" b="0" i="0" u="none" strike="noStrike">
              <a:solidFill>
                <a:schemeClr val="tx1">
                  <a:lumMod val="50000"/>
                  <a:lumOff val="50000"/>
                </a:schemeClr>
              </a:solidFill>
              <a:effectLst/>
              <a:latin typeface="+mn-lt"/>
              <a:ea typeface="+mn-ea"/>
              <a:cs typeface="+mn-cs"/>
            </a:rPr>
            <a:t>(e.g., donation, gleaning, food that is repurposed or redistributed at less than market value)</a:t>
          </a:r>
          <a:r>
            <a:rPr lang="en-US">
              <a:solidFill>
                <a:schemeClr val="tx1">
                  <a:lumMod val="50000"/>
                  <a:lumOff val="50000"/>
                </a:schemeClr>
              </a:solidFill>
            </a:rPr>
            <a:t> </a:t>
          </a:r>
          <a:r>
            <a:rPr lang="en-US" sz="1100" b="0" i="1" u="none" strike="noStrike">
              <a:solidFill>
                <a:schemeClr val="tx1">
                  <a:lumMod val="50000"/>
                  <a:lumOff val="50000"/>
                </a:schemeClr>
              </a:solidFill>
              <a:effectLst/>
              <a:latin typeface="+mn-lt"/>
              <a:ea typeface="+mn-ea"/>
              <a:cs typeface="+mn-cs"/>
            </a:rPr>
            <a:t>(Please report the pounds of crop donated. Although this portion of the harvest still ends with human consumption, it is an economic loss so is important to understand).</a:t>
          </a:r>
          <a:r>
            <a:rPr lang="en-US">
              <a:solidFill>
                <a:schemeClr val="tx1">
                  <a:lumMod val="50000"/>
                  <a:lumOff val="50000"/>
                </a:schemeClr>
              </a:solidFill>
            </a:rPr>
            <a:t> </a:t>
          </a:r>
        </a:p>
        <a:p>
          <a:r>
            <a:rPr lang="en-US" sz="1100" b="1" i="0" u="none" strike="noStrike">
              <a:solidFill>
                <a:schemeClr val="tx1">
                  <a:lumMod val="50000"/>
                  <a:lumOff val="50000"/>
                </a:schemeClr>
              </a:solidFill>
              <a:effectLst/>
              <a:latin typeface="+mn-lt"/>
              <a:ea typeface="+mn-ea"/>
              <a:cs typeface="+mn-cs"/>
            </a:rPr>
            <a:t>Animal feed</a:t>
          </a:r>
          <a:r>
            <a:rPr lang="en-US" sz="1100" b="0" i="0" u="none" strike="noStrike">
              <a:solidFill>
                <a:schemeClr val="tx1">
                  <a:lumMod val="50000"/>
                  <a:lumOff val="50000"/>
                </a:schemeClr>
              </a:solidFill>
              <a:effectLst/>
              <a:latin typeface="+mn-lt"/>
              <a:ea typeface="+mn-ea"/>
              <a:cs typeface="+mn-cs"/>
            </a:rPr>
            <a:t>: Diverting material originally intended for human consumption in its current form to feed animals.</a:t>
          </a:r>
          <a:r>
            <a:rPr lang="en-US">
              <a:solidFill>
                <a:schemeClr val="tx1">
                  <a:lumMod val="50000"/>
                  <a:lumOff val="50000"/>
                </a:schemeClr>
              </a:solidFill>
            </a:rPr>
            <a:t> </a:t>
          </a:r>
        </a:p>
        <a:p>
          <a:r>
            <a:rPr lang="en-US" sz="1100" b="1" i="0" u="none" strike="noStrike">
              <a:solidFill>
                <a:schemeClr val="tx1">
                  <a:lumMod val="50000"/>
                  <a:lumOff val="50000"/>
                </a:schemeClr>
              </a:solidFill>
              <a:effectLst/>
              <a:latin typeface="+mn-lt"/>
              <a:ea typeface="+mn-ea"/>
              <a:cs typeface="+mn-cs"/>
            </a:rPr>
            <a:t>Bio-based materials: </a:t>
          </a:r>
          <a:r>
            <a:rPr lang="en-US" sz="1100" b="0" i="0" u="none" strike="noStrike">
              <a:solidFill>
                <a:schemeClr val="tx1">
                  <a:lumMod val="50000"/>
                  <a:lumOff val="50000"/>
                </a:schemeClr>
              </a:solidFill>
              <a:effectLst/>
              <a:latin typeface="+mn-lt"/>
              <a:ea typeface="+mn-ea"/>
              <a:cs typeface="+mn-cs"/>
            </a:rPr>
            <a:t>Converting material into industrial products: creating fibers for packaging material; creating bioplastics (e.g., polylactic acid); making “traditional” materials such as leather or feathers (e.g., for pillows); and rendering fat, oil, or grease into a raw material to make products such as soaps, biodiesel, or cosmetics</a:t>
          </a:r>
          <a:r>
            <a:rPr lang="en-US">
              <a:solidFill>
                <a:schemeClr val="tx1">
                  <a:lumMod val="50000"/>
                  <a:lumOff val="50000"/>
                </a:schemeClr>
              </a:solidFill>
            </a:rPr>
            <a:t> </a:t>
          </a:r>
        </a:p>
        <a:p>
          <a:r>
            <a:rPr lang="en-US" sz="1100" b="1" i="0" u="none" strike="noStrike">
              <a:solidFill>
                <a:schemeClr val="tx1">
                  <a:lumMod val="50000"/>
                  <a:lumOff val="50000"/>
                </a:schemeClr>
              </a:solidFill>
              <a:effectLst/>
              <a:latin typeface="+mn-lt"/>
              <a:ea typeface="+mn-ea"/>
              <a:cs typeface="+mn-cs"/>
            </a:rPr>
            <a:t>Codigestion/anaerobic digestion</a:t>
          </a:r>
          <a:r>
            <a:rPr lang="en-US" sz="1100" b="0" i="0" u="none" strike="noStrike">
              <a:solidFill>
                <a:schemeClr val="tx1">
                  <a:lumMod val="50000"/>
                  <a:lumOff val="50000"/>
                </a:schemeClr>
              </a:solidFill>
              <a:effectLst/>
              <a:latin typeface="+mn-lt"/>
              <a:ea typeface="+mn-ea"/>
              <a:cs typeface="+mn-cs"/>
            </a:rPr>
            <a:t>: Breaking down material via bacteria in the absence of oxygen. This process generates biogas and nutrient-rich matter. Codigestion refers to the simultaneous anaerobic digestion of food loss and waste and other organic material in one digester. </a:t>
          </a:r>
          <a:r>
            <a:rPr lang="en-US">
              <a:solidFill>
                <a:schemeClr val="tx1">
                  <a:lumMod val="50000"/>
                  <a:lumOff val="50000"/>
                </a:schemeClr>
              </a:solidFill>
            </a:rPr>
            <a:t> </a:t>
          </a:r>
        </a:p>
        <a:p>
          <a:r>
            <a:rPr lang="en-US" sz="1100" b="1" i="0" u="none" strike="noStrike">
              <a:solidFill>
                <a:schemeClr val="tx1">
                  <a:lumMod val="50000"/>
                  <a:lumOff val="50000"/>
                </a:schemeClr>
              </a:solidFill>
              <a:effectLst/>
              <a:latin typeface="+mn-lt"/>
              <a:ea typeface="+mn-ea"/>
              <a:cs typeface="+mn-cs"/>
            </a:rPr>
            <a:t>Composting/aerobic digestion</a:t>
          </a:r>
          <a:r>
            <a:rPr lang="en-US" sz="1100" b="0" i="0" u="none" strike="noStrike">
              <a:solidFill>
                <a:schemeClr val="tx1">
                  <a:lumMod val="50000"/>
                  <a:lumOff val="50000"/>
                </a:schemeClr>
              </a:solidFill>
              <a:effectLst/>
              <a:latin typeface="+mn-lt"/>
              <a:ea typeface="+mn-ea"/>
              <a:cs typeface="+mn-cs"/>
            </a:rPr>
            <a:t>: Breaking down material via bacteria in oxygen-rich environments. Composting refers to the production of organic material that can be used as a soil amendment.</a:t>
          </a:r>
          <a:r>
            <a:rPr lang="en-US">
              <a:solidFill>
                <a:schemeClr val="tx1">
                  <a:lumMod val="50000"/>
                  <a:lumOff val="50000"/>
                </a:schemeClr>
              </a:solidFill>
            </a:rPr>
            <a:t> </a:t>
          </a:r>
        </a:p>
        <a:p>
          <a:r>
            <a:rPr lang="en-US" sz="1100" b="1" i="0" u="none" strike="noStrike">
              <a:solidFill>
                <a:schemeClr val="tx1">
                  <a:lumMod val="50000"/>
                  <a:lumOff val="50000"/>
                </a:schemeClr>
              </a:solidFill>
              <a:effectLst/>
              <a:latin typeface="+mn-lt"/>
              <a:ea typeface="+mn-ea"/>
              <a:cs typeface="+mn-cs"/>
            </a:rPr>
            <a:t>Controlled combustion</a:t>
          </a:r>
          <a:r>
            <a:rPr lang="en-US" sz="1100" b="0" i="0" u="none" strike="noStrike">
              <a:solidFill>
                <a:schemeClr val="tx1">
                  <a:lumMod val="50000"/>
                  <a:lumOff val="50000"/>
                </a:schemeClr>
              </a:solidFill>
              <a:effectLst/>
              <a:latin typeface="+mn-lt"/>
              <a:ea typeface="+mn-ea"/>
              <a:cs typeface="+mn-cs"/>
            </a:rPr>
            <a:t>: Sending material to a facility that is specifically designed for combustion in a controlled manner, which may include some form of energy recovery.</a:t>
          </a:r>
          <a:r>
            <a:rPr lang="en-US">
              <a:solidFill>
                <a:schemeClr val="tx1">
                  <a:lumMod val="50000"/>
                  <a:lumOff val="50000"/>
                </a:schemeClr>
              </a:solidFill>
            </a:rPr>
            <a:t> </a:t>
          </a:r>
        </a:p>
        <a:p>
          <a:r>
            <a:rPr lang="en-US" sz="1100" b="1" i="0" u="none" strike="noStrike">
              <a:solidFill>
                <a:schemeClr val="tx1">
                  <a:lumMod val="50000"/>
                  <a:lumOff val="50000"/>
                </a:schemeClr>
              </a:solidFill>
              <a:effectLst/>
              <a:latin typeface="+mn-lt"/>
              <a:ea typeface="+mn-ea"/>
              <a:cs typeface="+mn-cs"/>
            </a:rPr>
            <a:t>Land application</a:t>
          </a:r>
          <a:r>
            <a:rPr lang="en-US" sz="1100" b="0" i="0" u="none" strike="noStrike">
              <a:solidFill>
                <a:schemeClr val="tx1">
                  <a:lumMod val="50000"/>
                  <a:lumOff val="50000"/>
                </a:schemeClr>
              </a:solidFill>
              <a:effectLst/>
              <a:latin typeface="+mn-lt"/>
              <a:ea typeface="+mn-ea"/>
              <a:cs typeface="+mn-cs"/>
            </a:rPr>
            <a:t>: Spreading, spraying, injecting or incorporating organic material into or onto the land.</a:t>
          </a:r>
          <a:r>
            <a:rPr lang="en-US">
              <a:solidFill>
                <a:schemeClr val="tx1">
                  <a:lumMod val="50000"/>
                  <a:lumOff val="50000"/>
                </a:schemeClr>
              </a:solidFill>
            </a:rPr>
            <a:t> </a:t>
          </a:r>
        </a:p>
        <a:p>
          <a:r>
            <a:rPr lang="en-US" sz="1100" b="1" i="0" u="none" strike="noStrike">
              <a:solidFill>
                <a:schemeClr val="tx1">
                  <a:lumMod val="50000"/>
                  <a:lumOff val="50000"/>
                </a:schemeClr>
              </a:solidFill>
              <a:effectLst/>
              <a:latin typeface="+mn-lt"/>
              <a:ea typeface="+mn-ea"/>
              <a:cs typeface="+mn-cs"/>
            </a:rPr>
            <a:t>Landfill</a:t>
          </a:r>
          <a:r>
            <a:rPr lang="en-US" sz="1100" b="0" i="0" u="none" strike="noStrike">
              <a:solidFill>
                <a:schemeClr val="tx1">
                  <a:lumMod val="50000"/>
                  <a:lumOff val="50000"/>
                </a:schemeClr>
              </a:solidFill>
              <a:effectLst/>
              <a:latin typeface="+mn-lt"/>
              <a:ea typeface="+mn-ea"/>
              <a:cs typeface="+mn-cs"/>
            </a:rPr>
            <a:t>: Sending organic material to an area of land or an excavated site that is specifically designed and built to receive waste.</a:t>
          </a:r>
          <a:r>
            <a:rPr lang="en-US">
              <a:solidFill>
                <a:schemeClr val="tx1">
                  <a:lumMod val="50000"/>
                  <a:lumOff val="50000"/>
                </a:schemeClr>
              </a:solidFill>
            </a:rPr>
            <a:t> </a:t>
          </a:r>
        </a:p>
        <a:p>
          <a:r>
            <a:rPr lang="en-US" sz="1100" b="1" i="0" u="none" strike="noStrike">
              <a:solidFill>
                <a:schemeClr val="tx1">
                  <a:lumMod val="50000"/>
                  <a:lumOff val="50000"/>
                </a:schemeClr>
              </a:solidFill>
              <a:effectLst/>
              <a:latin typeface="+mn-lt"/>
              <a:ea typeface="+mn-ea"/>
              <a:cs typeface="+mn-cs"/>
            </a:rPr>
            <a:t>Not harvested/plowed in</a:t>
          </a:r>
          <a:r>
            <a:rPr lang="en-US" sz="1100" b="0" i="0" u="none" strike="noStrike">
              <a:solidFill>
                <a:schemeClr val="tx1">
                  <a:lumMod val="50000"/>
                  <a:lumOff val="50000"/>
                </a:schemeClr>
              </a:solidFill>
              <a:effectLst/>
              <a:latin typeface="+mn-lt"/>
              <a:ea typeface="+mn-ea"/>
              <a:cs typeface="+mn-cs"/>
            </a:rPr>
            <a:t>: Leaving crops that were ready for harvest in the field or tilling them into the soil.</a:t>
          </a:r>
          <a:r>
            <a:rPr lang="en-US">
              <a:solidFill>
                <a:schemeClr val="tx1">
                  <a:lumMod val="50000"/>
                  <a:lumOff val="50000"/>
                </a:schemeClr>
              </a:solidFill>
            </a:rPr>
            <a:t> </a:t>
          </a:r>
        </a:p>
        <a:p>
          <a:r>
            <a:rPr lang="en-US" sz="1100" b="1" i="0" u="none" strike="noStrike">
              <a:solidFill>
                <a:schemeClr val="tx1">
                  <a:lumMod val="50000"/>
                  <a:lumOff val="50000"/>
                </a:schemeClr>
              </a:solidFill>
              <a:effectLst/>
              <a:latin typeface="+mn-lt"/>
              <a:ea typeface="+mn-ea"/>
              <a:cs typeface="+mn-cs"/>
            </a:rPr>
            <a:t>Refuse/discards/litter</a:t>
          </a:r>
          <a:r>
            <a:rPr lang="en-US" sz="1100" b="0" i="0" u="none" strike="noStrike">
              <a:solidFill>
                <a:schemeClr val="tx1">
                  <a:lumMod val="50000"/>
                  <a:lumOff val="50000"/>
                </a:schemeClr>
              </a:solidFill>
              <a:effectLst/>
              <a:latin typeface="+mn-lt"/>
              <a:ea typeface="+mn-ea"/>
              <a:cs typeface="+mn-cs"/>
            </a:rPr>
            <a:t>: Abandoning material on land. This includes open dumps, open burns, and dumping of culls back on an abandoned field, but not tilling it back into the soil.</a:t>
          </a:r>
          <a:r>
            <a:rPr lang="en-US">
              <a:solidFill>
                <a:schemeClr val="tx1">
                  <a:lumMod val="50000"/>
                  <a:lumOff val="50000"/>
                </a:schemeClr>
              </a:solidFill>
            </a:rPr>
            <a:t> </a:t>
          </a:r>
          <a:endParaRPr lang="en-US" sz="1100">
            <a:solidFill>
              <a:schemeClr val="tx1">
                <a:lumMod val="50000"/>
                <a:lumOff val="50000"/>
              </a:schemeClr>
            </a:solidFill>
          </a:endParaRPr>
        </a:p>
      </xdr:txBody>
    </xdr:sp>
    <xdr:clientData/>
  </xdr:twoCellAnchor>
  <xdr:twoCellAnchor>
    <xdr:from>
      <xdr:col>1</xdr:col>
      <xdr:colOff>33867</xdr:colOff>
      <xdr:row>0</xdr:row>
      <xdr:rowOff>151642</xdr:rowOff>
    </xdr:from>
    <xdr:to>
      <xdr:col>9</xdr:col>
      <xdr:colOff>28433</xdr:colOff>
      <xdr:row>6</xdr:row>
      <xdr:rowOff>170596</xdr:rowOff>
    </xdr:to>
    <xdr:sp macro="" textlink="">
      <xdr:nvSpPr>
        <xdr:cNvPr id="3" name="TextBox 2">
          <a:extLst>
            <a:ext uri="{FF2B5EF4-FFF2-40B4-BE49-F238E27FC236}">
              <a16:creationId xmlns:a16="http://schemas.microsoft.com/office/drawing/2014/main" id="{4A823E3E-D530-DC4B-A313-55B9852B7940}"/>
            </a:ext>
          </a:extLst>
        </xdr:cNvPr>
        <xdr:cNvSpPr txBox="1"/>
      </xdr:nvSpPr>
      <xdr:spPr>
        <a:xfrm>
          <a:off x="567267" y="151642"/>
          <a:ext cx="7216633" cy="1187354"/>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accent2">
                  <a:lumMod val="50000"/>
                </a:schemeClr>
              </a:solidFill>
              <a:effectLst/>
              <a:latin typeface="+mn-lt"/>
              <a:ea typeface="+mn-ea"/>
              <a:cs typeface="+mn-cs"/>
            </a:rPr>
            <a:t>Please note</a:t>
          </a:r>
          <a:r>
            <a:rPr lang="en-US">
              <a:solidFill>
                <a:schemeClr val="accent2">
                  <a:lumMod val="50000"/>
                </a:schemeClr>
              </a:solidFill>
            </a:rPr>
            <a:t> </a:t>
          </a:r>
        </a:p>
        <a:p>
          <a:r>
            <a:rPr lang="en-US" sz="1100" b="0" i="0" u="none" strike="noStrike">
              <a:solidFill>
                <a:schemeClr val="dk1"/>
              </a:solidFill>
              <a:effectLst/>
              <a:latin typeface="+mn-lt"/>
              <a:ea typeface="+mn-ea"/>
              <a:cs typeface="+mn-cs"/>
            </a:rPr>
            <a:t>Below are the four stages that we take into account with our metric. Please fill out the reasons for loss and alternative destinations </a:t>
          </a:r>
          <a:r>
            <a:rPr lang="en-US" sz="1100" b="1" i="0" u="none" strike="noStrike">
              <a:solidFill>
                <a:schemeClr val="dk1"/>
              </a:solidFill>
              <a:effectLst/>
              <a:latin typeface="+mn-lt"/>
              <a:ea typeface="+mn-ea"/>
              <a:cs typeface="+mn-cs"/>
            </a:rPr>
            <a:t>only</a:t>
          </a:r>
          <a:r>
            <a:rPr lang="en-US" sz="1100" b="0" i="0" u="none" strike="noStrike">
              <a:solidFill>
                <a:schemeClr val="dk1"/>
              </a:solidFill>
              <a:effectLst/>
              <a:latin typeface="+mn-lt"/>
              <a:ea typeface="+mn-ea"/>
              <a:cs typeface="+mn-cs"/>
            </a:rPr>
            <a:t> for those stages that apply to your operation.</a:t>
          </a:r>
          <a:r>
            <a:rPr lang="en-US"/>
            <a:t> </a:t>
          </a:r>
        </a:p>
        <a:p>
          <a:r>
            <a:rPr lang="en-US" sz="1100" b="0" i="0" u="none" strike="noStrike">
              <a:solidFill>
                <a:schemeClr val="dk1"/>
              </a:solidFill>
              <a:effectLst/>
              <a:latin typeface="+mn-lt"/>
              <a:ea typeface="+mn-ea"/>
              <a:cs typeface="+mn-cs"/>
            </a:rPr>
            <a:t>Dropdowns are provided for "Reasons for Loss" and "Loss Destinations".</a:t>
          </a:r>
          <a:r>
            <a:rPr lang="en-US"/>
            <a:t> </a:t>
          </a:r>
        </a:p>
        <a:p>
          <a:r>
            <a:rPr lang="en-US" sz="1100"/>
            <a:t>Note: If you are tracking moisture</a:t>
          </a:r>
          <a:r>
            <a:rPr lang="en-US" sz="1100" baseline="0"/>
            <a:t> content, loss estimates adjusted for moisture fluctuations are recorded in the "Metric Table" Tab.</a:t>
          </a:r>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612901</xdr:colOff>
      <xdr:row>0</xdr:row>
      <xdr:rowOff>55702</xdr:rowOff>
    </xdr:from>
    <xdr:to>
      <xdr:col>6</xdr:col>
      <xdr:colOff>534736</xdr:colOff>
      <xdr:row>1</xdr:row>
      <xdr:rowOff>160477</xdr:rowOff>
    </xdr:to>
    <xdr:sp macro="" textlink="">
      <xdr:nvSpPr>
        <xdr:cNvPr id="6" name="TextBox 2">
          <a:extLst>
            <a:ext uri="{FF2B5EF4-FFF2-40B4-BE49-F238E27FC236}">
              <a16:creationId xmlns:a16="http://schemas.microsoft.com/office/drawing/2014/main" id="{00000000-0008-0000-0600-000006000000}"/>
            </a:ext>
          </a:extLst>
        </xdr:cNvPr>
        <xdr:cNvSpPr txBox="1"/>
      </xdr:nvSpPr>
      <xdr:spPr>
        <a:xfrm>
          <a:off x="612901" y="55702"/>
          <a:ext cx="10340331" cy="2958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2">
                  <a:lumMod val="50000"/>
                </a:schemeClr>
              </a:solidFill>
            </a:rPr>
            <a:t>FOOD</a:t>
          </a:r>
          <a:r>
            <a:rPr lang="en-US" sz="1100" b="1" baseline="0">
              <a:solidFill>
                <a:schemeClr val="accent2">
                  <a:lumMod val="50000"/>
                </a:schemeClr>
              </a:solidFill>
            </a:rPr>
            <a:t> LOSS METRIC TABLE</a:t>
          </a:r>
        </a:p>
        <a:p>
          <a:endParaRPr lang="en-US" sz="1100" b="1">
            <a:solidFill>
              <a:schemeClr val="accent2">
                <a:lumMod val="50000"/>
              </a:schemeClr>
            </a:solidFill>
          </a:endParaRPr>
        </a:p>
      </xdr:txBody>
    </xdr:sp>
    <xdr:clientData/>
  </xdr:twoCellAnchor>
  <xdr:twoCellAnchor>
    <xdr:from>
      <xdr:col>0</xdr:col>
      <xdr:colOff>651858</xdr:colOff>
      <xdr:row>1</xdr:row>
      <xdr:rowOff>125273</xdr:rowOff>
    </xdr:from>
    <xdr:to>
      <xdr:col>5</xdr:col>
      <xdr:colOff>1944338</xdr:colOff>
      <xdr:row>4</xdr:row>
      <xdr:rowOff>55702</xdr:rowOff>
    </xdr:to>
    <xdr:sp macro="" textlink="">
      <xdr:nvSpPr>
        <xdr:cNvPr id="2" name="TextBox 3">
          <a:extLst>
            <a:ext uri="{FF2B5EF4-FFF2-40B4-BE49-F238E27FC236}">
              <a16:creationId xmlns:a16="http://schemas.microsoft.com/office/drawing/2014/main" id="{00000000-0008-0000-0600-000022000000}"/>
            </a:ext>
          </a:extLst>
        </xdr:cNvPr>
        <xdr:cNvSpPr txBox="1"/>
      </xdr:nvSpPr>
      <xdr:spPr>
        <a:xfrm>
          <a:off x="651858" y="316335"/>
          <a:ext cx="9755400" cy="50361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i="1">
              <a:solidFill>
                <a:schemeClr val="dk1"/>
              </a:solidFill>
              <a:effectLst/>
              <a:latin typeface="+mn-lt"/>
              <a:ea typeface="+mn-ea"/>
              <a:cs typeface="+mn-cs"/>
            </a:rPr>
            <a:t>This</a:t>
          </a:r>
          <a:r>
            <a:rPr lang="en-US" sz="1100" i="1" baseline="0">
              <a:solidFill>
                <a:schemeClr val="dk1"/>
              </a:solidFill>
              <a:effectLst/>
              <a:latin typeface="+mn-lt"/>
              <a:ea typeface="+mn-ea"/>
              <a:cs typeface="+mn-cs"/>
            </a:rPr>
            <a:t> table calculates the amount of loss attributed to each farm level step from in-field, to packinghouse, to processing facility, to storage, and all the transport legs in between. The table only shows numbers for those pieces considered in scope. In additon to the loss totals, the top reasons and destinations for loss are also provided.</a:t>
          </a:r>
          <a:endParaRPr lang="en-US">
            <a:effectLst/>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613990</xdr:colOff>
      <xdr:row>4</xdr:row>
      <xdr:rowOff>50800</xdr:rowOff>
    </xdr:from>
    <xdr:to>
      <xdr:col>5</xdr:col>
      <xdr:colOff>1371599</xdr:colOff>
      <xdr:row>33</xdr:row>
      <xdr:rowOff>134470</xdr:rowOff>
    </xdr:to>
    <xdr:graphicFrame macro="">
      <xdr:nvGraphicFramePr>
        <xdr:cNvPr id="2" name="Chart 6">
          <a:extLst>
            <a:ext uri="{FF2B5EF4-FFF2-40B4-BE49-F238E27FC236}">
              <a16:creationId xmlns:a16="http://schemas.microsoft.com/office/drawing/2014/main" id="{C553C8FC-6CE7-F74D-BA2E-25046FB325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838200</xdr:colOff>
      <xdr:row>4</xdr:row>
      <xdr:rowOff>125587</xdr:rowOff>
    </xdr:from>
    <xdr:to>
      <xdr:col>10</xdr:col>
      <xdr:colOff>355600</xdr:colOff>
      <xdr:row>34</xdr:row>
      <xdr:rowOff>40923</xdr:rowOff>
    </xdr:to>
    <xdr:graphicFrame macro="">
      <xdr:nvGraphicFramePr>
        <xdr:cNvPr id="3" name="Chart 7">
          <a:extLst>
            <a:ext uri="{FF2B5EF4-FFF2-40B4-BE49-F238E27FC236}">
              <a16:creationId xmlns:a16="http://schemas.microsoft.com/office/drawing/2014/main" id="{A77E5527-389A-2648-A0AC-347D6D52EE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63500</xdr:colOff>
      <xdr:row>37</xdr:row>
      <xdr:rowOff>12700</xdr:rowOff>
    </xdr:from>
    <xdr:to>
      <xdr:col>7</xdr:col>
      <xdr:colOff>406400</xdr:colOff>
      <xdr:row>51</xdr:row>
      <xdr:rowOff>114300</xdr:rowOff>
    </xdr:to>
    <xdr:graphicFrame macro="">
      <xdr:nvGraphicFramePr>
        <xdr:cNvPr id="6" name="Chart 5">
          <a:extLst>
            <a:ext uri="{FF2B5EF4-FFF2-40B4-BE49-F238E27FC236}">
              <a16:creationId xmlns:a16="http://schemas.microsoft.com/office/drawing/2014/main" id="{DE6A9C02-8635-A742-BC13-46AEF4CEF7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749300</xdr:colOff>
      <xdr:row>36</xdr:row>
      <xdr:rowOff>165100</xdr:rowOff>
    </xdr:from>
    <xdr:to>
      <xdr:col>9</xdr:col>
      <xdr:colOff>1184728</xdr:colOff>
      <xdr:row>51</xdr:row>
      <xdr:rowOff>830338</xdr:rowOff>
    </xdr:to>
    <xdr:sp macro="" textlink="">
      <xdr:nvSpPr>
        <xdr:cNvPr id="7" name="TextBox 6">
          <a:extLst>
            <a:ext uri="{FF2B5EF4-FFF2-40B4-BE49-F238E27FC236}">
              <a16:creationId xmlns:a16="http://schemas.microsoft.com/office/drawing/2014/main" id="{2E64B765-8ACB-3F4D-B7F3-884C4ECEC7D7}"/>
            </a:ext>
          </a:extLst>
        </xdr:cNvPr>
        <xdr:cNvSpPr txBox="1"/>
      </xdr:nvSpPr>
      <xdr:spPr>
        <a:xfrm>
          <a:off x="7886700" y="6756400"/>
          <a:ext cx="2086428" cy="35227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tx1">
                  <a:lumMod val="50000"/>
                  <a:lumOff val="50000"/>
                </a:schemeClr>
              </a:solidFill>
            </a:rPr>
            <a:t>Opportunity</a:t>
          </a:r>
        </a:p>
        <a:p>
          <a:r>
            <a:rPr lang="en-US" sz="1100">
              <a:solidFill>
                <a:schemeClr val="tx1">
                  <a:lumMod val="50000"/>
                  <a:lumOff val="50000"/>
                </a:schemeClr>
              </a:solidFill>
            </a:rPr>
            <a:t>By inputing the cost of labor to pick and pack the crops on the Harvest Data tab in this calculator, in addition to the "cost per pound for the marketable product" and "price per pound for product sold to the food bank or secondary market channel", you can estimate the per acre profitability of harvesting and selling recovered product.</a:t>
          </a:r>
        </a:p>
        <a:p>
          <a:endParaRPr lang="en-US" sz="1100">
            <a:solidFill>
              <a:schemeClr val="tx1">
                <a:lumMod val="50000"/>
                <a:lumOff val="50000"/>
              </a:schemeClr>
            </a:solidFill>
          </a:endParaRPr>
        </a:p>
        <a:p>
          <a:r>
            <a:rPr lang="en-US" sz="1100">
              <a:solidFill>
                <a:schemeClr val="tx1">
                  <a:lumMod val="50000"/>
                  <a:lumOff val="50000"/>
                </a:schemeClr>
              </a:solidFill>
            </a:rPr>
            <a:t>* Please note that your farm operation may have more and different recovery scenarios</a:t>
          </a:r>
        </a:p>
      </xdr:txBody>
    </xdr:sp>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https://worldwildlifefund.sharepoint.com/Users/katarinajin/Library/Containers/com.microsoft.Excel/Data/Documents/lp-operationsf/Data/Users/Kate/Documents/C:/Users/mcbridem/AppData/Local/Microsoft/Windows/INetCache/Content.Outlook/48HPW70T/Food%20Loss%20Calculator%20v3%20DRAFT.xlsx?F290A925" TargetMode="External"/><Relationship Id="rId1" Type="http://schemas.openxmlformats.org/officeDocument/2006/relationships/externalLinkPath" Target="file:///\\F290A925\Food%20Loss%20Calculator%20v3%20DRAF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s>
    <sheetDataSet>
      <sheetData sheetId="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AFC96D6-2E66-456E-A576-BD0186E568EC}" name="Table1" displayName="Table1" ref="B1:C15" totalsRowShown="0" headerRowDxfId="2">
  <tableColumns count="2">
    <tableColumn id="1" xr3:uid="{E35D62C0-9D30-4DFC-B535-9A56D7F5ED14}" name="Input" dataDxfId="1"/>
    <tableColumn id="2" xr3:uid="{FC4A66FD-40C5-40F7-88B1-3510F5B5C762}" name="Definition" dataDxfId="0"/>
  </tableColumns>
  <tableStyleInfo name="TableStyleLight13"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youtube.com/watch?v=K9dE9EavUSg&amp;t" TargetMode="Externa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6A7DD-B012-5245-B1A8-E572CD87E039}">
  <sheetPr>
    <tabColor theme="5" tint="-0.249977111117893"/>
  </sheetPr>
  <dimension ref="A1:N45"/>
  <sheetViews>
    <sheetView showGridLines="0" showRowColHeaders="0" zoomScale="119" zoomScaleNormal="119" workbookViewId="0"/>
  </sheetViews>
  <sheetFormatPr defaultColWidth="0" defaultRowHeight="14.5" zeroHeight="1" x14ac:dyDescent="0.35"/>
  <cols>
    <col min="1" max="2" width="4.453125" customWidth="1"/>
    <col min="3" max="14" width="10.81640625" customWidth="1"/>
    <col min="15" max="16384" width="10.81640625" hidden="1"/>
  </cols>
  <sheetData>
    <row r="1" spans="2:13" ht="15" thickBot="1" x14ac:dyDescent="0.4"/>
    <row r="2" spans="2:13" x14ac:dyDescent="0.35">
      <c r="B2" s="356"/>
      <c r="C2" s="357"/>
      <c r="D2" s="357"/>
      <c r="E2" s="357"/>
      <c r="F2" s="357"/>
      <c r="G2" s="357"/>
      <c r="H2" s="357"/>
      <c r="I2" s="357"/>
      <c r="J2" s="357"/>
      <c r="K2" s="357"/>
      <c r="L2" s="357"/>
      <c r="M2" s="358"/>
    </row>
    <row r="3" spans="2:13" x14ac:dyDescent="0.35">
      <c r="B3" s="359"/>
      <c r="C3" s="49"/>
      <c r="D3" s="49"/>
      <c r="E3" s="49"/>
      <c r="F3" s="49"/>
      <c r="G3" s="49"/>
      <c r="H3" s="49"/>
      <c r="I3" s="49"/>
      <c r="J3" s="49"/>
      <c r="K3" s="49"/>
      <c r="L3" s="49"/>
      <c r="M3" s="360"/>
    </row>
    <row r="4" spans="2:13" x14ac:dyDescent="0.35">
      <c r="B4" s="359"/>
      <c r="C4" s="49"/>
      <c r="D4" s="49"/>
      <c r="E4" s="49"/>
      <c r="F4" s="49"/>
      <c r="G4" s="49"/>
      <c r="H4" s="49"/>
      <c r="I4" s="350" t="s">
        <v>422</v>
      </c>
      <c r="J4" s="49"/>
      <c r="K4" s="49"/>
      <c r="L4" s="49"/>
      <c r="M4" s="360"/>
    </row>
    <row r="5" spans="2:13" x14ac:dyDescent="0.35">
      <c r="B5" s="359"/>
      <c r="C5" s="49"/>
      <c r="D5" s="49"/>
      <c r="E5" s="49"/>
      <c r="F5" s="49"/>
      <c r="G5" s="49"/>
      <c r="H5" s="49"/>
      <c r="I5" s="389" t="s">
        <v>348</v>
      </c>
      <c r="J5" s="389"/>
      <c r="K5" s="389"/>
      <c r="L5" s="49"/>
      <c r="M5" s="360"/>
    </row>
    <row r="6" spans="2:13" x14ac:dyDescent="0.35">
      <c r="B6" s="359"/>
      <c r="C6" s="49"/>
      <c r="D6" s="49"/>
      <c r="E6" s="49"/>
      <c r="F6" s="49"/>
      <c r="G6" s="49"/>
      <c r="H6" s="49"/>
      <c r="I6" s="351"/>
      <c r="J6" s="49"/>
      <c r="K6" s="49"/>
      <c r="L6" s="49"/>
      <c r="M6" s="360"/>
    </row>
    <row r="7" spans="2:13" x14ac:dyDescent="0.35">
      <c r="B7" s="359"/>
      <c r="C7" s="49"/>
      <c r="D7" s="49"/>
      <c r="E7" s="49"/>
      <c r="F7" s="49"/>
      <c r="G7" s="49"/>
      <c r="H7" s="49"/>
      <c r="I7" s="49"/>
      <c r="J7" s="49"/>
      <c r="K7" s="49"/>
      <c r="L7" s="49"/>
      <c r="M7" s="360"/>
    </row>
    <row r="8" spans="2:13" x14ac:dyDescent="0.35">
      <c r="B8" s="359"/>
      <c r="C8" s="49"/>
      <c r="D8" s="49"/>
      <c r="E8" s="49"/>
      <c r="F8" s="49"/>
      <c r="G8" s="49"/>
      <c r="H8" s="49"/>
      <c r="I8" s="352" t="s">
        <v>345</v>
      </c>
      <c r="J8" s="352" t="s">
        <v>344</v>
      </c>
      <c r="K8" s="49"/>
      <c r="L8" s="49"/>
      <c r="M8" s="360"/>
    </row>
    <row r="9" spans="2:13" x14ac:dyDescent="0.35">
      <c r="B9" s="359"/>
      <c r="C9" s="49"/>
      <c r="D9" s="353"/>
      <c r="E9" s="353"/>
      <c r="F9" s="353"/>
      <c r="G9" s="353"/>
      <c r="H9" s="353"/>
      <c r="I9" s="354"/>
      <c r="J9" s="334" t="s">
        <v>408</v>
      </c>
      <c r="K9" s="49"/>
      <c r="L9" s="49"/>
      <c r="M9" s="360"/>
    </row>
    <row r="10" spans="2:13" x14ac:dyDescent="0.35">
      <c r="B10" s="359"/>
      <c r="C10" s="49"/>
      <c r="D10" s="49"/>
      <c r="E10" s="49"/>
      <c r="F10" s="49"/>
      <c r="G10" s="49"/>
      <c r="H10" s="49"/>
      <c r="I10" s="355"/>
      <c r="J10" s="334" t="s">
        <v>409</v>
      </c>
      <c r="K10" s="49"/>
      <c r="L10" s="49"/>
      <c r="M10" s="360"/>
    </row>
    <row r="11" spans="2:13" x14ac:dyDescent="0.35">
      <c r="B11" s="359"/>
      <c r="C11" s="49"/>
      <c r="D11" s="49"/>
      <c r="E11" s="49"/>
      <c r="F11" s="49"/>
      <c r="G11" s="49"/>
      <c r="H11" s="49"/>
      <c r="I11" s="332"/>
      <c r="J11" s="334" t="s">
        <v>360</v>
      </c>
      <c r="K11" s="49"/>
      <c r="L11" s="49"/>
      <c r="M11" s="360"/>
    </row>
    <row r="12" spans="2:13" x14ac:dyDescent="0.35">
      <c r="B12" s="359"/>
      <c r="C12" s="49"/>
      <c r="D12" s="49"/>
      <c r="E12" s="49"/>
      <c r="F12" s="49"/>
      <c r="G12" s="49"/>
      <c r="H12" s="49"/>
      <c r="I12" s="49"/>
      <c r="J12" s="49"/>
      <c r="K12" s="49"/>
      <c r="L12" s="49"/>
      <c r="M12" s="360"/>
    </row>
    <row r="13" spans="2:13" x14ac:dyDescent="0.35">
      <c r="B13" s="359"/>
      <c r="C13" s="49"/>
      <c r="D13" s="49"/>
      <c r="E13" s="49"/>
      <c r="F13" s="49"/>
      <c r="G13" s="49"/>
      <c r="H13" s="49"/>
      <c r="I13" s="49"/>
      <c r="J13" s="49"/>
      <c r="K13" s="49"/>
      <c r="L13" s="49"/>
      <c r="M13" s="360"/>
    </row>
    <row r="14" spans="2:13" x14ac:dyDescent="0.35">
      <c r="B14" s="359"/>
      <c r="C14" s="49"/>
      <c r="D14" s="49"/>
      <c r="E14" s="49"/>
      <c r="F14" s="49"/>
      <c r="G14" s="49"/>
      <c r="H14" s="49"/>
      <c r="I14" s="352" t="s">
        <v>346</v>
      </c>
      <c r="J14" s="352" t="s">
        <v>344</v>
      </c>
      <c r="K14" s="49"/>
      <c r="L14" s="49"/>
      <c r="M14" s="360"/>
    </row>
    <row r="15" spans="2:13" ht="15" thickBot="1" x14ac:dyDescent="0.4">
      <c r="B15" s="359"/>
      <c r="C15" s="49"/>
      <c r="D15" s="49"/>
      <c r="E15" s="49"/>
      <c r="F15" s="49"/>
      <c r="G15" s="49"/>
      <c r="H15" s="49"/>
      <c r="I15" s="215" t="s">
        <v>324</v>
      </c>
      <c r="J15" s="334" t="s">
        <v>361</v>
      </c>
      <c r="K15" s="49"/>
      <c r="L15" s="49"/>
      <c r="M15" s="360"/>
    </row>
    <row r="16" spans="2:13" x14ac:dyDescent="0.35">
      <c r="B16" s="359"/>
      <c r="C16" s="49"/>
      <c r="D16" s="49"/>
      <c r="E16" s="49"/>
      <c r="F16" s="49"/>
      <c r="G16" s="49"/>
      <c r="H16" s="49"/>
      <c r="I16" s="216" t="s">
        <v>325</v>
      </c>
      <c r="J16" s="334" t="s">
        <v>327</v>
      </c>
      <c r="K16" s="49"/>
      <c r="L16" s="49"/>
      <c r="M16" s="360"/>
    </row>
    <row r="17" spans="2:13" ht="15" thickBot="1" x14ac:dyDescent="0.4">
      <c r="B17" s="359"/>
      <c r="C17" s="49"/>
      <c r="D17" s="49"/>
      <c r="E17" s="49"/>
      <c r="F17" s="49"/>
      <c r="G17" s="49"/>
      <c r="H17" s="49"/>
      <c r="I17" s="217" t="s">
        <v>326</v>
      </c>
      <c r="J17" s="334" t="s">
        <v>328</v>
      </c>
      <c r="K17" s="49"/>
      <c r="L17" s="49"/>
      <c r="M17" s="360"/>
    </row>
    <row r="18" spans="2:13" x14ac:dyDescent="0.35">
      <c r="B18" s="359"/>
      <c r="C18" s="49"/>
      <c r="D18" s="49"/>
      <c r="E18" s="49"/>
      <c r="F18" s="49"/>
      <c r="G18" s="49"/>
      <c r="H18" s="49"/>
      <c r="I18" s="49"/>
      <c r="J18" s="49"/>
      <c r="K18" s="49"/>
      <c r="L18" s="49"/>
      <c r="M18" s="360"/>
    </row>
    <row r="19" spans="2:13" x14ac:dyDescent="0.35">
      <c r="B19" s="359"/>
      <c r="C19" s="49"/>
      <c r="D19" s="49"/>
      <c r="E19" s="49"/>
      <c r="F19" s="49"/>
      <c r="G19" s="49"/>
      <c r="H19" s="49"/>
      <c r="I19" s="49"/>
      <c r="J19" s="49"/>
      <c r="K19" s="49"/>
      <c r="L19" s="49"/>
      <c r="M19" s="360"/>
    </row>
    <row r="20" spans="2:13" x14ac:dyDescent="0.35">
      <c r="B20" s="359"/>
      <c r="C20" s="49"/>
      <c r="D20" s="49"/>
      <c r="E20" s="49"/>
      <c r="F20" s="49"/>
      <c r="G20" s="49"/>
      <c r="H20" s="49"/>
      <c r="I20" s="49"/>
      <c r="J20" s="49"/>
      <c r="K20" s="49"/>
      <c r="L20" s="49"/>
      <c r="M20" s="360"/>
    </row>
    <row r="21" spans="2:13" x14ac:dyDescent="0.35">
      <c r="B21" s="359"/>
      <c r="C21" s="49"/>
      <c r="D21" s="49"/>
      <c r="E21" s="49"/>
      <c r="F21" s="49"/>
      <c r="G21" s="49"/>
      <c r="H21" s="49"/>
      <c r="I21" s="49"/>
      <c r="J21" s="49"/>
      <c r="K21" s="49"/>
      <c r="L21" s="49"/>
      <c r="M21" s="360"/>
    </row>
    <row r="22" spans="2:13" x14ac:dyDescent="0.35">
      <c r="B22" s="359"/>
      <c r="C22" s="49"/>
      <c r="D22" s="49"/>
      <c r="E22" s="49"/>
      <c r="F22" s="49"/>
      <c r="G22" s="49"/>
      <c r="H22" s="49"/>
      <c r="I22" s="49"/>
      <c r="J22" s="49"/>
      <c r="K22" s="49"/>
      <c r="L22" s="49"/>
      <c r="M22" s="360"/>
    </row>
    <row r="23" spans="2:13" x14ac:dyDescent="0.35">
      <c r="B23" s="359"/>
      <c r="C23" s="49"/>
      <c r="D23" s="49"/>
      <c r="E23" s="49"/>
      <c r="F23" s="49"/>
      <c r="G23" s="49"/>
      <c r="H23" s="49"/>
      <c r="I23" s="49"/>
      <c r="J23" s="49"/>
      <c r="K23" s="49"/>
      <c r="L23" s="49"/>
      <c r="M23" s="360"/>
    </row>
    <row r="24" spans="2:13" x14ac:dyDescent="0.35">
      <c r="B24" s="359"/>
      <c r="C24" s="49"/>
      <c r="D24" s="49"/>
      <c r="E24" s="49"/>
      <c r="F24" s="49"/>
      <c r="G24" s="49"/>
      <c r="H24" s="49"/>
      <c r="I24" s="49"/>
      <c r="J24" s="49"/>
      <c r="K24" s="49"/>
      <c r="L24" s="49"/>
      <c r="M24" s="360"/>
    </row>
    <row r="25" spans="2:13" x14ac:dyDescent="0.35">
      <c r="B25" s="359"/>
      <c r="C25" s="49"/>
      <c r="D25" s="49"/>
      <c r="E25" s="49"/>
      <c r="F25" s="49"/>
      <c r="G25" s="49"/>
      <c r="H25" s="49"/>
      <c r="I25" s="49"/>
      <c r="J25" s="49"/>
      <c r="K25" s="49"/>
      <c r="L25" s="49"/>
      <c r="M25" s="360"/>
    </row>
    <row r="26" spans="2:13" x14ac:dyDescent="0.35">
      <c r="B26" s="359"/>
      <c r="C26" s="49"/>
      <c r="D26" s="49"/>
      <c r="E26" s="49"/>
      <c r="F26" s="49"/>
      <c r="G26" s="49"/>
      <c r="H26" s="49"/>
      <c r="I26" s="49"/>
      <c r="J26" s="49"/>
      <c r="K26" s="49"/>
      <c r="L26" s="49"/>
      <c r="M26" s="360"/>
    </row>
    <row r="27" spans="2:13" x14ac:dyDescent="0.35">
      <c r="B27" s="359"/>
      <c r="C27" s="49"/>
      <c r="D27" s="49"/>
      <c r="E27" s="49"/>
      <c r="F27" s="49"/>
      <c r="G27" s="49"/>
      <c r="H27" s="49"/>
      <c r="I27" s="49"/>
      <c r="J27" s="49"/>
      <c r="K27" s="49"/>
      <c r="L27" s="49"/>
      <c r="M27" s="360"/>
    </row>
    <row r="28" spans="2:13" x14ac:dyDescent="0.35">
      <c r="B28" s="359"/>
      <c r="C28" s="49"/>
      <c r="D28" s="49"/>
      <c r="E28" s="49"/>
      <c r="F28" s="49"/>
      <c r="G28" s="49"/>
      <c r="H28" s="49"/>
      <c r="I28" s="49"/>
      <c r="J28" s="49"/>
      <c r="K28" s="49"/>
      <c r="L28" s="49"/>
      <c r="M28" s="360"/>
    </row>
    <row r="29" spans="2:13" x14ac:dyDescent="0.35">
      <c r="B29" s="359"/>
      <c r="C29" s="49"/>
      <c r="D29" s="49"/>
      <c r="E29" s="49"/>
      <c r="F29" s="49"/>
      <c r="G29" s="49"/>
      <c r="H29" s="49"/>
      <c r="I29" s="49"/>
      <c r="J29" s="49"/>
      <c r="K29" s="49"/>
      <c r="L29" s="49"/>
      <c r="M29" s="360"/>
    </row>
    <row r="30" spans="2:13" x14ac:dyDescent="0.35">
      <c r="B30" s="359"/>
      <c r="C30" s="49"/>
      <c r="D30" s="49"/>
      <c r="E30" s="49"/>
      <c r="F30" s="49"/>
      <c r="G30" s="49"/>
      <c r="H30" s="49"/>
      <c r="I30" s="49"/>
      <c r="J30" s="49"/>
      <c r="K30" s="49"/>
      <c r="L30" s="49"/>
      <c r="M30" s="360"/>
    </row>
    <row r="31" spans="2:13" x14ac:dyDescent="0.35">
      <c r="B31" s="359"/>
      <c r="C31" s="49"/>
      <c r="D31" s="49"/>
      <c r="E31" s="49"/>
      <c r="F31" s="49"/>
      <c r="G31" s="49"/>
      <c r="H31" s="49"/>
      <c r="I31" s="49"/>
      <c r="J31" s="49"/>
      <c r="K31" s="49"/>
      <c r="L31" s="49"/>
      <c r="M31" s="360"/>
    </row>
    <row r="32" spans="2:13" x14ac:dyDescent="0.35">
      <c r="B32" s="359"/>
      <c r="C32" s="49"/>
      <c r="D32" s="49"/>
      <c r="E32" s="49"/>
      <c r="F32" s="49"/>
      <c r="G32" s="49"/>
      <c r="H32" s="49"/>
      <c r="I32" s="49"/>
      <c r="J32" s="49"/>
      <c r="K32" s="49"/>
      <c r="L32" s="49"/>
      <c r="M32" s="360"/>
    </row>
    <row r="33" spans="2:13" x14ac:dyDescent="0.35">
      <c r="B33" s="359"/>
      <c r="C33" s="49"/>
      <c r="D33" s="49"/>
      <c r="E33" s="49"/>
      <c r="F33" s="49"/>
      <c r="G33" s="49"/>
      <c r="H33" s="49"/>
      <c r="I33" s="49"/>
      <c r="J33" s="49"/>
      <c r="K33" s="49"/>
      <c r="L33" s="49"/>
      <c r="M33" s="360"/>
    </row>
    <row r="34" spans="2:13" x14ac:dyDescent="0.35">
      <c r="B34" s="359"/>
      <c r="C34" s="49"/>
      <c r="D34" s="49"/>
      <c r="E34" s="49"/>
      <c r="F34" s="49"/>
      <c r="G34" s="49"/>
      <c r="H34" s="49"/>
      <c r="I34" s="49"/>
      <c r="J34" s="49"/>
      <c r="K34" s="49"/>
      <c r="L34" s="49"/>
      <c r="M34" s="360"/>
    </row>
    <row r="35" spans="2:13" x14ac:dyDescent="0.35">
      <c r="B35" s="359"/>
      <c r="C35" s="49"/>
      <c r="D35" s="49"/>
      <c r="E35" s="49"/>
      <c r="F35" s="49"/>
      <c r="G35" s="49"/>
      <c r="H35" s="49"/>
      <c r="I35" s="49"/>
      <c r="J35" s="49"/>
      <c r="K35" s="49"/>
      <c r="L35" s="49"/>
      <c r="M35" s="360"/>
    </row>
    <row r="36" spans="2:13" x14ac:dyDescent="0.35">
      <c r="B36" s="359"/>
      <c r="C36" s="49"/>
      <c r="D36" s="49"/>
      <c r="E36" s="49"/>
      <c r="F36" s="49"/>
      <c r="G36" s="49"/>
      <c r="H36" s="49"/>
      <c r="I36" s="49"/>
      <c r="J36" s="49"/>
      <c r="K36" s="49"/>
      <c r="L36" s="49"/>
      <c r="M36" s="360"/>
    </row>
    <row r="37" spans="2:13" x14ac:dyDescent="0.35">
      <c r="B37" s="359"/>
      <c r="C37" s="49"/>
      <c r="D37" s="49"/>
      <c r="E37" s="49"/>
      <c r="F37" s="49"/>
      <c r="G37" s="49"/>
      <c r="H37" s="49"/>
      <c r="I37" s="49"/>
      <c r="J37" s="49"/>
      <c r="K37" s="49"/>
      <c r="L37" s="49"/>
      <c r="M37" s="360"/>
    </row>
    <row r="38" spans="2:13" x14ac:dyDescent="0.35">
      <c r="B38" s="359"/>
      <c r="C38" s="49"/>
      <c r="D38" s="49"/>
      <c r="E38" s="49"/>
      <c r="F38" s="49"/>
      <c r="G38" s="49"/>
      <c r="H38" s="49"/>
      <c r="I38" s="49"/>
      <c r="J38" s="49"/>
      <c r="K38" s="49"/>
      <c r="L38" s="49"/>
      <c r="M38" s="360"/>
    </row>
    <row r="39" spans="2:13" x14ac:dyDescent="0.35">
      <c r="B39" s="359"/>
      <c r="C39" s="49"/>
      <c r="D39" s="49"/>
      <c r="E39" s="49"/>
      <c r="F39" s="49"/>
      <c r="G39" s="49"/>
      <c r="H39" s="49"/>
      <c r="I39" s="49"/>
      <c r="J39" s="49"/>
      <c r="K39" s="49"/>
      <c r="L39" s="49"/>
      <c r="M39" s="360"/>
    </row>
    <row r="40" spans="2:13" x14ac:dyDescent="0.35">
      <c r="B40" s="359"/>
      <c r="C40" s="49"/>
      <c r="D40" s="49"/>
      <c r="E40" s="49"/>
      <c r="F40" s="49"/>
      <c r="G40" s="49"/>
      <c r="H40" s="49"/>
      <c r="I40" s="49"/>
      <c r="J40" s="49"/>
      <c r="K40" s="49"/>
      <c r="L40" s="49"/>
      <c r="M40" s="360"/>
    </row>
    <row r="41" spans="2:13" x14ac:dyDescent="0.35">
      <c r="B41" s="359"/>
      <c r="C41" s="49"/>
      <c r="D41" s="49"/>
      <c r="E41" s="49"/>
      <c r="F41" s="49"/>
      <c r="G41" s="49"/>
      <c r="H41" s="49"/>
      <c r="I41" s="49"/>
      <c r="J41" s="49"/>
      <c r="K41" s="49"/>
      <c r="L41" s="49"/>
      <c r="M41" s="360"/>
    </row>
    <row r="42" spans="2:13" x14ac:dyDescent="0.35">
      <c r="B42" s="359"/>
      <c r="C42" s="49"/>
      <c r="D42" s="49"/>
      <c r="E42" s="49"/>
      <c r="F42" s="49"/>
      <c r="G42" s="49"/>
      <c r="H42" s="49"/>
      <c r="I42" s="49"/>
      <c r="J42" s="49"/>
      <c r="K42" s="49"/>
      <c r="L42" s="49"/>
      <c r="M42" s="360"/>
    </row>
    <row r="43" spans="2:13" ht="15" thickBot="1" x14ac:dyDescent="0.4">
      <c r="B43" s="361"/>
      <c r="C43" s="362"/>
      <c r="D43" s="362"/>
      <c r="E43" s="362"/>
      <c r="F43" s="362"/>
      <c r="G43" s="362"/>
      <c r="H43" s="362"/>
      <c r="I43" s="362"/>
      <c r="J43" s="362"/>
      <c r="K43" s="362"/>
      <c r="L43" s="362"/>
      <c r="M43" s="387" t="s">
        <v>427</v>
      </c>
    </row>
    <row r="44" spans="2:13" x14ac:dyDescent="0.35"/>
    <row r="45" spans="2:13" x14ac:dyDescent="0.35"/>
  </sheetData>
  <mergeCells count="1">
    <mergeCell ref="I5:K5"/>
  </mergeCells>
  <hyperlinks>
    <hyperlink ref="I5:K5" r:id="rId1" display="Quick start video ( 5 min)" xr:uid="{C256B6B7-1C1F-0640-9054-90DDF49DA1E6}"/>
  </hyperlinks>
  <pageMargins left="0.7" right="0.7" top="0.75" bottom="0.75" header="0.3" footer="0.3"/>
  <pageSetup orientation="portrait" horizontalDpi="0" verticalDpi="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22AAAD-D3A2-3F4A-B85D-41869859DAA8}">
  <dimension ref="A1:M27"/>
  <sheetViews>
    <sheetView showGridLines="0" showRowColHeaders="0" zoomScale="124" zoomScaleNormal="129" workbookViewId="0">
      <selection activeCell="D3" sqref="D3"/>
    </sheetView>
  </sheetViews>
  <sheetFormatPr defaultColWidth="0" defaultRowHeight="14.5" zeroHeight="1" x14ac:dyDescent="0.35"/>
  <cols>
    <col min="1" max="1" width="10.26953125" customWidth="1"/>
    <col min="2" max="2" width="2.1796875" customWidth="1"/>
    <col min="3" max="3" width="46.1796875" bestFit="1" customWidth="1"/>
    <col min="4" max="7" width="10.81640625" customWidth="1"/>
    <col min="8" max="8" width="46.1796875" bestFit="1" customWidth="1"/>
    <col min="9" max="10" width="12.7265625" customWidth="1"/>
    <col min="11" max="13" width="0" hidden="1" customWidth="1"/>
    <col min="14" max="16384" width="10.81640625" hidden="1"/>
  </cols>
  <sheetData>
    <row r="1" spans="1:13" ht="15" thickBot="1" x14ac:dyDescent="0.4">
      <c r="A1" s="211" t="s">
        <v>321</v>
      </c>
    </row>
    <row r="2" spans="1:13" ht="14.15" customHeight="1" thickBot="1" x14ac:dyDescent="0.4">
      <c r="A2" s="213" t="s">
        <v>322</v>
      </c>
      <c r="I2" s="26"/>
      <c r="J2" s="27"/>
      <c r="K2" s="28"/>
      <c r="L2" s="28"/>
      <c r="M2" s="28"/>
    </row>
    <row r="3" spans="1:13" ht="36" customHeight="1" thickBot="1" x14ac:dyDescent="0.4">
      <c r="C3" s="296" t="s">
        <v>373</v>
      </c>
      <c r="D3" s="279"/>
      <c r="E3" s="408" t="s">
        <v>407</v>
      </c>
      <c r="F3" s="409"/>
      <c r="G3" s="409"/>
      <c r="H3" s="409"/>
      <c r="I3" s="409"/>
    </row>
    <row r="4" spans="1:13" ht="15" thickBot="1" x14ac:dyDescent="0.4">
      <c r="I4" s="212"/>
    </row>
    <row r="5" spans="1:13" ht="15" thickBot="1" x14ac:dyDescent="0.4">
      <c r="C5" s="18" t="str">
        <f>IF('Add''l Harvest Data'!D3="Year","Year","Field/Block")</f>
        <v>Field/Block</v>
      </c>
      <c r="D5" s="151"/>
      <c r="H5" s="18" t="str">
        <f>IF('Add''l Harvest Data'!D3="Year","Year","Field/Block")</f>
        <v>Field/Block</v>
      </c>
      <c r="I5" s="151"/>
    </row>
    <row r="6" spans="1:13" ht="15" thickBot="1" x14ac:dyDescent="0.4">
      <c r="C6" s="122" t="s">
        <v>242</v>
      </c>
      <c r="D6" s="43"/>
      <c r="H6" s="122" t="s">
        <v>242</v>
      </c>
      <c r="I6" s="43"/>
    </row>
    <row r="7" spans="1:13" ht="15" thickBot="1" x14ac:dyDescent="0.4">
      <c r="C7" s="122"/>
      <c r="D7" s="122"/>
      <c r="E7" s="122"/>
      <c r="F7" s="122"/>
      <c r="G7" s="122"/>
      <c r="H7" s="122"/>
      <c r="I7" s="122"/>
    </row>
    <row r="8" spans="1:13" ht="15" thickBot="1" x14ac:dyDescent="0.4">
      <c r="C8" s="122" t="s">
        <v>273</v>
      </c>
      <c r="D8" s="150"/>
      <c r="H8" s="122" t="s">
        <v>273</v>
      </c>
      <c r="I8" s="150"/>
    </row>
    <row r="9" spans="1:13" ht="15" thickBot="1" x14ac:dyDescent="0.4">
      <c r="C9" s="122" t="s">
        <v>274</v>
      </c>
      <c r="D9" s="150"/>
      <c r="H9" s="122" t="s">
        <v>274</v>
      </c>
      <c r="I9" s="150"/>
    </row>
    <row r="10" spans="1:13" ht="15" thickBot="1" x14ac:dyDescent="0.4">
      <c r="C10" s="18" t="s">
        <v>258</v>
      </c>
      <c r="D10" s="152"/>
      <c r="H10" s="18" t="s">
        <v>258</v>
      </c>
      <c r="I10" s="152"/>
    </row>
    <row r="11" spans="1:13" ht="15" thickBot="1" x14ac:dyDescent="0.4">
      <c r="C11" s="18" t="s">
        <v>215</v>
      </c>
      <c r="D11" s="152"/>
      <c r="H11" s="18" t="s">
        <v>215</v>
      </c>
      <c r="I11" s="153"/>
    </row>
    <row r="12" spans="1:13" ht="15" thickBot="1" x14ac:dyDescent="0.4">
      <c r="C12" s="18" t="s">
        <v>178</v>
      </c>
      <c r="D12" s="154"/>
      <c r="H12" s="18" t="s">
        <v>178</v>
      </c>
      <c r="I12" s="154"/>
    </row>
    <row r="13" spans="1:13" ht="15" thickBot="1" x14ac:dyDescent="0.4">
      <c r="C13" s="18"/>
      <c r="H13" s="18"/>
    </row>
    <row r="14" spans="1:13" ht="15" thickBot="1" x14ac:dyDescent="0.4">
      <c r="C14" s="139" t="s">
        <v>11</v>
      </c>
      <c r="D14" s="25"/>
      <c r="H14" s="139" t="s">
        <v>11</v>
      </c>
      <c r="I14" s="25"/>
    </row>
    <row r="15" spans="1:13" ht="15" thickBot="1" x14ac:dyDescent="0.4">
      <c r="C15" s="139" t="s">
        <v>12</v>
      </c>
      <c r="D15" s="25"/>
      <c r="H15" s="139" t="s">
        <v>12</v>
      </c>
      <c r="I15" s="25"/>
    </row>
    <row r="16" spans="1:13" ht="15" thickBot="1" x14ac:dyDescent="0.4">
      <c r="C16" s="139" t="s">
        <v>13</v>
      </c>
      <c r="D16" s="25"/>
      <c r="H16" s="139" t="s">
        <v>13</v>
      </c>
      <c r="I16" s="25"/>
    </row>
    <row r="17" spans="3:9" ht="15" thickBot="1" x14ac:dyDescent="0.4"/>
    <row r="18" spans="3:9" x14ac:dyDescent="0.35">
      <c r="C18" s="122" t="s">
        <v>289</v>
      </c>
      <c r="D18" s="205"/>
      <c r="H18" s="122" t="s">
        <v>289</v>
      </c>
      <c r="I18" s="205"/>
    </row>
    <row r="19" spans="3:9" x14ac:dyDescent="0.35">
      <c r="C19" s="122" t="s">
        <v>277</v>
      </c>
      <c r="D19" s="206"/>
      <c r="H19" s="122" t="s">
        <v>277</v>
      </c>
      <c r="I19" s="206"/>
    </row>
    <row r="20" spans="3:9" x14ac:dyDescent="0.35">
      <c r="C20" s="122" t="s">
        <v>282</v>
      </c>
      <c r="D20" s="206"/>
      <c r="H20" s="122" t="s">
        <v>282</v>
      </c>
      <c r="I20" s="206"/>
    </row>
    <row r="21" spans="3:9" x14ac:dyDescent="0.35"/>
    <row r="22" spans="3:9" x14ac:dyDescent="0.35"/>
    <row r="23" spans="3:9" x14ac:dyDescent="0.35"/>
    <row r="24" spans="3:9" x14ac:dyDescent="0.35"/>
    <row r="25" spans="3:9" x14ac:dyDescent="0.35"/>
    <row r="26" spans="3:9" x14ac:dyDescent="0.35"/>
    <row r="27" spans="3:9" x14ac:dyDescent="0.35"/>
  </sheetData>
  <mergeCells count="1">
    <mergeCell ref="E3:I3"/>
  </mergeCells>
  <dataValidations count="7">
    <dataValidation type="list" allowBlank="1" showInputMessage="1" sqref="D6 I6" xr:uid="{29440E5F-DACB-CE4B-8EA9-6EAF9B3E7C52}">
      <formula1>Crop_Type</formula1>
    </dataValidation>
    <dataValidation allowBlank="1" showInputMessage="1" showErrorMessage="1" promptTitle="Input Costs/Pound" prompt="Any costs that can be estimated for managing the crop at the point of maturity, e.g., cost of labor to pick, pack, and sort, cost of packaging unit, inspection charges, etc." sqref="C19 H19" xr:uid="{FE81D97E-DB27-4E4E-BBCA-4CB1C0234866}"/>
    <dataValidation allowBlank="1" showInputMessage="1" showErrorMessage="1" promptTitle="Packed Container Weight" prompt="Please input the average weight of a packed container excluding the weight of the container itself. The term container refers to any bag, sack, or bulk bin used for moving product. The defined container must be consistent throughout the calculator." sqref="C11 H11" xr:uid="{37C5B440-B194-1E4D-AD49-741C4E9C0B55}"/>
    <dataValidation allowBlank="1" showInputMessage="1" showErrorMessage="1" promptTitle="Immature Acres" prompt="Total amount (in acres) of the managed area that was planted for the crop, but did not reach maturity, for example due to pest or weather damage" sqref="C16 H16" xr:uid="{D63CF7AC-6390-FD48-B823-66F97E3FB2C7}"/>
    <dataValidation allowBlank="1" showInputMessage="1" showErrorMessage="1" promptTitle="Acres Harvested" prompt="Total amount (in acres) of managed area per crop that are harvested_x000a_" sqref="C15 H15" xr:uid="{69A912C3-4798-F444-8AAF-AFAA7A24705E}"/>
    <dataValidation allowBlank="1" showInputMessage="1" showErrorMessage="1" promptTitle="Acres Planted" prompt="Total amount (in acres) of managed area out into production for crop(s) of interest" sqref="C14 H14" xr:uid="{727A9438-AF7D-3D4C-99E8-9AFE23171883}"/>
    <dataValidation type="decimal" operator="lessThanOrEqual" allowBlank="1" showInputMessage="1" showErrorMessage="1" error="Double check this value. Acres Harvested + Immature Acres should not exceed Acres Planted." sqref="D16 I16" xr:uid="{C740269C-5331-254C-908E-47E9D560D808}">
      <formula1>D14-D15</formula1>
    </dataValidation>
  </dataValidations>
  <pageMargins left="0.7" right="0.7" top="0.75" bottom="0.75" header="0.3" footer="0.3"/>
  <pageSetup paperSize="9" orientation="landscape" horizontalDpi="0" verticalDpi="0"/>
  <extLst>
    <ext xmlns:x14="http://schemas.microsoft.com/office/spreadsheetml/2009/9/main" uri="{CCE6A557-97BC-4b89-ADB6-D9C93CAAB3DF}">
      <x14:dataValidations xmlns:xm="http://schemas.microsoft.com/office/excel/2006/main" count="2">
        <x14:dataValidation type="list" allowBlank="1" showInputMessage="1" showErrorMessage="1" xr:uid="{8374363B-C8D7-6D47-9592-9F7BD7DE5B79}">
          <x14:formula1>
            <xm:f>Lists!$H$2:$H$3</xm:f>
          </x14:formula1>
          <xm:sqref>D18 I18</xm:sqref>
        </x14:dataValidation>
        <x14:dataValidation type="list" allowBlank="1" showInputMessage="1" showErrorMessage="1" xr:uid="{094C86A4-5647-3145-8985-99AF16E310E6}">
          <x14:formula1>
            <xm:f>Lists!$F$1:$F$2</xm:f>
          </x14:formula1>
          <xm:sqref>D3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03048-1734-B34D-8F0A-C544D0A214D3}">
  <dimension ref="A1:N51"/>
  <sheetViews>
    <sheetView showGridLines="0" showRowColHeaders="0" zoomScale="110" zoomScaleNormal="110" workbookViewId="0">
      <selection activeCell="C5" sqref="C5"/>
    </sheetView>
  </sheetViews>
  <sheetFormatPr defaultColWidth="0" defaultRowHeight="14.5" zeroHeight="1" x14ac:dyDescent="0.35"/>
  <cols>
    <col min="1" max="2" width="10.81640625" customWidth="1"/>
    <col min="3" max="6" width="11.7265625" customWidth="1"/>
    <col min="7" max="9" width="10.81640625" customWidth="1"/>
    <col min="10" max="13" width="11.7265625" customWidth="1"/>
    <col min="14" max="14" width="10.81640625" customWidth="1"/>
    <col min="15" max="16384" width="10.81640625" hidden="1"/>
  </cols>
  <sheetData>
    <row r="1" spans="1:13" ht="15" thickBot="1" x14ac:dyDescent="0.4">
      <c r="A1" s="211" t="s">
        <v>321</v>
      </c>
    </row>
    <row r="2" spans="1:13" ht="15" thickBot="1" x14ac:dyDescent="0.4"/>
    <row r="3" spans="1:13" ht="15" thickBot="1" x14ac:dyDescent="0.4">
      <c r="B3" s="18" t="s">
        <v>30</v>
      </c>
      <c r="C3" s="383">
        <f>'Add''l Harvest Data'!D6</f>
        <v>0</v>
      </c>
      <c r="I3" s="18" t="s">
        <v>30</v>
      </c>
      <c r="J3" s="383">
        <f>'Add''l Harvest Data'!I6</f>
        <v>0</v>
      </c>
    </row>
    <row r="4" spans="1:13" ht="15" thickBot="1" x14ac:dyDescent="0.4">
      <c r="B4" s="18" t="str">
        <f>IF('Add''l Harvest Data'!D3="Year","Year","Field/Block")</f>
        <v>Field/Block</v>
      </c>
      <c r="C4" s="383">
        <f>'Add''l Harvest Data'!D5</f>
        <v>0</v>
      </c>
      <c r="F4" s="184"/>
      <c r="I4" s="18" t="str">
        <f>IF('Add''l Harvest Data'!D3="Year","Year","Field/Block")</f>
        <v>Field/Block</v>
      </c>
      <c r="J4" s="383">
        <f>'Add''l Harvest Data'!I5</f>
        <v>0</v>
      </c>
    </row>
    <row r="5" spans="1:13" ht="15" thickBot="1" x14ac:dyDescent="0.4">
      <c r="B5" s="18" t="s">
        <v>5</v>
      </c>
      <c r="C5" s="138"/>
      <c r="F5" s="184"/>
      <c r="I5" s="18" t="s">
        <v>5</v>
      </c>
      <c r="J5" s="138"/>
    </row>
    <row r="6" spans="1:13" ht="15" thickBot="1" x14ac:dyDescent="0.4">
      <c r="B6" s="18" t="s">
        <v>217</v>
      </c>
      <c r="C6" s="150"/>
      <c r="F6" s="184"/>
      <c r="I6" s="18" t="s">
        <v>217</v>
      </c>
      <c r="J6" s="150"/>
    </row>
    <row r="7" spans="1:13" ht="15" thickBot="1" x14ac:dyDescent="0.4">
      <c r="B7" s="18" t="s">
        <v>250</v>
      </c>
      <c r="C7" s="149"/>
      <c r="F7" s="184"/>
      <c r="I7" s="18" t="s">
        <v>250</v>
      </c>
      <c r="J7" s="149"/>
    </row>
    <row r="8" spans="1:13" ht="15" thickBot="1" x14ac:dyDescent="0.4">
      <c r="B8" s="18" t="s">
        <v>6</v>
      </c>
      <c r="C8" s="149"/>
      <c r="F8" s="184"/>
      <c r="I8" s="18" t="s">
        <v>6</v>
      </c>
      <c r="J8" s="149"/>
    </row>
    <row r="9" spans="1:13" ht="15" thickBot="1" x14ac:dyDescent="0.4">
      <c r="B9" s="18" t="s">
        <v>8</v>
      </c>
      <c r="C9" s="149"/>
      <c r="F9" s="184"/>
      <c r="I9" s="18" t="s">
        <v>8</v>
      </c>
      <c r="J9" s="149"/>
    </row>
    <row r="10" spans="1:13" ht="15" thickBot="1" x14ac:dyDescent="0.4">
      <c r="B10" s="18" t="s">
        <v>275</v>
      </c>
      <c r="C10" s="207">
        <v>1E-3</v>
      </c>
      <c r="D10" s="224" t="s">
        <v>329</v>
      </c>
      <c r="F10" s="184"/>
      <c r="I10" s="18" t="s">
        <v>275</v>
      </c>
      <c r="J10" s="207">
        <v>1E-3</v>
      </c>
      <c r="K10" s="224" t="s">
        <v>329</v>
      </c>
    </row>
    <row r="11" spans="1:13" ht="15" thickBot="1" x14ac:dyDescent="0.4">
      <c r="B11" s="18" t="s">
        <v>7</v>
      </c>
      <c r="C11" s="14" t="str">
        <f>IFERROR(C7*43560*C10/C9/C8,"")</f>
        <v/>
      </c>
      <c r="D11" s="224" t="s">
        <v>371</v>
      </c>
      <c r="F11" s="184"/>
      <c r="I11" s="18" t="s">
        <v>7</v>
      </c>
      <c r="J11" s="14" t="str">
        <f>IFERROR(J7*43560*J10/J9/J8,"")</f>
        <v/>
      </c>
      <c r="K11" s="224" t="s">
        <v>371</v>
      </c>
    </row>
    <row r="12" spans="1:13" x14ac:dyDescent="0.35"/>
    <row r="13" spans="1:13" x14ac:dyDescent="0.35">
      <c r="C13" s="410" t="s">
        <v>9</v>
      </c>
      <c r="D13" s="410"/>
      <c r="E13" s="410"/>
      <c r="J13" s="410" t="s">
        <v>9</v>
      </c>
      <c r="K13" s="410"/>
      <c r="L13" s="410"/>
    </row>
    <row r="14" spans="1:13" ht="15" thickBot="1" x14ac:dyDescent="0.4">
      <c r="B14" s="190" t="s">
        <v>290</v>
      </c>
      <c r="C14" s="133">
        <v>1</v>
      </c>
      <c r="D14" s="133">
        <v>2</v>
      </c>
      <c r="E14" s="133">
        <v>3</v>
      </c>
      <c r="F14" t="s">
        <v>10</v>
      </c>
      <c r="I14" s="190" t="s">
        <v>290</v>
      </c>
      <c r="J14" s="133">
        <v>1</v>
      </c>
      <c r="K14" s="133">
        <v>2</v>
      </c>
      <c r="L14" s="133">
        <v>3</v>
      </c>
      <c r="M14" t="s">
        <v>10</v>
      </c>
    </row>
    <row r="15" spans="1:13" ht="15" thickBot="1" x14ac:dyDescent="0.4">
      <c r="B15" s="324" t="s">
        <v>291</v>
      </c>
      <c r="C15" s="138"/>
      <c r="D15" s="138"/>
      <c r="E15" s="138"/>
      <c r="F15" s="260" t="str">
        <f>IFERROR(AVERAGE(C15:E15),"")</f>
        <v/>
      </c>
      <c r="I15" s="324" t="s">
        <v>291</v>
      </c>
      <c r="J15" s="138"/>
      <c r="K15" s="138"/>
      <c r="L15" s="138"/>
      <c r="M15" s="260" t="str">
        <f>IFERROR(AVERAGE(J15:L15),"")</f>
        <v/>
      </c>
    </row>
    <row r="16" spans="1:13" ht="15" thickBot="1" x14ac:dyDescent="0.4">
      <c r="B16" s="122" t="s">
        <v>292</v>
      </c>
      <c r="C16" s="138"/>
      <c r="D16" s="138"/>
      <c r="E16" s="138"/>
      <c r="F16" s="260" t="str">
        <f>IFERROR(AVERAGE(C16:E16),"")</f>
        <v/>
      </c>
      <c r="I16" s="122" t="s">
        <v>292</v>
      </c>
      <c r="J16" s="138"/>
      <c r="K16" s="138"/>
      <c r="L16" s="138"/>
      <c r="M16" s="260" t="str">
        <f>IFERROR(AVERAGE(J16:L16),"")</f>
        <v/>
      </c>
    </row>
    <row r="17" spans="2:13" ht="15" thickBot="1" x14ac:dyDescent="0.4">
      <c r="B17" s="122" t="s">
        <v>229</v>
      </c>
      <c r="C17" s="138"/>
      <c r="D17" s="138"/>
      <c r="E17" s="138"/>
      <c r="F17" s="260" t="str">
        <f>IFERROR(AVERAGE(C17:E17),"")</f>
        <v/>
      </c>
      <c r="I17" s="122" t="s">
        <v>229</v>
      </c>
      <c r="J17" s="138"/>
      <c r="K17" s="138"/>
      <c r="L17" s="138"/>
      <c r="M17" s="260" t="str">
        <f>IFERROR(AVERAGE(J17:L17),"")</f>
        <v/>
      </c>
    </row>
    <row r="18" spans="2:13" x14ac:dyDescent="0.35"/>
    <row r="19" spans="2:13" ht="15" thickBot="1" x14ac:dyDescent="0.4"/>
    <row r="20" spans="2:13" ht="16" thickBot="1" x14ac:dyDescent="0.4">
      <c r="B20" s="177" t="s">
        <v>307</v>
      </c>
      <c r="C20" s="175"/>
      <c r="D20" s="159"/>
      <c r="E20" s="159"/>
      <c r="F20" s="160"/>
      <c r="I20" s="177" t="s">
        <v>307</v>
      </c>
      <c r="J20" s="175"/>
      <c r="K20" s="159"/>
      <c r="L20" s="159"/>
      <c r="M20" s="160"/>
    </row>
    <row r="21" spans="2:13" ht="15.5" x14ac:dyDescent="0.35">
      <c r="B21" s="178"/>
      <c r="C21" s="156"/>
      <c r="D21" s="49"/>
      <c r="E21" s="49"/>
      <c r="F21" s="161"/>
      <c r="I21" s="178"/>
      <c r="J21" s="156"/>
      <c r="K21" s="49"/>
      <c r="L21" s="49"/>
      <c r="M21" s="161"/>
    </row>
    <row r="22" spans="2:13" ht="16" thickBot="1" x14ac:dyDescent="0.4">
      <c r="B22" s="178"/>
      <c r="C22" s="167"/>
      <c r="D22" s="157" t="s">
        <v>233</v>
      </c>
      <c r="E22" s="49"/>
      <c r="F22" s="161"/>
      <c r="I22" s="178"/>
      <c r="J22" s="167"/>
      <c r="K22" s="157" t="s">
        <v>233</v>
      </c>
      <c r="L22" s="49"/>
      <c r="M22" s="161"/>
    </row>
    <row r="23" spans="2:13" ht="16" thickBot="1" x14ac:dyDescent="0.4">
      <c r="B23" s="178"/>
      <c r="C23" s="167"/>
      <c r="D23" s="76">
        <v>1</v>
      </c>
      <c r="E23" s="81" t="s">
        <v>152</v>
      </c>
      <c r="F23" s="161"/>
      <c r="I23" s="178"/>
      <c r="J23" s="167"/>
      <c r="K23" s="134">
        <v>1</v>
      </c>
      <c r="L23" s="81" t="s">
        <v>152</v>
      </c>
      <c r="M23" s="161"/>
    </row>
    <row r="24" spans="2:13" ht="16" thickBot="1" x14ac:dyDescent="0.4">
      <c r="B24" s="178"/>
      <c r="C24" s="167"/>
      <c r="D24" s="76">
        <v>2</v>
      </c>
      <c r="E24" s="35"/>
      <c r="F24" s="161"/>
      <c r="I24" s="178"/>
      <c r="J24" s="167"/>
      <c r="K24" s="134">
        <v>2</v>
      </c>
      <c r="L24" s="35"/>
      <c r="M24" s="161"/>
    </row>
    <row r="25" spans="2:13" ht="16" thickBot="1" x14ac:dyDescent="0.4">
      <c r="B25" s="178"/>
      <c r="C25" s="167"/>
      <c r="D25" s="76">
        <v>3</v>
      </c>
      <c r="E25" s="35"/>
      <c r="F25" s="161"/>
      <c r="I25" s="178"/>
      <c r="J25" s="167"/>
      <c r="K25" s="134">
        <v>3</v>
      </c>
      <c r="L25" s="35"/>
      <c r="M25" s="161"/>
    </row>
    <row r="26" spans="2:13" ht="16" thickBot="1" x14ac:dyDescent="0.4">
      <c r="B26" s="178"/>
      <c r="C26" s="167"/>
      <c r="D26" s="76">
        <v>4</v>
      </c>
      <c r="E26" s="35"/>
      <c r="F26" s="161"/>
      <c r="I26" s="178"/>
      <c r="J26" s="167"/>
      <c r="K26" s="134">
        <v>4</v>
      </c>
      <c r="L26" s="35"/>
      <c r="M26" s="161"/>
    </row>
    <row r="27" spans="2:13" ht="16" thickBot="1" x14ac:dyDescent="0.4">
      <c r="B27" s="179"/>
      <c r="C27" s="174"/>
      <c r="D27" s="162"/>
      <c r="E27" s="162"/>
      <c r="F27" s="163"/>
      <c r="I27" s="179"/>
      <c r="J27" s="174"/>
      <c r="K27" s="162"/>
      <c r="L27" s="162"/>
      <c r="M27" s="163"/>
    </row>
    <row r="28" spans="2:13" ht="16" thickBot="1" x14ac:dyDescent="0.4">
      <c r="B28" s="176"/>
      <c r="C28" s="156"/>
      <c r="I28" s="176"/>
      <c r="J28" s="156"/>
    </row>
    <row r="29" spans="2:13" ht="16" thickBot="1" x14ac:dyDescent="0.4">
      <c r="B29" s="180" t="s">
        <v>308</v>
      </c>
      <c r="C29" s="175"/>
      <c r="D29" s="159"/>
      <c r="E29" s="159"/>
      <c r="F29" s="160"/>
      <c r="I29" s="180" t="s">
        <v>308</v>
      </c>
      <c r="J29" s="175"/>
      <c r="K29" s="159"/>
      <c r="L29" s="159"/>
      <c r="M29" s="160"/>
    </row>
    <row r="30" spans="2:13" ht="16" thickBot="1" x14ac:dyDescent="0.4">
      <c r="B30" s="178"/>
      <c r="C30" s="156"/>
      <c r="D30" s="49"/>
      <c r="E30" s="49"/>
      <c r="F30" s="161"/>
      <c r="I30" s="178"/>
      <c r="J30" s="156"/>
      <c r="K30" s="49"/>
      <c r="L30" s="49"/>
      <c r="M30" s="161"/>
    </row>
    <row r="31" spans="2:13" ht="16" thickBot="1" x14ac:dyDescent="0.4">
      <c r="B31" s="178"/>
      <c r="C31" s="167"/>
      <c r="D31" s="142" t="s">
        <v>285</v>
      </c>
      <c r="E31" s="35"/>
      <c r="F31" s="161"/>
      <c r="I31" s="178"/>
      <c r="J31" s="167"/>
      <c r="K31" s="142" t="s">
        <v>285</v>
      </c>
      <c r="L31" s="35"/>
      <c r="M31" s="161"/>
    </row>
    <row r="32" spans="2:13" ht="16" thickBot="1" x14ac:dyDescent="0.4">
      <c r="B32" s="178"/>
      <c r="C32" s="167"/>
      <c r="D32" s="142" t="s">
        <v>207</v>
      </c>
      <c r="E32" s="37"/>
      <c r="F32" s="161"/>
      <c r="I32" s="178"/>
      <c r="J32" s="167"/>
      <c r="K32" s="142" t="s">
        <v>207</v>
      </c>
      <c r="L32" s="37"/>
      <c r="M32" s="161"/>
    </row>
    <row r="33" spans="2:13" ht="16" thickBot="1" x14ac:dyDescent="0.4">
      <c r="B33" s="178"/>
      <c r="C33" s="167"/>
      <c r="D33" s="142" t="s">
        <v>206</v>
      </c>
      <c r="E33" s="37"/>
      <c r="F33" s="161"/>
      <c r="I33" s="178"/>
      <c r="J33" s="167"/>
      <c r="K33" s="142" t="s">
        <v>206</v>
      </c>
      <c r="L33" s="37"/>
      <c r="M33" s="161"/>
    </row>
    <row r="34" spans="2:13" ht="16" thickBot="1" x14ac:dyDescent="0.4">
      <c r="B34" s="179"/>
      <c r="C34" s="174"/>
      <c r="D34" s="162"/>
      <c r="E34" s="162"/>
      <c r="F34" s="163"/>
      <c r="I34" s="179"/>
      <c r="J34" s="174"/>
      <c r="K34" s="162"/>
      <c r="L34" s="162"/>
      <c r="M34" s="163"/>
    </row>
    <row r="35" spans="2:13" ht="16" thickBot="1" x14ac:dyDescent="0.4">
      <c r="B35" s="176"/>
      <c r="C35" s="156"/>
      <c r="I35" s="176"/>
      <c r="J35" s="156"/>
    </row>
    <row r="36" spans="2:13" ht="16" thickBot="1" x14ac:dyDescent="0.4">
      <c r="B36" s="177" t="s">
        <v>309</v>
      </c>
      <c r="C36" s="175"/>
      <c r="D36" s="159"/>
      <c r="E36" s="159"/>
      <c r="F36" s="160"/>
      <c r="I36" s="177" t="s">
        <v>309</v>
      </c>
      <c r="J36" s="175"/>
      <c r="K36" s="159"/>
      <c r="L36" s="159"/>
      <c r="M36" s="160"/>
    </row>
    <row r="37" spans="2:13" ht="16" thickBot="1" x14ac:dyDescent="0.4">
      <c r="B37" s="178"/>
      <c r="C37" s="156"/>
      <c r="D37" s="49"/>
      <c r="E37" s="49"/>
      <c r="F37" s="161"/>
      <c r="I37" s="178"/>
      <c r="J37" s="156"/>
      <c r="K37" s="49"/>
      <c r="L37" s="49"/>
      <c r="M37" s="161"/>
    </row>
    <row r="38" spans="2:13" ht="16" thickBot="1" x14ac:dyDescent="0.4">
      <c r="B38" s="178"/>
      <c r="C38" s="167"/>
      <c r="D38" s="142" t="s">
        <v>285</v>
      </c>
      <c r="E38" s="35"/>
      <c r="F38" s="161"/>
      <c r="I38" s="178"/>
      <c r="J38" s="167"/>
      <c r="K38" s="142" t="s">
        <v>285</v>
      </c>
      <c r="L38" s="35"/>
      <c r="M38" s="161"/>
    </row>
    <row r="39" spans="2:13" ht="16" thickBot="1" x14ac:dyDescent="0.4">
      <c r="B39" s="178"/>
      <c r="C39" s="167"/>
      <c r="D39" s="142" t="s">
        <v>211</v>
      </c>
      <c r="E39" s="37"/>
      <c r="F39" s="161"/>
      <c r="I39" s="178"/>
      <c r="J39" s="167"/>
      <c r="K39" s="142" t="s">
        <v>211</v>
      </c>
      <c r="L39" s="37"/>
      <c r="M39" s="161"/>
    </row>
    <row r="40" spans="2:13" ht="16" thickBot="1" x14ac:dyDescent="0.4">
      <c r="B40" s="178"/>
      <c r="C40" s="167"/>
      <c r="D40" s="142" t="s">
        <v>212</v>
      </c>
      <c r="E40" s="37"/>
      <c r="F40" s="161"/>
      <c r="I40" s="178"/>
      <c r="J40" s="167"/>
      <c r="K40" s="142" t="s">
        <v>212</v>
      </c>
      <c r="L40" s="37"/>
      <c r="M40" s="161"/>
    </row>
    <row r="41" spans="2:13" ht="16" thickBot="1" x14ac:dyDescent="0.4">
      <c r="B41" s="179"/>
      <c r="C41" s="174"/>
      <c r="D41" s="162"/>
      <c r="E41" s="162"/>
      <c r="F41" s="163"/>
      <c r="I41" s="179"/>
      <c r="J41" s="174"/>
      <c r="K41" s="162"/>
      <c r="L41" s="162"/>
      <c r="M41" s="163"/>
    </row>
    <row r="42" spans="2:13" ht="16" thickBot="1" x14ac:dyDescent="0.4">
      <c r="B42" s="176"/>
      <c r="C42" s="156"/>
      <c r="I42" s="176"/>
      <c r="J42" s="156"/>
    </row>
    <row r="43" spans="2:13" ht="16" thickBot="1" x14ac:dyDescent="0.4">
      <c r="B43" s="177" t="s">
        <v>310</v>
      </c>
      <c r="C43" s="175"/>
      <c r="D43" s="159"/>
      <c r="E43" s="159"/>
      <c r="F43" s="160"/>
      <c r="I43" s="177" t="s">
        <v>310</v>
      </c>
      <c r="J43" s="175"/>
      <c r="K43" s="159"/>
      <c r="L43" s="159"/>
      <c r="M43" s="160"/>
    </row>
    <row r="44" spans="2:13" ht="16" thickBot="1" x14ac:dyDescent="0.4">
      <c r="B44" s="178"/>
      <c r="C44" s="156"/>
      <c r="D44" s="49"/>
      <c r="E44" s="49"/>
      <c r="F44" s="161"/>
      <c r="I44" s="178"/>
      <c r="J44" s="156"/>
      <c r="K44" s="49"/>
      <c r="L44" s="49"/>
      <c r="M44" s="161"/>
    </row>
    <row r="45" spans="2:13" ht="16" thickBot="1" x14ac:dyDescent="0.4">
      <c r="B45" s="178"/>
      <c r="C45" s="167"/>
      <c r="D45" s="142" t="s">
        <v>285</v>
      </c>
      <c r="E45" s="44"/>
      <c r="F45" s="161"/>
      <c r="I45" s="178"/>
      <c r="J45" s="167"/>
      <c r="K45" s="142" t="s">
        <v>285</v>
      </c>
      <c r="L45" s="44"/>
      <c r="M45" s="161"/>
    </row>
    <row r="46" spans="2:13" ht="16" thickBot="1" x14ac:dyDescent="0.4">
      <c r="B46" s="178"/>
      <c r="C46" s="167"/>
      <c r="D46" s="142" t="s">
        <v>213</v>
      </c>
      <c r="E46" s="37"/>
      <c r="F46" s="161"/>
      <c r="I46" s="178"/>
      <c r="J46" s="167"/>
      <c r="K46" s="142" t="s">
        <v>213</v>
      </c>
      <c r="L46" s="37"/>
      <c r="M46" s="161"/>
    </row>
    <row r="47" spans="2:13" ht="16" thickBot="1" x14ac:dyDescent="0.4">
      <c r="B47" s="178"/>
      <c r="C47" s="167"/>
      <c r="D47" s="142" t="s">
        <v>214</v>
      </c>
      <c r="E47" s="37"/>
      <c r="F47" s="161"/>
      <c r="I47" s="178"/>
      <c r="J47" s="167"/>
      <c r="K47" s="142" t="s">
        <v>214</v>
      </c>
      <c r="L47" s="37"/>
      <c r="M47" s="161"/>
    </row>
    <row r="48" spans="2:13" ht="16" thickBot="1" x14ac:dyDescent="0.4">
      <c r="B48" s="179"/>
      <c r="C48" s="174"/>
      <c r="D48" s="162"/>
      <c r="E48" s="162"/>
      <c r="F48" s="163"/>
      <c r="I48" s="179"/>
      <c r="J48" s="174"/>
      <c r="K48" s="162"/>
      <c r="L48" s="162"/>
      <c r="M48" s="163"/>
    </row>
    <row r="49" x14ac:dyDescent="0.35"/>
    <row r="50" x14ac:dyDescent="0.35"/>
    <row r="51" x14ac:dyDescent="0.35"/>
  </sheetData>
  <mergeCells count="2">
    <mergeCell ref="C13:E13"/>
    <mergeCell ref="J13:L13"/>
  </mergeCells>
  <dataValidations count="3">
    <dataValidation allowBlank="1" showInputMessage="1" showErrorMessage="1" promptTitle="Inedible Loss" prompt="Crop that is damaged, diseased, showing signs of decay, or over mature" sqref="B17 I17" xr:uid="{38433A57-E8CD-3D47-9BF9-1E1A7BD46D92}"/>
    <dataValidation allowBlank="1" showInputMessage="1" showErrorMessage="1" promptTitle="Edible, Not Marketable Loss" prompt="Crop left in-field that does not meet buyers' current quality specifications but is still considered edible for human consumption." sqref="B16 I16" xr:uid="{D81CA4D0-DFD9-0A44-8125-F283B7DB363E}"/>
    <dataValidation allowBlank="1" showInputMessage="1" showErrorMessage="1" promptTitle="Marketable Loss" prompt="Crop loss that meets buyers’ current quality specifications." sqref="B15 I15" xr:uid="{6936B9C2-EF69-A145-BBD2-7CBC07D112BE}"/>
  </dataValidations>
  <pageMargins left="0.7" right="0.7" top="0.75" bottom="0.75" header="0.3" footer="0.3"/>
  <pageSetup paperSize="9" orientation="landscape" horizontalDpi="0" verticalDpi="0"/>
  <extLst>
    <ext xmlns:x14="http://schemas.microsoft.com/office/spreadsheetml/2009/9/main" uri="{CCE6A557-97BC-4b89-ADB6-D9C93CAAB3DF}">
      <x14:dataValidations xmlns:xm="http://schemas.microsoft.com/office/excel/2006/main" count="2">
        <x14:dataValidation type="list" allowBlank="1" showInputMessage="1" showErrorMessage="1" xr:uid="{E01EE520-AD4B-154C-A31C-BD956FEE42BF}">
          <x14:formula1>
            <xm:f>Lists!$O$12:$O$13</xm:f>
          </x14:formula1>
          <xm:sqref>E38 E31 E45 L31 L38 L45</xm:sqref>
        </x14:dataValidation>
        <x14:dataValidation type="list" allowBlank="1" showInputMessage="1" showErrorMessage="1" xr:uid="{E64A7409-6F52-4248-A776-8D11DB8D0D46}">
          <x14:formula1>
            <xm:f>Lists!$O$17:$O$19</xm:f>
          </x14:formula1>
          <xm:sqref>E24:E26 L24:L26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425FF-7736-AB49-AB05-1C3820329092}">
  <dimension ref="A1:S73"/>
  <sheetViews>
    <sheetView showGridLines="0" showRowColHeaders="0" zoomScale="120" zoomScaleNormal="120" workbookViewId="0">
      <pane xSplit="1" ySplit="1" topLeftCell="B2" activePane="bottomRight" state="frozen"/>
      <selection pane="topRight" activeCell="B1" sqref="B1"/>
      <selection pane="bottomLeft" activeCell="A2" sqref="A2"/>
      <selection pane="bottomRight" activeCell="C1" sqref="C1:I1"/>
    </sheetView>
  </sheetViews>
  <sheetFormatPr defaultColWidth="0" defaultRowHeight="14.5" zeroHeight="1" x14ac:dyDescent="0.35"/>
  <cols>
    <col min="1" max="1" width="16.1796875" style="132" customWidth="1"/>
    <col min="2" max="2" width="10.81640625" customWidth="1"/>
    <col min="3" max="3" width="26.81640625" customWidth="1"/>
    <col min="4" max="11" width="10.81640625" customWidth="1"/>
    <col min="12" max="12" width="26.81640625" customWidth="1"/>
    <col min="13" max="19" width="10.81640625" customWidth="1"/>
    <col min="20" max="16384" width="10.81640625" hidden="1"/>
  </cols>
  <sheetData>
    <row r="1" spans="1:19" x14ac:dyDescent="0.35">
      <c r="C1" s="413" t="str">
        <f>_xlfn.CONCAT('Add''l Harvest Data'!D5," ",'Add''l Harvest Data'!D6)</f>
        <v xml:space="preserve"> </v>
      </c>
      <c r="D1" s="413"/>
      <c r="E1" s="413"/>
      <c r="F1" s="413"/>
      <c r="G1" s="413"/>
      <c r="H1" s="413"/>
      <c r="I1" s="413"/>
      <c r="L1" s="413" t="str">
        <f>_xlfn.CONCAT('Add''l Harvest Data'!I5," ",'Add''l Harvest Data'!I6)</f>
        <v xml:space="preserve"> </v>
      </c>
      <c r="M1" s="413"/>
      <c r="N1" s="413"/>
      <c r="O1" s="413"/>
      <c r="P1" s="413"/>
      <c r="Q1" s="413"/>
      <c r="R1" s="413"/>
    </row>
    <row r="2" spans="1:19" x14ac:dyDescent="0.35">
      <c r="A2" s="283" t="s">
        <v>311</v>
      </c>
      <c r="B2" s="283"/>
      <c r="C2" s="283"/>
      <c r="D2" s="283"/>
      <c r="E2" s="283"/>
      <c r="F2" s="283"/>
      <c r="G2" s="283"/>
      <c r="H2" s="283"/>
      <c r="I2" s="283"/>
      <c r="J2" s="283"/>
      <c r="K2" s="283"/>
      <c r="L2" s="283"/>
      <c r="M2" s="283"/>
      <c r="N2" s="283"/>
      <c r="O2" s="283"/>
      <c r="P2" s="283"/>
      <c r="Q2" s="283"/>
      <c r="R2" s="283"/>
      <c r="S2" s="283"/>
    </row>
    <row r="3" spans="1:19" x14ac:dyDescent="0.35">
      <c r="B3" s="132" t="s">
        <v>128</v>
      </c>
    </row>
    <row r="4" spans="1:19" ht="15" thickBot="1" x14ac:dyDescent="0.4">
      <c r="D4" s="7" t="s">
        <v>297</v>
      </c>
      <c r="E4" s="7" t="s">
        <v>298</v>
      </c>
      <c r="F4" s="7" t="s">
        <v>299</v>
      </c>
      <c r="G4" s="292" t="s">
        <v>378</v>
      </c>
      <c r="M4" s="7" t="s">
        <v>297</v>
      </c>
      <c r="N4" s="7" t="s">
        <v>298</v>
      </c>
      <c r="O4" s="7" t="s">
        <v>299</v>
      </c>
      <c r="P4" s="292" t="s">
        <v>378</v>
      </c>
    </row>
    <row r="5" spans="1:19" ht="29" x14ac:dyDescent="0.35">
      <c r="C5" s="140" t="s">
        <v>295</v>
      </c>
      <c r="D5" s="281"/>
      <c r="E5" s="281"/>
      <c r="F5" s="281"/>
      <c r="G5" s="411"/>
      <c r="H5" s="412"/>
      <c r="I5" s="412"/>
      <c r="L5" s="140" t="s">
        <v>295</v>
      </c>
      <c r="M5" s="281" t="s">
        <v>363</v>
      </c>
      <c r="N5" s="281"/>
      <c r="O5" s="281"/>
      <c r="P5" s="414"/>
      <c r="Q5" s="415"/>
      <c r="R5" s="415"/>
    </row>
    <row r="6" spans="1:19" x14ac:dyDescent="0.35">
      <c r="C6" s="140" t="s">
        <v>296</v>
      </c>
      <c r="D6" s="282"/>
      <c r="E6" s="282"/>
      <c r="F6" s="282"/>
      <c r="L6" s="140" t="s">
        <v>296</v>
      </c>
      <c r="M6" s="282"/>
      <c r="N6" s="282"/>
      <c r="O6" s="282"/>
    </row>
    <row r="7" spans="1:19" x14ac:dyDescent="0.35">
      <c r="B7" s="18"/>
    </row>
    <row r="8" spans="1:19" x14ac:dyDescent="0.35">
      <c r="B8" s="18"/>
    </row>
    <row r="9" spans="1:19" x14ac:dyDescent="0.35">
      <c r="B9" s="18"/>
    </row>
    <row r="10" spans="1:19" ht="15" thickBot="1" x14ac:dyDescent="0.4">
      <c r="B10" s="132" t="s">
        <v>14</v>
      </c>
      <c r="C10" s="18"/>
      <c r="D10" s="131" t="s">
        <v>300</v>
      </c>
      <c r="E10" s="131" t="s">
        <v>301</v>
      </c>
      <c r="F10" s="131" t="s">
        <v>302</v>
      </c>
      <c r="M10" s="131" t="s">
        <v>300</v>
      </c>
      <c r="N10" s="131" t="s">
        <v>301</v>
      </c>
      <c r="O10" s="131" t="s">
        <v>302</v>
      </c>
    </row>
    <row r="11" spans="1:19" x14ac:dyDescent="0.35">
      <c r="C11" s="18" t="s">
        <v>293</v>
      </c>
      <c r="D11" s="281"/>
      <c r="E11" s="281"/>
      <c r="F11" s="281"/>
      <c r="L11" s="18" t="s">
        <v>293</v>
      </c>
      <c r="M11" s="281"/>
      <c r="N11" s="281"/>
      <c r="O11" s="281"/>
    </row>
    <row r="12" spans="1:19" x14ac:dyDescent="0.35">
      <c r="C12" s="18" t="s">
        <v>294</v>
      </c>
      <c r="D12" s="282"/>
      <c r="E12" s="282"/>
      <c r="F12" s="282"/>
      <c r="L12" s="18" t="s">
        <v>294</v>
      </c>
      <c r="M12" s="282"/>
      <c r="N12" s="282"/>
      <c r="O12" s="282"/>
    </row>
    <row r="13" spans="1:19" x14ac:dyDescent="0.35"/>
    <row r="14" spans="1:19" x14ac:dyDescent="0.35"/>
    <row r="15" spans="1:19" ht="15" thickBot="1" x14ac:dyDescent="0.4">
      <c r="B15" s="41" t="s">
        <v>247</v>
      </c>
    </row>
    <row r="16" spans="1:19" ht="29" x14ac:dyDescent="0.35">
      <c r="C16" s="144" t="s">
        <v>247</v>
      </c>
      <c r="D16" s="193"/>
      <c r="L16" s="144" t="s">
        <v>247</v>
      </c>
      <c r="M16" s="193"/>
    </row>
    <row r="17" spans="1:19" x14ac:dyDescent="0.35"/>
    <row r="18" spans="1:19" x14ac:dyDescent="0.35"/>
    <row r="19" spans="1:19" x14ac:dyDescent="0.35">
      <c r="A19" s="283" t="s">
        <v>147</v>
      </c>
      <c r="B19" s="283"/>
      <c r="C19" s="283"/>
      <c r="D19" s="283"/>
      <c r="E19" s="283"/>
      <c r="F19" s="283"/>
      <c r="G19" s="283"/>
      <c r="H19" s="283"/>
      <c r="I19" s="283"/>
      <c r="J19" s="283"/>
      <c r="K19" s="283"/>
      <c r="L19" s="283"/>
      <c r="M19" s="283"/>
      <c r="N19" s="283"/>
      <c r="O19" s="283"/>
      <c r="P19" s="283"/>
      <c r="Q19" s="283"/>
      <c r="R19" s="283"/>
      <c r="S19" s="283"/>
    </row>
    <row r="20" spans="1:19" x14ac:dyDescent="0.35">
      <c r="B20" s="108" t="s">
        <v>128</v>
      </c>
    </row>
    <row r="21" spans="1:19" ht="15" thickBot="1" x14ac:dyDescent="0.4">
      <c r="B21" s="49"/>
      <c r="D21" s="7" t="s">
        <v>297</v>
      </c>
      <c r="E21" s="7" t="s">
        <v>298</v>
      </c>
      <c r="F21" s="7" t="s">
        <v>299</v>
      </c>
      <c r="G21" s="292" t="s">
        <v>378</v>
      </c>
      <c r="M21" s="7" t="s">
        <v>297</v>
      </c>
      <c r="N21" s="7" t="s">
        <v>298</v>
      </c>
      <c r="O21" s="7" t="s">
        <v>299</v>
      </c>
      <c r="P21" s="292" t="s">
        <v>378</v>
      </c>
    </row>
    <row r="22" spans="1:19" x14ac:dyDescent="0.35">
      <c r="B22" s="49"/>
      <c r="C22" s="18" t="s">
        <v>304</v>
      </c>
      <c r="D22" s="281"/>
      <c r="E22" s="281"/>
      <c r="F22" s="281"/>
      <c r="G22" s="411"/>
      <c r="H22" s="412"/>
      <c r="I22" s="412"/>
      <c r="L22" s="18" t="s">
        <v>304</v>
      </c>
      <c r="M22" s="281"/>
      <c r="N22" s="281"/>
      <c r="O22" s="281"/>
      <c r="P22" s="411"/>
      <c r="Q22" s="412"/>
      <c r="R22" s="412"/>
    </row>
    <row r="23" spans="1:19" x14ac:dyDescent="0.35">
      <c r="B23" s="49"/>
      <c r="C23" s="18" t="s">
        <v>296</v>
      </c>
      <c r="D23" s="282"/>
      <c r="E23" s="282"/>
      <c r="F23" s="282"/>
      <c r="L23" s="18" t="s">
        <v>296</v>
      </c>
      <c r="M23" s="282"/>
      <c r="N23" s="282"/>
      <c r="O23" s="282"/>
    </row>
    <row r="24" spans="1:19" x14ac:dyDescent="0.35">
      <c r="B24" s="122"/>
    </row>
    <row r="25" spans="1:19" x14ac:dyDescent="0.35">
      <c r="B25" s="122"/>
    </row>
    <row r="26" spans="1:19" x14ac:dyDescent="0.35">
      <c r="B26" s="108" t="s">
        <v>14</v>
      </c>
    </row>
    <row r="27" spans="1:19" ht="15" thickBot="1" x14ac:dyDescent="0.4">
      <c r="B27" s="49"/>
      <c r="D27" s="131" t="s">
        <v>300</v>
      </c>
      <c r="E27" s="131" t="s">
        <v>301</v>
      </c>
      <c r="F27" s="131" t="s">
        <v>302</v>
      </c>
      <c r="M27" s="131" t="s">
        <v>300</v>
      </c>
      <c r="N27" s="131" t="s">
        <v>301</v>
      </c>
      <c r="O27" s="131" t="s">
        <v>302</v>
      </c>
    </row>
    <row r="28" spans="1:19" x14ac:dyDescent="0.35">
      <c r="B28" s="49"/>
      <c r="C28" s="18" t="s">
        <v>293</v>
      </c>
      <c r="D28" s="281"/>
      <c r="E28" s="281"/>
      <c r="F28" s="281"/>
      <c r="L28" s="18" t="s">
        <v>293</v>
      </c>
      <c r="M28" s="281"/>
      <c r="N28" s="281"/>
      <c r="O28" s="281"/>
    </row>
    <row r="29" spans="1:19" x14ac:dyDescent="0.35">
      <c r="B29" s="49"/>
      <c r="C29" s="18" t="s">
        <v>294</v>
      </c>
      <c r="D29" s="282"/>
      <c r="E29" s="282"/>
      <c r="F29" s="282"/>
      <c r="L29" s="18" t="s">
        <v>294</v>
      </c>
      <c r="M29" s="282"/>
      <c r="N29" s="282"/>
      <c r="O29" s="282"/>
    </row>
    <row r="30" spans="1:19" x14ac:dyDescent="0.35">
      <c r="B30" s="49"/>
    </row>
    <row r="31" spans="1:19" x14ac:dyDescent="0.35">
      <c r="B31" s="49"/>
    </row>
    <row r="32" spans="1:19" ht="15" thickBot="1" x14ac:dyDescent="0.4">
      <c r="B32" s="108" t="s">
        <v>305</v>
      </c>
    </row>
    <row r="33" spans="1:19" ht="43.5" x14ac:dyDescent="0.35">
      <c r="B33" s="108"/>
      <c r="C33" s="144" t="s">
        <v>238</v>
      </c>
      <c r="D33" s="209"/>
      <c r="L33" s="144" t="s">
        <v>238</v>
      </c>
      <c r="M33" s="209"/>
    </row>
    <row r="34" spans="1:19" ht="43.5" x14ac:dyDescent="0.35">
      <c r="B34" s="49"/>
      <c r="C34" s="144" t="s">
        <v>239</v>
      </c>
      <c r="D34" s="208"/>
      <c r="L34" s="144" t="s">
        <v>239</v>
      </c>
      <c r="M34" s="195"/>
    </row>
    <row r="35" spans="1:19" x14ac:dyDescent="0.35"/>
    <row r="36" spans="1:19" x14ac:dyDescent="0.35"/>
    <row r="37" spans="1:19" x14ac:dyDescent="0.35"/>
    <row r="38" spans="1:19" x14ac:dyDescent="0.35">
      <c r="A38" s="283" t="s">
        <v>148</v>
      </c>
      <c r="B38" s="283"/>
      <c r="C38" s="283"/>
      <c r="D38" s="283"/>
      <c r="E38" s="283"/>
      <c r="F38" s="283"/>
      <c r="G38" s="283"/>
      <c r="H38" s="283"/>
      <c r="I38" s="283"/>
      <c r="J38" s="283"/>
      <c r="K38" s="283"/>
      <c r="L38" s="283"/>
      <c r="M38" s="283"/>
      <c r="N38" s="283"/>
      <c r="O38" s="283"/>
      <c r="P38" s="283"/>
      <c r="Q38" s="283"/>
      <c r="R38" s="283"/>
      <c r="S38" s="283"/>
    </row>
    <row r="39" spans="1:19" x14ac:dyDescent="0.35">
      <c r="B39" s="108" t="s">
        <v>128</v>
      </c>
    </row>
    <row r="40" spans="1:19" ht="15" thickBot="1" x14ac:dyDescent="0.4">
      <c r="B40" s="49"/>
      <c r="D40" s="7" t="s">
        <v>297</v>
      </c>
      <c r="E40" s="7" t="s">
        <v>298</v>
      </c>
      <c r="F40" s="7" t="s">
        <v>299</v>
      </c>
      <c r="G40" s="292" t="s">
        <v>378</v>
      </c>
      <c r="M40" s="7" t="s">
        <v>297</v>
      </c>
      <c r="N40" s="7" t="s">
        <v>298</v>
      </c>
      <c r="O40" s="7" t="s">
        <v>299</v>
      </c>
      <c r="P40" s="292" t="s">
        <v>378</v>
      </c>
    </row>
    <row r="41" spans="1:19" x14ac:dyDescent="0.35">
      <c r="B41" s="49"/>
      <c r="C41" s="18" t="s">
        <v>304</v>
      </c>
      <c r="D41" s="281"/>
      <c r="E41" s="281"/>
      <c r="F41" s="281"/>
      <c r="G41" s="411"/>
      <c r="H41" s="412"/>
      <c r="I41" s="412"/>
      <c r="L41" s="18" t="s">
        <v>304</v>
      </c>
      <c r="M41" s="281"/>
      <c r="N41" s="281"/>
      <c r="O41" s="281"/>
      <c r="P41" s="411"/>
      <c r="Q41" s="412"/>
      <c r="R41" s="412"/>
    </row>
    <row r="42" spans="1:19" x14ac:dyDescent="0.35">
      <c r="B42" s="49"/>
      <c r="C42" s="18" t="s">
        <v>296</v>
      </c>
      <c r="D42" s="282"/>
      <c r="E42" s="282"/>
      <c r="F42" s="282"/>
      <c r="L42" s="18" t="s">
        <v>296</v>
      </c>
      <c r="M42" s="282"/>
      <c r="N42" s="282"/>
      <c r="O42" s="282"/>
    </row>
    <row r="43" spans="1:19" x14ac:dyDescent="0.35">
      <c r="B43" s="122"/>
    </row>
    <row r="44" spans="1:19" x14ac:dyDescent="0.35">
      <c r="B44" s="122"/>
    </row>
    <row r="45" spans="1:19" x14ac:dyDescent="0.35">
      <c r="B45" s="108" t="s">
        <v>14</v>
      </c>
    </row>
    <row r="46" spans="1:19" ht="15" thickBot="1" x14ac:dyDescent="0.4">
      <c r="B46" s="49"/>
      <c r="D46" s="131" t="s">
        <v>300</v>
      </c>
      <c r="E46" s="131" t="s">
        <v>301</v>
      </c>
      <c r="F46" s="131" t="s">
        <v>302</v>
      </c>
      <c r="M46" s="131" t="s">
        <v>300</v>
      </c>
      <c r="N46" s="131" t="s">
        <v>301</v>
      </c>
      <c r="O46" s="131" t="s">
        <v>302</v>
      </c>
    </row>
    <row r="47" spans="1:19" x14ac:dyDescent="0.35">
      <c r="B47" s="49"/>
      <c r="C47" s="18" t="s">
        <v>293</v>
      </c>
      <c r="D47" s="281"/>
      <c r="E47" s="281"/>
      <c r="F47" s="281"/>
      <c r="L47" s="18" t="s">
        <v>293</v>
      </c>
      <c r="M47" s="281"/>
      <c r="N47" s="281"/>
      <c r="O47" s="281"/>
    </row>
    <row r="48" spans="1:19" x14ac:dyDescent="0.35">
      <c r="B48" s="49"/>
      <c r="C48" s="18" t="s">
        <v>294</v>
      </c>
      <c r="D48" s="282"/>
      <c r="E48" s="282"/>
      <c r="F48" s="282"/>
      <c r="L48" s="18" t="s">
        <v>294</v>
      </c>
      <c r="M48" s="282"/>
      <c r="N48" s="282"/>
      <c r="O48" s="282"/>
    </row>
    <row r="49" spans="1:19" x14ac:dyDescent="0.35">
      <c r="B49" s="49"/>
    </row>
    <row r="50" spans="1:19" x14ac:dyDescent="0.35">
      <c r="B50" s="49"/>
    </row>
    <row r="51" spans="1:19" ht="15" thickBot="1" x14ac:dyDescent="0.4">
      <c r="B51" s="108" t="s">
        <v>305</v>
      </c>
    </row>
    <row r="52" spans="1:19" ht="43.5" x14ac:dyDescent="0.35">
      <c r="B52" s="49"/>
      <c r="C52" s="144" t="s">
        <v>238</v>
      </c>
      <c r="D52" s="196"/>
      <c r="L52" s="144" t="s">
        <v>238</v>
      </c>
      <c r="M52" s="196"/>
    </row>
    <row r="53" spans="1:19" ht="43.5" x14ac:dyDescent="0.35">
      <c r="B53" s="49"/>
      <c r="C53" s="144" t="s">
        <v>239</v>
      </c>
      <c r="D53" s="197"/>
      <c r="L53" s="144" t="s">
        <v>239</v>
      </c>
      <c r="M53" s="197"/>
    </row>
    <row r="54" spans="1:19" x14ac:dyDescent="0.35"/>
    <row r="55" spans="1:19" x14ac:dyDescent="0.35"/>
    <row r="56" spans="1:19" x14ac:dyDescent="0.35">
      <c r="A56" s="283" t="s">
        <v>149</v>
      </c>
      <c r="B56" s="283"/>
      <c r="C56" s="283"/>
      <c r="D56" s="283"/>
      <c r="E56" s="283"/>
      <c r="F56" s="283"/>
      <c r="G56" s="283"/>
      <c r="H56" s="283"/>
      <c r="I56" s="283"/>
      <c r="J56" s="283"/>
      <c r="K56" s="283"/>
      <c r="L56" s="283"/>
      <c r="M56" s="283"/>
      <c r="N56" s="283"/>
      <c r="O56" s="283"/>
      <c r="P56" s="283"/>
      <c r="Q56" s="283"/>
      <c r="R56" s="283"/>
      <c r="S56" s="283"/>
    </row>
    <row r="57" spans="1:19" x14ac:dyDescent="0.35">
      <c r="B57" s="108" t="s">
        <v>128</v>
      </c>
    </row>
    <row r="58" spans="1:19" ht="15" thickBot="1" x14ac:dyDescent="0.4">
      <c r="B58" s="49"/>
      <c r="D58" s="7" t="s">
        <v>297</v>
      </c>
      <c r="E58" s="7" t="s">
        <v>298</v>
      </c>
      <c r="F58" s="7" t="s">
        <v>299</v>
      </c>
      <c r="G58" s="292" t="s">
        <v>378</v>
      </c>
      <c r="M58" s="7" t="s">
        <v>297</v>
      </c>
      <c r="N58" s="7" t="s">
        <v>298</v>
      </c>
      <c r="O58" s="7" t="s">
        <v>299</v>
      </c>
      <c r="P58" s="292" t="s">
        <v>378</v>
      </c>
    </row>
    <row r="59" spans="1:19" x14ac:dyDescent="0.35">
      <c r="B59" s="49"/>
      <c r="C59" s="18" t="s">
        <v>304</v>
      </c>
      <c r="D59" s="281"/>
      <c r="E59" s="281"/>
      <c r="F59" s="281"/>
      <c r="G59" s="411"/>
      <c r="H59" s="412"/>
      <c r="I59" s="412"/>
      <c r="L59" s="18" t="s">
        <v>304</v>
      </c>
      <c r="M59" s="281"/>
      <c r="N59" s="281"/>
      <c r="O59" s="281"/>
      <c r="P59" s="411"/>
      <c r="Q59" s="412"/>
      <c r="R59" s="412"/>
    </row>
    <row r="60" spans="1:19" x14ac:dyDescent="0.35">
      <c r="B60" s="49"/>
      <c r="C60" s="18" t="s">
        <v>296</v>
      </c>
      <c r="D60" s="282"/>
      <c r="E60" s="282"/>
      <c r="F60" s="282"/>
      <c r="L60" s="18" t="s">
        <v>296</v>
      </c>
      <c r="M60" s="282"/>
      <c r="N60" s="282"/>
      <c r="O60" s="282"/>
    </row>
    <row r="61" spans="1:19" x14ac:dyDescent="0.35">
      <c r="B61" s="122"/>
    </row>
    <row r="62" spans="1:19" x14ac:dyDescent="0.35">
      <c r="B62" s="122"/>
    </row>
    <row r="63" spans="1:19" x14ac:dyDescent="0.35">
      <c r="B63" s="108" t="s">
        <v>14</v>
      </c>
    </row>
    <row r="64" spans="1:19" ht="15" thickBot="1" x14ac:dyDescent="0.4">
      <c r="B64" s="49"/>
      <c r="D64" s="131" t="s">
        <v>300</v>
      </c>
      <c r="E64" s="131" t="s">
        <v>301</v>
      </c>
      <c r="F64" s="131" t="s">
        <v>302</v>
      </c>
      <c r="M64" s="131" t="s">
        <v>300</v>
      </c>
      <c r="N64" s="131" t="s">
        <v>301</v>
      </c>
      <c r="O64" s="131" t="s">
        <v>302</v>
      </c>
    </row>
    <row r="65" spans="2:15" x14ac:dyDescent="0.35">
      <c r="B65" s="49"/>
      <c r="C65" s="18" t="s">
        <v>293</v>
      </c>
      <c r="D65" s="281"/>
      <c r="E65" s="281"/>
      <c r="F65" s="281"/>
      <c r="L65" s="18" t="s">
        <v>293</v>
      </c>
      <c r="M65" s="281"/>
      <c r="N65" s="281"/>
      <c r="O65" s="281"/>
    </row>
    <row r="66" spans="2:15" x14ac:dyDescent="0.35">
      <c r="B66" s="49"/>
      <c r="C66" s="18" t="s">
        <v>294</v>
      </c>
      <c r="D66" s="282"/>
      <c r="E66" s="282"/>
      <c r="F66" s="282"/>
      <c r="L66" s="18" t="s">
        <v>294</v>
      </c>
      <c r="M66" s="282"/>
      <c r="N66" s="282"/>
      <c r="O66" s="282"/>
    </row>
    <row r="67" spans="2:15" x14ac:dyDescent="0.35">
      <c r="B67" s="49"/>
    </row>
    <row r="68" spans="2:15" x14ac:dyDescent="0.35">
      <c r="B68" s="49"/>
    </row>
    <row r="69" spans="2:15" ht="15" thickBot="1" x14ac:dyDescent="0.4">
      <c r="B69" s="108" t="s">
        <v>305</v>
      </c>
    </row>
    <row r="70" spans="2:15" ht="43.5" x14ac:dyDescent="0.35">
      <c r="B70" s="49"/>
      <c r="C70" s="144" t="s">
        <v>238</v>
      </c>
      <c r="D70" s="196"/>
      <c r="L70" s="144" t="s">
        <v>238</v>
      </c>
      <c r="M70" s="196"/>
    </row>
    <row r="71" spans="2:15" ht="43.5" x14ac:dyDescent="0.35">
      <c r="B71" s="49"/>
      <c r="C71" s="144" t="s">
        <v>239</v>
      </c>
      <c r="D71" s="197"/>
      <c r="L71" s="144" t="s">
        <v>239</v>
      </c>
      <c r="M71" s="197"/>
    </row>
    <row r="72" spans="2:15" x14ac:dyDescent="0.35"/>
    <row r="73" spans="2:15" x14ac:dyDescent="0.35"/>
  </sheetData>
  <mergeCells count="10">
    <mergeCell ref="G41:I41"/>
    <mergeCell ref="P41:R41"/>
    <mergeCell ref="G59:I59"/>
    <mergeCell ref="P59:R59"/>
    <mergeCell ref="C1:I1"/>
    <mergeCell ref="L1:R1"/>
    <mergeCell ref="G5:I5"/>
    <mergeCell ref="P5:R5"/>
    <mergeCell ref="G22:I22"/>
    <mergeCell ref="P22:R22"/>
  </mergeCells>
  <dataValidations count="6">
    <dataValidation allowBlank="1" showInputMessage="1" showErrorMessage="1" promptTitle="Moisture Content %" prompt="The amount of water in the product often reported as a percentage." sqref="B15 C16 L16" xr:uid="{48F15715-0230-E342-9508-4E2333DCB41E}"/>
    <dataValidation allowBlank="1" showErrorMessage="1" promptTitle="Acres Planted" prompt="Total amount (in acres) of managed area out into production for crop(s) of interest" sqref="B26 B45 B63 B10" xr:uid="{55FB55BD-F761-DD48-8925-CB6D3E2D21E0}"/>
    <dataValidation type="list" allowBlank="1" showInputMessage="1" showErrorMessage="1" sqref="D5:E5 M5:O5" xr:uid="{54B0FA39-558B-DE4C-AE1A-B1C4F7E40E14}">
      <formula1>In_Field_Loss</formula1>
    </dataValidation>
    <dataValidation type="list" allowBlank="1" showInputMessage="1" showErrorMessage="1" sqref="D22:F22 M22:O22" xr:uid="{10CCF12C-3772-45EB-8A22-DD1303B98D94}">
      <formula1>Packinghouse_Loss</formula1>
    </dataValidation>
    <dataValidation type="list" allowBlank="1" showInputMessage="1" showErrorMessage="1" sqref="D41:F41 M41:O41" xr:uid="{1A3D94F0-3443-994E-B34A-F574F4E42049}">
      <formula1>Processing_Loss</formula1>
    </dataValidation>
    <dataValidation type="list" allowBlank="1" showInputMessage="1" showErrorMessage="1" sqref="D59:F59 M59:O59" xr:uid="{EE7C7EF9-1521-6D45-A98E-C12B5842FF7C}">
      <formula1>Storage_Loss</formula1>
    </dataValidation>
  </dataValidations>
  <pageMargins left="0.7" right="0.7" top="0.75" bottom="0.75" header="0.3" footer="0.3"/>
  <pageSetup paperSize="9" orientation="landscape" horizontalDpi="0" verticalDpi="0"/>
  <extLst>
    <ext xmlns:x14="http://schemas.microsoft.com/office/spreadsheetml/2009/9/main" uri="{CCE6A557-97BC-4b89-ADB6-D9C93CAAB3DF}">
      <x14:dataValidations xmlns:xm="http://schemas.microsoft.com/office/excel/2006/main" count="2">
        <x14:dataValidation type="list" allowBlank="1" showInputMessage="1" showErrorMessage="1" xr:uid="{585BA799-1B97-1B4A-A7D0-C33AA93CDD7C}">
          <x14:formula1>
            <xm:f>Lists!$A$19:$A$24</xm:f>
          </x14:formula1>
          <xm:sqref>F5</xm:sqref>
        </x14:dataValidation>
        <x14:dataValidation type="list" allowBlank="1" showInputMessage="1" showErrorMessage="1" xr:uid="{232DCA9D-3A88-C046-9583-8E60A9F7A2AE}">
          <x14:formula1>
            <xm:f>Lists!$A$2:$A$11</xm:f>
          </x14:formula1>
          <xm:sqref>D11:F11 M11:O11 D28:F28 M28:O28 D47:F47 M47:O47 D65:F65 M65:O65</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E8DC0-9E1A-6B48-8DA1-83EE9A73C1AC}">
  <dimension ref="A1:L56"/>
  <sheetViews>
    <sheetView showGridLines="0" showRowColHeaders="0" zoomScale="110" zoomScaleNormal="110" workbookViewId="0">
      <selection activeCell="A2" sqref="A2"/>
    </sheetView>
  </sheetViews>
  <sheetFormatPr defaultColWidth="0" defaultRowHeight="14.5" zeroHeight="1" x14ac:dyDescent="0.35"/>
  <cols>
    <col min="1" max="1" width="3.7265625" customWidth="1"/>
    <col min="2" max="3" width="10.81640625" customWidth="1"/>
    <col min="4" max="7" width="18" customWidth="1"/>
    <col min="8" max="9" width="10.81640625" customWidth="1"/>
    <col min="10" max="10" width="33.1796875" customWidth="1"/>
    <col min="11" max="11" width="10.81640625" customWidth="1"/>
    <col min="12" max="12" width="4.81640625" customWidth="1"/>
    <col min="13" max="16384" width="10.81640625" hidden="1"/>
  </cols>
  <sheetData>
    <row r="1" spans="2:11" x14ac:dyDescent="0.35"/>
    <row r="2" spans="2:11" ht="23.5" x14ac:dyDescent="0.35">
      <c r="B2" s="416" t="str">
        <f>IF('Add''l Harvest Data'!D3="Year","Year over Year Insights","Insights Across Fields/Blocks")</f>
        <v>Insights Across Fields/Blocks</v>
      </c>
      <c r="C2" s="417"/>
      <c r="D2" s="417"/>
      <c r="E2" s="416"/>
      <c r="F2" s="417"/>
      <c r="G2" s="417"/>
      <c r="H2" s="416"/>
      <c r="I2" s="417"/>
      <c r="J2" s="417"/>
      <c r="K2" s="285"/>
    </row>
    <row r="3" spans="2:11" x14ac:dyDescent="0.35">
      <c r="B3" s="284"/>
      <c r="C3" s="284">
        <f>'1. Harvest Data'!E10</f>
        <v>0</v>
      </c>
      <c r="D3" s="284"/>
      <c r="E3" s="284">
        <f>IF('Add''l Harvest Data'!D3="Year",'1. Harvest Data'!E8,'1. Harvest Data'!E9)</f>
        <v>0</v>
      </c>
      <c r="F3" s="284">
        <f>'Add''l Harvest Data'!D5</f>
        <v>0</v>
      </c>
      <c r="G3" s="284">
        <f>'Add''l Harvest Data'!I5</f>
        <v>0</v>
      </c>
      <c r="H3" s="284"/>
      <c r="I3" s="284"/>
      <c r="J3" s="284"/>
      <c r="K3" s="284"/>
    </row>
    <row r="4" spans="2:11" x14ac:dyDescent="0.35">
      <c r="B4" s="112"/>
      <c r="C4" s="49"/>
      <c r="D4" s="49"/>
      <c r="E4" s="49"/>
      <c r="F4" s="49"/>
      <c r="G4" s="49"/>
      <c r="H4" s="49"/>
      <c r="K4" s="113"/>
    </row>
    <row r="5" spans="2:11" x14ac:dyDescent="0.35">
      <c r="B5" s="112"/>
      <c r="C5" s="49"/>
      <c r="D5" s="49"/>
      <c r="E5" s="49"/>
      <c r="F5" s="49"/>
      <c r="G5" s="49"/>
      <c r="H5" s="49"/>
      <c r="K5" s="113"/>
    </row>
    <row r="6" spans="2:11" x14ac:dyDescent="0.35">
      <c r="B6" s="112"/>
      <c r="C6" s="49"/>
      <c r="D6" s="49"/>
      <c r="E6" s="49"/>
      <c r="F6" s="49"/>
      <c r="G6" s="49"/>
      <c r="H6" s="49"/>
      <c r="I6" s="49"/>
      <c r="J6" s="49"/>
      <c r="K6" s="113"/>
    </row>
    <row r="7" spans="2:11" x14ac:dyDescent="0.35">
      <c r="B7" s="112"/>
      <c r="C7" s="49"/>
      <c r="D7" s="49"/>
      <c r="E7" s="49"/>
      <c r="F7" s="49"/>
      <c r="G7" s="49"/>
      <c r="H7" s="49"/>
      <c r="I7" s="49"/>
      <c r="J7" s="49"/>
      <c r="K7" s="113"/>
    </row>
    <row r="8" spans="2:11" x14ac:dyDescent="0.35">
      <c r="B8" s="112"/>
      <c r="C8" s="49"/>
      <c r="D8" s="49"/>
      <c r="E8" s="49"/>
      <c r="F8" s="49"/>
      <c r="G8" s="49"/>
      <c r="H8" s="49"/>
      <c r="I8" s="49"/>
      <c r="J8" s="49"/>
      <c r="K8" s="113"/>
    </row>
    <row r="9" spans="2:11" x14ac:dyDescent="0.35">
      <c r="B9" s="112"/>
      <c r="C9" s="49"/>
      <c r="D9" s="49"/>
      <c r="E9" s="49"/>
      <c r="F9" s="49"/>
      <c r="G9" s="49"/>
      <c r="H9" s="49"/>
      <c r="I9" s="49"/>
      <c r="J9" s="49"/>
      <c r="K9" s="113"/>
    </row>
    <row r="10" spans="2:11" x14ac:dyDescent="0.35">
      <c r="B10" s="112"/>
      <c r="C10" s="49"/>
      <c r="D10" s="49"/>
      <c r="E10" s="49"/>
      <c r="F10" s="49"/>
      <c r="G10" s="49"/>
      <c r="H10" s="49"/>
      <c r="I10" s="49"/>
      <c r="J10" s="49"/>
      <c r="K10" s="113"/>
    </row>
    <row r="11" spans="2:11" x14ac:dyDescent="0.35">
      <c r="B11" s="112"/>
      <c r="C11" s="49"/>
      <c r="D11" s="49"/>
      <c r="E11" s="49"/>
      <c r="F11" s="49"/>
      <c r="G11" s="49"/>
      <c r="H11" s="49"/>
      <c r="I11" s="49"/>
      <c r="J11" s="49"/>
      <c r="K11" s="113"/>
    </row>
    <row r="12" spans="2:11" x14ac:dyDescent="0.35">
      <c r="B12" s="112"/>
      <c r="C12" s="49"/>
      <c r="D12" s="49"/>
      <c r="E12" s="49"/>
      <c r="F12" s="49"/>
      <c r="G12" s="49"/>
      <c r="H12" s="49"/>
      <c r="I12" s="49"/>
      <c r="J12" s="49"/>
      <c r="K12" s="113"/>
    </row>
    <row r="13" spans="2:11" x14ac:dyDescent="0.35">
      <c r="B13" s="112"/>
      <c r="C13" s="49"/>
      <c r="D13" s="49"/>
      <c r="E13" s="49"/>
      <c r="F13" s="49"/>
      <c r="G13" s="49"/>
      <c r="H13" s="49"/>
      <c r="I13" s="49"/>
      <c r="J13" s="49"/>
      <c r="K13" s="113"/>
    </row>
    <row r="14" spans="2:11" x14ac:dyDescent="0.35">
      <c r="B14" s="112"/>
      <c r="C14" s="49"/>
      <c r="D14" s="49"/>
      <c r="E14" s="49"/>
      <c r="F14" s="49"/>
      <c r="G14" s="49"/>
      <c r="H14" s="49"/>
      <c r="I14" s="49"/>
      <c r="J14" s="49"/>
      <c r="K14" s="113"/>
    </row>
    <row r="15" spans="2:11" x14ac:dyDescent="0.35">
      <c r="B15" s="112"/>
      <c r="C15" s="49"/>
      <c r="D15" s="49"/>
      <c r="E15" s="49"/>
      <c r="F15" s="49"/>
      <c r="G15" s="49"/>
      <c r="H15" s="49"/>
      <c r="I15" s="49"/>
      <c r="J15" s="49"/>
      <c r="K15" s="113"/>
    </row>
    <row r="16" spans="2:11" x14ac:dyDescent="0.35">
      <c r="B16" s="112"/>
      <c r="C16" s="49"/>
      <c r="D16" s="49"/>
      <c r="E16" s="49"/>
      <c r="F16" s="49"/>
      <c r="G16" s="49"/>
      <c r="H16" s="49"/>
      <c r="I16" s="49"/>
      <c r="J16" s="49"/>
      <c r="K16" s="113"/>
    </row>
    <row r="17" spans="2:11" x14ac:dyDescent="0.35">
      <c r="B17" s="112"/>
      <c r="C17" s="49"/>
      <c r="D17" s="49"/>
      <c r="E17" s="49"/>
      <c r="F17" s="49"/>
      <c r="G17" s="49"/>
      <c r="H17" s="49"/>
      <c r="I17" s="49"/>
      <c r="J17" s="49"/>
      <c r="K17" s="113"/>
    </row>
    <row r="18" spans="2:11" x14ac:dyDescent="0.35">
      <c r="B18" s="112"/>
      <c r="C18" s="49"/>
      <c r="D18" s="49"/>
      <c r="E18" s="49"/>
      <c r="F18" s="49"/>
      <c r="G18" s="49"/>
      <c r="H18" s="49"/>
      <c r="I18" s="49"/>
      <c r="J18" s="49"/>
      <c r="K18" s="113"/>
    </row>
    <row r="19" spans="2:11" x14ac:dyDescent="0.35">
      <c r="B19" s="112"/>
      <c r="C19" s="49"/>
      <c r="D19" s="49"/>
      <c r="E19" s="49"/>
      <c r="F19" s="49"/>
      <c r="G19" s="49"/>
      <c r="H19" s="49"/>
      <c r="I19" s="49"/>
      <c r="J19" s="49"/>
      <c r="K19" s="113"/>
    </row>
    <row r="20" spans="2:11" x14ac:dyDescent="0.35">
      <c r="B20" s="112"/>
      <c r="C20" s="49"/>
      <c r="D20" s="49"/>
      <c r="E20" s="49"/>
      <c r="F20" s="49"/>
      <c r="G20" s="49"/>
      <c r="H20" s="49"/>
      <c r="I20" s="49"/>
      <c r="J20" s="49"/>
      <c r="K20" s="113"/>
    </row>
    <row r="21" spans="2:11" x14ac:dyDescent="0.35">
      <c r="B21" s="112"/>
      <c r="C21" s="49"/>
      <c r="D21" s="49"/>
      <c r="E21" s="49"/>
      <c r="F21" s="49"/>
      <c r="G21" s="49"/>
      <c r="H21" s="49"/>
      <c r="I21" s="49"/>
      <c r="J21" s="49"/>
      <c r="K21" s="113"/>
    </row>
    <row r="22" spans="2:11" x14ac:dyDescent="0.35">
      <c r="B22" s="112"/>
      <c r="C22" s="49"/>
      <c r="D22" s="49"/>
      <c r="E22" s="49"/>
      <c r="F22" s="49"/>
      <c r="G22" s="49"/>
      <c r="H22" s="49"/>
      <c r="I22" s="49"/>
      <c r="J22" s="49"/>
      <c r="K22" s="113"/>
    </row>
    <row r="23" spans="2:11" x14ac:dyDescent="0.35">
      <c r="B23" s="112"/>
      <c r="C23" s="49"/>
      <c r="D23" s="49"/>
      <c r="E23" s="49"/>
      <c r="F23" s="49"/>
      <c r="G23" s="49"/>
      <c r="H23" s="49"/>
      <c r="I23" s="49"/>
      <c r="J23" s="49"/>
      <c r="K23" s="113"/>
    </row>
    <row r="24" spans="2:11" x14ac:dyDescent="0.35">
      <c r="B24" s="112"/>
      <c r="C24" s="49"/>
      <c r="D24" s="49"/>
      <c r="E24" s="49"/>
      <c r="F24" s="49"/>
      <c r="G24" s="49"/>
      <c r="H24" s="49"/>
      <c r="I24" s="49"/>
      <c r="J24" s="49"/>
      <c r="K24" s="113"/>
    </row>
    <row r="25" spans="2:11" x14ac:dyDescent="0.35">
      <c r="B25" s="112"/>
      <c r="C25" s="49"/>
      <c r="D25" s="49"/>
      <c r="E25" s="49"/>
      <c r="F25" s="49"/>
      <c r="G25" s="49"/>
      <c r="H25" s="49"/>
      <c r="I25" s="49"/>
      <c r="J25" s="49"/>
      <c r="K25" s="113"/>
    </row>
    <row r="26" spans="2:11" x14ac:dyDescent="0.35">
      <c r="B26" s="112"/>
      <c r="C26" s="49"/>
      <c r="D26" s="49"/>
      <c r="E26" s="49"/>
      <c r="F26" s="49"/>
      <c r="G26" s="49"/>
      <c r="H26" s="49"/>
      <c r="I26" s="49"/>
      <c r="J26" s="49"/>
      <c r="K26" s="113"/>
    </row>
    <row r="27" spans="2:11" x14ac:dyDescent="0.35">
      <c r="B27" s="112"/>
      <c r="C27" s="49"/>
      <c r="D27" s="49"/>
      <c r="E27" s="49"/>
      <c r="F27" s="49"/>
      <c r="G27" s="49"/>
      <c r="H27" s="49"/>
      <c r="I27" s="49"/>
      <c r="J27" s="49"/>
      <c r="K27" s="113"/>
    </row>
    <row r="28" spans="2:11" x14ac:dyDescent="0.35">
      <c r="B28" s="112"/>
      <c r="C28" s="49"/>
      <c r="D28" s="49"/>
      <c r="E28" s="49"/>
      <c r="F28" s="49"/>
      <c r="G28" s="49"/>
      <c r="H28" s="49"/>
      <c r="I28" s="49"/>
      <c r="J28" s="49"/>
      <c r="K28" s="113"/>
    </row>
    <row r="29" spans="2:11" x14ac:dyDescent="0.35">
      <c r="B29" s="112"/>
      <c r="C29" s="49"/>
      <c r="D29" s="49"/>
      <c r="E29" s="49"/>
      <c r="F29" s="49"/>
      <c r="G29" s="49"/>
      <c r="H29" s="49"/>
      <c r="I29" s="49"/>
      <c r="J29" s="49"/>
      <c r="K29" s="113"/>
    </row>
    <row r="30" spans="2:11" x14ac:dyDescent="0.35">
      <c r="B30" s="112"/>
      <c r="C30" s="49"/>
      <c r="D30" s="49"/>
      <c r="E30" s="49"/>
      <c r="F30" s="49"/>
      <c r="G30" s="49"/>
      <c r="H30" s="49"/>
      <c r="I30" s="49"/>
      <c r="J30" s="49"/>
      <c r="K30" s="113"/>
    </row>
    <row r="31" spans="2:11" x14ac:dyDescent="0.35">
      <c r="B31" s="112"/>
      <c r="C31" s="49"/>
      <c r="D31" s="49"/>
      <c r="E31" s="49"/>
      <c r="F31" s="49"/>
      <c r="G31" s="49"/>
      <c r="H31" s="49"/>
      <c r="I31" s="49"/>
      <c r="J31" s="49"/>
      <c r="K31" s="113"/>
    </row>
    <row r="32" spans="2:11" x14ac:dyDescent="0.35">
      <c r="B32" s="112"/>
      <c r="C32" s="49"/>
      <c r="D32" s="49"/>
      <c r="E32" s="49"/>
      <c r="F32" s="49"/>
      <c r="G32" s="49"/>
      <c r="H32" s="49"/>
      <c r="I32" s="49"/>
      <c r="J32" s="49"/>
      <c r="K32" s="113"/>
    </row>
    <row r="33" spans="2:11" x14ac:dyDescent="0.35">
      <c r="B33" s="112"/>
      <c r="C33" s="49"/>
      <c r="D33" s="49"/>
      <c r="E33" s="49"/>
      <c r="F33" s="49"/>
      <c r="G33" s="49"/>
      <c r="H33" s="49"/>
      <c r="I33" s="49"/>
      <c r="J33" s="49"/>
      <c r="K33" s="113"/>
    </row>
    <row r="34" spans="2:11" x14ac:dyDescent="0.35">
      <c r="B34" s="112"/>
      <c r="E34" s="49"/>
      <c r="F34" s="49"/>
      <c r="G34" s="49"/>
      <c r="H34" s="49"/>
      <c r="I34" s="49"/>
      <c r="J34" s="49"/>
      <c r="K34" s="113"/>
    </row>
    <row r="35" spans="2:11" x14ac:dyDescent="0.35">
      <c r="B35" s="112"/>
      <c r="C35" s="262" t="s">
        <v>365</v>
      </c>
      <c r="D35" s="108" t="str">
        <f>IF('3. Visual Dashboard'!C4="container","Total Loss is shown in containers", "Total Loss is shown in lbs")</f>
        <v>Total Loss is shown in lbs</v>
      </c>
      <c r="E35" s="49"/>
      <c r="F35" s="49"/>
      <c r="G35" s="262" t="s">
        <v>365</v>
      </c>
      <c r="H35" s="100" t="str">
        <f>IF('3. Visual Dashboard'!C4="container","containers/acre","lbs/acre")</f>
        <v>lbs/acre</v>
      </c>
      <c r="J35" s="49"/>
      <c r="K35" s="113"/>
    </row>
    <row r="36" spans="2:11" x14ac:dyDescent="0.35">
      <c r="B36" s="112"/>
      <c r="K36" s="113"/>
    </row>
    <row r="37" spans="2:11" x14ac:dyDescent="0.35">
      <c r="B37" s="112"/>
      <c r="C37" s="49"/>
      <c r="D37" s="49"/>
      <c r="E37" s="49"/>
      <c r="F37" s="49"/>
      <c r="G37" s="49"/>
      <c r="H37" s="49"/>
      <c r="I37" s="49"/>
      <c r="J37" s="49"/>
      <c r="K37" s="113"/>
    </row>
    <row r="38" spans="2:11" x14ac:dyDescent="0.35">
      <c r="B38" s="112"/>
      <c r="K38" s="113"/>
    </row>
    <row r="39" spans="2:11" x14ac:dyDescent="0.35">
      <c r="B39" s="112"/>
      <c r="K39" s="113"/>
    </row>
    <row r="40" spans="2:11" x14ac:dyDescent="0.35">
      <c r="B40" s="112"/>
      <c r="K40" s="113"/>
    </row>
    <row r="41" spans="2:11" x14ac:dyDescent="0.35">
      <c r="B41" s="112"/>
      <c r="K41" s="113"/>
    </row>
    <row r="42" spans="2:11" x14ac:dyDescent="0.35">
      <c r="B42" s="112"/>
      <c r="K42" s="113"/>
    </row>
    <row r="43" spans="2:11" x14ac:dyDescent="0.35">
      <c r="B43" s="112"/>
      <c r="K43" s="113"/>
    </row>
    <row r="44" spans="2:11" x14ac:dyDescent="0.35">
      <c r="B44" s="112"/>
      <c r="K44" s="113"/>
    </row>
    <row r="45" spans="2:11" x14ac:dyDescent="0.35">
      <c r="B45" s="112"/>
      <c r="K45" s="113"/>
    </row>
    <row r="46" spans="2:11" x14ac:dyDescent="0.35">
      <c r="B46" s="112"/>
      <c r="K46" s="113"/>
    </row>
    <row r="47" spans="2:11" x14ac:dyDescent="0.35">
      <c r="B47" s="112"/>
      <c r="K47" s="113"/>
    </row>
    <row r="48" spans="2:11" x14ac:dyDescent="0.35">
      <c r="B48" s="112"/>
      <c r="K48" s="113"/>
    </row>
    <row r="49" spans="2:11" x14ac:dyDescent="0.35">
      <c r="B49" s="112"/>
      <c r="D49" s="214"/>
      <c r="E49" s="201"/>
      <c r="F49" s="201"/>
      <c r="G49" s="201"/>
      <c r="K49" s="113"/>
    </row>
    <row r="50" spans="2:11" x14ac:dyDescent="0.35">
      <c r="B50" s="112"/>
      <c r="K50" s="113"/>
    </row>
    <row r="51" spans="2:11" x14ac:dyDescent="0.35">
      <c r="B51" s="112"/>
      <c r="D51" s="203"/>
      <c r="E51" s="181"/>
      <c r="F51" s="181"/>
      <c r="G51" s="181"/>
      <c r="K51" s="113"/>
    </row>
    <row r="52" spans="2:11" x14ac:dyDescent="0.35">
      <c r="B52" s="112"/>
      <c r="K52" s="113"/>
    </row>
    <row r="53" spans="2:11" ht="156" x14ac:dyDescent="0.35">
      <c r="B53" s="112"/>
      <c r="D53" s="202" t="s">
        <v>317</v>
      </c>
      <c r="E53" s="202" t="s">
        <v>318</v>
      </c>
      <c r="F53" s="202" t="s">
        <v>319</v>
      </c>
      <c r="G53" s="202" t="s">
        <v>320</v>
      </c>
      <c r="K53" s="113"/>
    </row>
    <row r="54" spans="2:11" x14ac:dyDescent="0.35">
      <c r="B54" s="114"/>
      <c r="C54" s="115"/>
      <c r="D54" s="115"/>
      <c r="E54" s="115"/>
      <c r="F54" s="115"/>
      <c r="G54" s="115"/>
      <c r="H54" s="115"/>
      <c r="I54" s="115"/>
      <c r="J54" s="115"/>
      <c r="K54" s="116"/>
    </row>
    <row r="55" spans="2:11" x14ac:dyDescent="0.35"/>
    <row r="56" spans="2:11" x14ac:dyDescent="0.35"/>
  </sheetData>
  <mergeCells count="3">
    <mergeCell ref="B2:D2"/>
    <mergeCell ref="E2:G2"/>
    <mergeCell ref="H2:J2"/>
  </mergeCells>
  <pageMargins left="0.7" right="0.7" top="0.75" bottom="0.75" header="0.3" footer="0.3"/>
  <pageSetup paperSize="9" orientation="landscape" horizontalDpi="0" verticalDpi="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984AE-0C06-8A4C-8E22-3D15B1D549D3}">
  <dimension ref="A1:T23"/>
  <sheetViews>
    <sheetView showGridLines="0" showRowColHeaders="0" zoomScale="120" zoomScaleNormal="120" workbookViewId="0"/>
  </sheetViews>
  <sheetFormatPr defaultColWidth="0" defaultRowHeight="14.5" zeroHeight="1" x14ac:dyDescent="0.35"/>
  <cols>
    <col min="1" max="1" width="10.81640625" customWidth="1"/>
    <col min="2" max="2" width="38.7265625" bestFit="1" customWidth="1"/>
    <col min="3" max="8" width="13.1796875" customWidth="1"/>
    <col min="9" max="10" width="10.81640625" customWidth="1"/>
    <col min="11" max="11" width="38.7265625" bestFit="1" customWidth="1"/>
    <col min="12" max="17" width="13.7265625" customWidth="1"/>
    <col min="18" max="18" width="10.81640625" customWidth="1"/>
    <col min="19" max="20" width="0" hidden="1" customWidth="1"/>
    <col min="21" max="16384" width="10.81640625" hidden="1"/>
  </cols>
  <sheetData>
    <row r="1" spans="2:18" x14ac:dyDescent="0.35"/>
    <row r="2" spans="2:18" x14ac:dyDescent="0.35"/>
    <row r="3" spans="2:18" x14ac:dyDescent="0.35">
      <c r="B3" s="379" t="str">
        <f>_xlfn.CONCAT('Add''l Harvest Data'!D5," ",'Add''l Harvest Data'!D6)</f>
        <v xml:space="preserve"> </v>
      </c>
      <c r="C3" s="288" t="str">
        <f>IF('3. Visual Dashboard'!$C$4="container","CONTAINERS/ACRE","LBS/ACRE")</f>
        <v>LBS/ACRE</v>
      </c>
      <c r="D3" s="288" t="str">
        <f>IF('3. Visual Dashboard'!$C$4="container","CONTAINERS","LBS")</f>
        <v>LBS</v>
      </c>
      <c r="E3" s="288"/>
      <c r="F3" s="289"/>
      <c r="G3" s="288" t="str">
        <f>IF('3. Visual Dashboard'!$C$4="container","CONTAINERS/ACRE","LBS/ACRE")</f>
        <v>LBS/ACRE</v>
      </c>
      <c r="H3" s="288" t="str">
        <f>IF('3. Visual Dashboard'!$C$4="container","CONTAINERS","LBS")</f>
        <v>LBS</v>
      </c>
      <c r="I3" s="165"/>
      <c r="J3" s="141"/>
      <c r="K3" s="379" t="str">
        <f>_xlfn.CONCAT('Add''l Harvest Data'!I5," ",'Add''l Harvest Data'!I6)</f>
        <v xml:space="preserve"> </v>
      </c>
      <c r="L3" s="288" t="str">
        <f>IF('3. Visual Dashboard'!$C$4="container","CONTAINERS/ACRE","LBS/ACRE")</f>
        <v>LBS/ACRE</v>
      </c>
      <c r="M3" s="288" t="str">
        <f>IF('3. Visual Dashboard'!$C$4="container","CONTAINERS","LBS")</f>
        <v>LBS</v>
      </c>
      <c r="N3" s="288"/>
      <c r="O3" s="289"/>
      <c r="P3" s="288" t="str">
        <f>IF('3. Visual Dashboard'!$C$4="container","CONTAINERS/ACRE","LBS/ACRE")</f>
        <v>LBS/ACRE</v>
      </c>
      <c r="Q3" s="288" t="str">
        <f>IF('3. Visual Dashboard'!$C$4="container","CONTAINERS","LBS")</f>
        <v>LBS</v>
      </c>
      <c r="R3" s="164"/>
    </row>
    <row r="4" spans="2:18" ht="29" x14ac:dyDescent="0.35">
      <c r="B4" s="125" t="s">
        <v>127</v>
      </c>
      <c r="C4" s="84" t="s">
        <v>374</v>
      </c>
      <c r="D4" s="84" t="s">
        <v>287</v>
      </c>
      <c r="E4" s="84" t="s">
        <v>267</v>
      </c>
      <c r="F4" s="84" t="s">
        <v>268</v>
      </c>
      <c r="G4" s="84" t="s">
        <v>374</v>
      </c>
      <c r="H4" s="84" t="s">
        <v>287</v>
      </c>
      <c r="I4" s="164"/>
      <c r="K4" s="125" t="s">
        <v>127</v>
      </c>
      <c r="L4" s="84" t="s">
        <v>374</v>
      </c>
      <c r="M4" s="84" t="s">
        <v>287</v>
      </c>
      <c r="N4" s="84" t="s">
        <v>267</v>
      </c>
      <c r="O4" s="84" t="s">
        <v>268</v>
      </c>
      <c r="P4" s="84" t="s">
        <v>374</v>
      </c>
      <c r="Q4" s="84" t="s">
        <v>287</v>
      </c>
      <c r="R4" s="164"/>
    </row>
    <row r="5" spans="2:18" ht="15" customHeight="1" x14ac:dyDescent="0.35">
      <c r="B5" s="82"/>
      <c r="C5" s="406"/>
      <c r="D5" s="406"/>
      <c r="E5" s="101"/>
      <c r="F5" s="102"/>
      <c r="G5" s="407" t="s">
        <v>264</v>
      </c>
      <c r="H5" s="407"/>
      <c r="I5" s="164"/>
      <c r="K5" s="82"/>
      <c r="L5" s="406"/>
      <c r="M5" s="406"/>
      <c r="N5" s="101"/>
      <c r="O5" s="102"/>
      <c r="P5" s="407" t="s">
        <v>264</v>
      </c>
      <c r="Q5" s="407"/>
      <c r="R5" s="164"/>
    </row>
    <row r="6" spans="2:18" x14ac:dyDescent="0.35">
      <c r="B6" s="10" t="s">
        <v>129</v>
      </c>
      <c r="C6" s="57" t="str">
        <f>IFERROR(D6/'Add''l Harvest Data'!D15,"")</f>
        <v/>
      </c>
      <c r="D6" s="57" t="str">
        <f>IFERROR(IF('3. Visual Dashboard'!J2="container",('Add''l Check your work'!D6*'Add''l Check your work'!D8)/'Add''l Harvest Data'!D11,('Add''l Check your work'!D6*'Add''l Check your work'!D8)),"")</f>
        <v/>
      </c>
      <c r="E6" s="418" t="str">
        <f>CONCATENATE('Add''l Reasons for Loss'!D5,CHAR(10),'Add''l Reasons for Loss'!E5,CHAR(10), 'Add''l Reasons for Loss'!F5)</f>
        <v xml:space="preserve">
</v>
      </c>
      <c r="F6" s="418" t="str">
        <f>CONCATENATE('Add''l Reasons for Loss'!D11,CHAR(10),'Add''l Reasons for Loss'!E11,CHAR(10),'Add''l Reasons for Loss'!F11)</f>
        <v xml:space="preserve">
</v>
      </c>
      <c r="G6" s="99"/>
      <c r="H6" s="88"/>
      <c r="I6" s="49"/>
      <c r="K6" s="31" t="s">
        <v>135</v>
      </c>
      <c r="L6" s="58" t="e">
        <f>M6/'Add''l Harvest Data'!I15</f>
        <v>#VALUE!</v>
      </c>
      <c r="M6" s="58" t="str">
        <f>IFERROR(IF('3. Visual Dashboard'!J2="container",('Add''l Check your work'!O6*'Add''l Check your work'!O8)/'Add''l Harvest Data'!I11,('Add''l Check your work'!O6*'Add''l Check your work'!O8)),"")</f>
        <v/>
      </c>
      <c r="N6" s="405" t="str">
        <f>CONCATENATE('Add''l Reasons for Loss'!M5, CHAR(10), 'Add''l Reasons for Loss'!N5, CHAR(10), 'Add''l Reasons for Loss'!O5)</f>
        <v xml:space="preserve">low yields due to quality
</v>
      </c>
      <c r="O6" s="405" t="str">
        <f>CONCATENATE('Add''l Reasons for Loss'!M11,CHAR(10),'Add''l Reasons for Loss'!N11,CHAR(10),'Add''l Reasons for Loss'!O11)</f>
        <v xml:space="preserve">
</v>
      </c>
      <c r="P6" s="99"/>
      <c r="Q6" s="89"/>
      <c r="R6" s="49"/>
    </row>
    <row r="7" spans="2:18" x14ac:dyDescent="0.35">
      <c r="B7" s="10" t="s">
        <v>130</v>
      </c>
      <c r="C7" s="57" t="str">
        <f>IFERROR(IF('3. Visual Dashboard'!J2="container",((Lists!Q3*'Add''l Loss Data'!F15)/('Add''l Loss Data'!C8*'Add''l Loss Data'!C11*'Add''l Loss Data'!C9))/'Add''l Harvest Data'!D11,(Lists!Q3*'Add''l Loss Data'!F15)/('Add''l Loss Data'!C8*'Add''l Loss Data'!C11*'Add''l Loss Data'!C9)),"")</f>
        <v/>
      </c>
      <c r="D7" s="57" t="str">
        <f>IFERROR(C7*'Add''l Harvest Data'!D15,"")</f>
        <v/>
      </c>
      <c r="E7" s="418"/>
      <c r="F7" s="418"/>
      <c r="G7" s="99"/>
      <c r="H7" s="85"/>
      <c r="I7" s="49"/>
      <c r="K7" s="31" t="s">
        <v>130</v>
      </c>
      <c r="L7" s="58" t="str">
        <f>IFERROR(IF('3. Visual Dashboard'!J2="container",((Lists!Q3*'Add''l Loss Data'!M15)/('Add''l Loss Data'!J8*'Add''l Loss Data'!J11*'Add''l Loss Data'!J9))/'Add''l Harvest Data'!I11,(Lists!Q3*'Add''l Loss Data'!M15)/('Add''l Loss Data'!J8*'Add''l Loss Data'!J11*'Add''l Loss Data'!J9)),"")</f>
        <v/>
      </c>
      <c r="M7" s="54" t="e">
        <f>L7*'Add''l Harvest Data'!I15</f>
        <v>#VALUE!</v>
      </c>
      <c r="N7" s="405"/>
      <c r="O7" s="405"/>
      <c r="P7" s="99"/>
      <c r="Q7" s="85"/>
      <c r="R7" s="49"/>
    </row>
    <row r="8" spans="2:18" x14ac:dyDescent="0.35">
      <c r="B8" s="50" t="s">
        <v>230</v>
      </c>
      <c r="C8" s="57" t="str">
        <f>IFERROR(IF('3. Visual Dashboard'!J2="container",((Lists!Q3*'Add''l Loss Data'!F16)/('Add''l Loss Data'!C8*'Add''l Loss Data'!C11*'Add''l Loss Data'!C9))/'Add''l Harvest Data'!D11,(Lists!Q3*'Add''l Loss Data'!F16)/('Add''l Loss Data'!C8*'Add''l Loss Data'!C11*'Add''l Loss Data'!C9)),"")</f>
        <v/>
      </c>
      <c r="D8" s="57" t="str">
        <f>IFERROR(C8*'Add''l Harvest Data'!D15,"")</f>
        <v/>
      </c>
      <c r="E8" s="418"/>
      <c r="F8" s="418"/>
      <c r="G8" s="99"/>
      <c r="H8" s="88"/>
      <c r="I8" s="49"/>
      <c r="K8" s="30" t="s">
        <v>230</v>
      </c>
      <c r="L8" s="58" t="str">
        <f>IFERROR(IF('3. Visual Dashboard'!J2="container",((Lists!Q3*'Add''l Loss Data'!M16)/('Add''l Loss Data'!J8*'Add''l Loss Data'!J11*'Add''l Loss Data'!J9))/'Add''l Harvest Data'!I11,(Lists!Q3*'Add''l Loss Data'!M16)/('Add''l Loss Data'!J8*'Add''l Loss Data'!J11*'Add''l Loss Data'!J9)),"")</f>
        <v/>
      </c>
      <c r="M8" s="54" t="e">
        <f>L8*'Add''l Harvest Data'!I15</f>
        <v>#VALUE!</v>
      </c>
      <c r="N8" s="405"/>
      <c r="O8" s="405"/>
      <c r="P8" s="99"/>
      <c r="Q8" s="85"/>
      <c r="R8" s="49"/>
    </row>
    <row r="9" spans="2:18" x14ac:dyDescent="0.35">
      <c r="B9" s="50" t="s">
        <v>257</v>
      </c>
      <c r="C9" s="57" t="str">
        <f>IFERROR(IF('3. Visual Dashboard'!J2="container",((Lists!Q3*'Add''l Loss Data'!F17)/('Add''l Loss Data'!C8*'Add''l Loss Data'!C11*'Add''l Loss Data'!C9))/'Add''l Harvest Data'!D11,(Lists!Q3*'Add''l Loss Data'!F17)/('Add''l Loss Data'!C8*'Add''l Loss Data'!C11*'Add''l Loss Data'!C9)),"")</f>
        <v/>
      </c>
      <c r="D9" s="57" t="str">
        <f>IFERROR(C9*'Add''l Harvest Data'!D15,"")</f>
        <v/>
      </c>
      <c r="E9" s="103"/>
      <c r="F9" s="104"/>
      <c r="G9" s="99"/>
      <c r="H9" s="88"/>
      <c r="I9" s="49"/>
      <c r="K9" s="50" t="s">
        <v>257</v>
      </c>
      <c r="L9" s="58" t="str">
        <f>IFERROR(IF('3. Visual Dashboard'!J2="container",((Lists!Q3*'Add''l Loss Data'!M17)/('Add''l Loss Data'!J8*'Add''l Loss Data'!J11*'Add''l Loss Data'!J9))/'Add''l Harvest Data'!I11,(Lists!Q3*'Add''l Loss Data'!M17)/('Add''l Loss Data'!J8*'Add''l Loss Data'!J11*'Add''l Loss Data'!J9)),"")</f>
        <v/>
      </c>
      <c r="M9" s="54" t="e">
        <f>L9*'Add''l Harvest Data'!I15</f>
        <v>#VALUE!</v>
      </c>
      <c r="N9" s="103"/>
      <c r="O9" s="104"/>
      <c r="P9" s="99"/>
      <c r="Q9" s="85"/>
      <c r="R9" s="49"/>
    </row>
    <row r="10" spans="2:18" x14ac:dyDescent="0.35">
      <c r="B10" s="10" t="s">
        <v>131</v>
      </c>
      <c r="C10" s="57" t="str">
        <f>IFERROR(D10/'Add''l Harvest Data'!D15,"")</f>
        <v/>
      </c>
      <c r="D10" s="57">
        <f>IFERROR(IF('3. Visual Dashboard'!J2="container",(SUM('Add''l Check your work'!I39:I41))/'Add''l Harvest Data'!D11,SUM('Add''l Check your work'!I39:I41)),"")</f>
        <v>0</v>
      </c>
      <c r="E10" s="103"/>
      <c r="F10" s="105"/>
      <c r="G10" s="123" t="str">
        <f>IFERROR(H10/'Add''l Harvest Data'!D15,"-")</f>
        <v>-</v>
      </c>
      <c r="H10" s="123">
        <f>IFERROR(IF('3. Visual Dashboard'!J2="container",(SUM('Add''l Check your work'!H45:H47))/'Add''l Harvest Data'!D11,SUM('Add''l Check your work'!H45:H47)),"")</f>
        <v>0</v>
      </c>
      <c r="I10" s="49"/>
      <c r="K10" s="31" t="s">
        <v>131</v>
      </c>
      <c r="L10" s="58" t="e">
        <f>M10/'Add''l Harvest Data'!I15</f>
        <v>#DIV/0!</v>
      </c>
      <c r="M10" s="54">
        <f>IFERROR(IF('3. Visual Dashboard'!J2="container",(SUM('Add''l Check your work'!T39:T41))/'Add''l Harvest Data'!I11,SUM('Add''l Check your work'!T39:T41)),"")</f>
        <v>0</v>
      </c>
      <c r="N10" s="103"/>
      <c r="O10" s="105"/>
      <c r="P10" s="123" t="str">
        <f>IFERROR(Q10/'Add''l Harvest Data'!I15,"n/a")</f>
        <v>n/a</v>
      </c>
      <c r="Q10" s="123">
        <f>IFERROR(IF('3. Visual Dashboard'!J2="container",(SUM('Add''l Check your work'!R45:R47))/'Add''l Harvest Data'!I11,SUM('Add''l Check your work'!R45:R47)),"")</f>
        <v>0</v>
      </c>
      <c r="R10" s="49"/>
    </row>
    <row r="11" spans="2:18" ht="31.5" x14ac:dyDescent="0.35">
      <c r="B11" s="10" t="s">
        <v>16</v>
      </c>
      <c r="C11" s="57" t="str">
        <f>IFERROR(D11/'Add''l Harvest Data'!D15,"")</f>
        <v/>
      </c>
      <c r="D11" s="54">
        <f>IFERROR(IF('3. Visual Dashboard'!J2="container",('Add''l Check your work'!D12-'Add''l Check your work'!D13)/'Add''l Harvest Data'!D11,'Add''l Check your work'!D12-'Add''l Check your work'!D13),"")</f>
        <v>0</v>
      </c>
      <c r="E11" s="98" t="str">
        <f>CONCATENATE('Add''l Reasons for Loss'!D22,CHAR(10),'Add''l Reasons for Loss'!E22,CHAR(10),'Add''l Reasons for Loss'!F22)</f>
        <v xml:space="preserve">
</v>
      </c>
      <c r="F11" s="98" t="str">
        <f>CONCATENATE('Add''l Reasons for Loss'!D28,CHAR(10),'Add''l Reasons for Loss'!E28,CHAR(10),'Add''l Reasons for Loss'!F28)</f>
        <v xml:space="preserve">
</v>
      </c>
      <c r="G11" s="123" t="str">
        <f>IFERROR(H11/'Add''l Harvest Data'!D15,"-")</f>
        <v>-</v>
      </c>
      <c r="H11" s="123" t="str">
        <f>IFERROR(IF('3. Visual Dashboard'!J2="container",'Add''l Check your work'!D15/'Add''l Harvest Data'!D11,'Add''l Check your work'!D15),"")</f>
        <v>-</v>
      </c>
      <c r="I11" s="49"/>
      <c r="K11" s="31" t="s">
        <v>16</v>
      </c>
      <c r="L11" s="58" t="e">
        <f>M11/'Add''l Harvest Data'!I15</f>
        <v>#DIV/0!</v>
      </c>
      <c r="M11" s="54">
        <f>IFERROR(IF('3. Visual Dashboard'!J2="container",('Add''l Check your work'!O12-'Add''l Check your work'!O13)/'Add''l Harvest Data'!I11,'Add''l Check your work'!O12-'Add''l Check your work'!O13),"")</f>
        <v>0</v>
      </c>
      <c r="N11" s="98" t="str">
        <f>CONCATENATE('Add''l Reasons for Loss'!M22,CHAR(10),'Add''l Reasons for Loss'!N22,CHAR(10),'Add''l Reasons for Loss'!O22)</f>
        <v xml:space="preserve">
</v>
      </c>
      <c r="O11" s="98" t="str">
        <f>CONCATENATE('Add''l Reasons for Loss'!M28,CHAR(10),'Add''l Reasons for Loss'!N28,CHAR(10),'Add''l Reasons for Loss'!O28)</f>
        <v xml:space="preserve">
</v>
      </c>
      <c r="P11" s="123" t="str">
        <f>IFERROR(Q11/'Add''l Harvest Data'!I15,"-")</f>
        <v>-</v>
      </c>
      <c r="Q11" s="123" t="str">
        <f>IFERROR(IF('3. Visual Dashboard'!J2="container",'Add''l Check your work'!O15/'Add''l Harvest Data'!I11,'Add''l Check your work'!O15),"")</f>
        <v>-</v>
      </c>
      <c r="R11" s="49"/>
    </row>
    <row r="12" spans="2:18" ht="31.5" x14ac:dyDescent="0.35">
      <c r="B12" s="10" t="s">
        <v>132</v>
      </c>
      <c r="C12" s="57" t="str">
        <f>IFERROR(D12/'Add''l Harvest Data'!D15,"")</f>
        <v/>
      </c>
      <c r="D12" s="54">
        <f>IFERROR(IF('3. Visual Dashboard'!J2="container",('Add''l Check your work'!D21-'Add''l Check your work'!D22)/'Add''l Harvest Data'!D11,'Add''l Check your work'!D21-'Add''l Check your work'!D22),"")</f>
        <v>0</v>
      </c>
      <c r="E12" s="98" t="str">
        <f>CONCATENATE('Add''l Reasons for Loss'!D41,CHAR(10),'Add''l Reasons for Loss'!E41,CHAR(10),'Add''l Reasons for Loss'!F41)</f>
        <v xml:space="preserve">
</v>
      </c>
      <c r="F12" s="98" t="str">
        <f>CONCATENATE('Add''l Reasons for Loss'!D47,CHAR(10),'Add''l Reasons for Loss'!E47,CHAR(10),'Add''l Reasons for Loss'!F47)</f>
        <v xml:space="preserve">
</v>
      </c>
      <c r="G12" s="123" t="str">
        <f>IFERROR(H12/'Add''l Harvest Data'!D15,"-")</f>
        <v>-</v>
      </c>
      <c r="H12" s="123" t="str">
        <f>IFERROR(IF('3. Visual Dashboard'!J2="container",'Add''l Check your work'!D24/'Add''l Harvest Data'!D11,'Add''l Check your work'!D24),"")</f>
        <v>-</v>
      </c>
      <c r="I12" s="49"/>
      <c r="K12" s="31" t="s">
        <v>132</v>
      </c>
      <c r="L12" s="58" t="e">
        <f>M12/'Add''l Harvest Data'!I15</f>
        <v>#DIV/0!</v>
      </c>
      <c r="M12" s="54">
        <f>IFERROR(IF('3. Visual Dashboard'!J2="container",('Add''l Check your work'!O21-'Add''l Check your work'!O22)/'Add''l Harvest Data'!I11,'Add''l Check your work'!O21-'Add''l Check your work'!O22),"")</f>
        <v>0</v>
      </c>
      <c r="N12" s="98" t="str">
        <f>CONCATENATE('Add''l Reasons for Loss'!M41,CHAR(10),'Add''l Reasons for Loss'!N41,CHAR(10),'Add''l Reasons for Loss'!O41)</f>
        <v xml:space="preserve">
</v>
      </c>
      <c r="O12" s="98" t="str">
        <f>CONCATENATE('Add''l Reasons for Loss'!M47,CHAR(10),'Add''l Reasons for Loss'!N47,CHAR(10),'Add''l Reasons for Loss'!O47)</f>
        <v xml:space="preserve">
</v>
      </c>
      <c r="P12" s="123" t="str">
        <f>IFERROR(Q12/'Add''l Harvest Data'!I15,"-")</f>
        <v>-</v>
      </c>
      <c r="Q12" s="123" t="str">
        <f>IFERROR(IF('3. Visual Dashboard'!J2="container",'Add''l Check your work'!O24/'Add''l Harvest Data'!I11,'Add''l Check your work'!O24),"")</f>
        <v>-</v>
      </c>
      <c r="R12" s="49"/>
    </row>
    <row r="13" spans="2:18" ht="31.5" x14ac:dyDescent="0.35">
      <c r="B13" s="10" t="s">
        <v>133</v>
      </c>
      <c r="C13" s="57" t="str">
        <f>IFERROR(D13/'Add''l Harvest Data'!D15,"")</f>
        <v/>
      </c>
      <c r="D13" s="54">
        <f>IFERROR(IF('3. Visual Dashboard'!J2="container",('Add''l Check your work'!D30-'Add''l Check your work'!D31)/'Add''l Harvest Data'!D11,('Add''l Check your work'!D30-'Add''l Check your work'!D31)),"")</f>
        <v>0</v>
      </c>
      <c r="E13" s="98" t="str">
        <f>CONCATENATE('Add''l Reasons for Loss'!D59,CHAR(10),'Add''l Reasons for Loss'!E59,CHAR(10),'Add''l Reasons for Loss'!F59)</f>
        <v xml:space="preserve">
</v>
      </c>
      <c r="F13" s="98" t="str">
        <f>CONCATENATE('Add''l Reasons for Loss'!D65,CHAR(10),'Add''l Reasons for Loss'!E65,CHAR(10),'Add''l Reasons for Loss'!F65)</f>
        <v xml:space="preserve">
</v>
      </c>
      <c r="G13" s="123" t="str">
        <f>IFERROR(H13/'Add''l Harvest Data'!D15,"-")</f>
        <v>-</v>
      </c>
      <c r="H13" s="123" t="str">
        <f>IFERROR(IF('3. Visual Dashboard'!J2="container",'Add''l Check your work'!D33/'Add''l Harvest Data'!D11,'Add''l Check your work'!D33),"")</f>
        <v>-</v>
      </c>
      <c r="I13" s="49"/>
      <c r="K13" s="31" t="s">
        <v>133</v>
      </c>
      <c r="L13" s="58" t="e">
        <f>M13/'Add''l Harvest Data'!I15</f>
        <v>#DIV/0!</v>
      </c>
      <c r="M13" s="54">
        <f>IFERROR(IF('3. Visual Dashboard'!J2="container",('Add''l Check your work'!O30-'Add''l Check your work'!O31)/'Add''l Harvest Data'!I11,'Add''l Check your work'!O30-'Add''l Check your work'!O31),"")</f>
        <v>0</v>
      </c>
      <c r="N13" s="98" t="str">
        <f>CONCATENATE('Add''l Reasons for Loss'!M59,CHAR(10),'Add''l Reasons for Loss'!N59,CHAR(10),'Add''l Reasons for Loss'!O59)</f>
        <v xml:space="preserve">
</v>
      </c>
      <c r="O13" s="98" t="str">
        <f>CONCATENATE('Add''l Reasons for Loss'!M65,CHAR(10),'Add''l Reasons for Loss'!N65,CHAR(10),'Add''l Reasons for Loss'!O65)</f>
        <v xml:space="preserve">
</v>
      </c>
      <c r="P13" s="123" t="str">
        <f>IFERROR(Q13/'Add''l Harvest Data'!I15,"-")</f>
        <v>-</v>
      </c>
      <c r="Q13" s="123" t="str">
        <f>IFERROR(IF('3. Visual Dashboard'!J2="container",'Add''l Check your work'!O33/'Add''l Harvest Data'!I11,'Add''l Check your work'!O33),"")</f>
        <v>-</v>
      </c>
      <c r="R13" s="49"/>
    </row>
    <row r="14" spans="2:18" x14ac:dyDescent="0.35">
      <c r="B14" s="51" t="s">
        <v>134</v>
      </c>
      <c r="C14" s="57" t="str">
        <f>IFERROR(D14/'Add''l Harvest Data'!D15,"")</f>
        <v/>
      </c>
      <c r="D14" s="54">
        <f>IFERROR(IF('3. Visual Dashboard'!J2="container",'Add''l Harvest Data'!D12/'Add''l Harvest Data'!D11,'Add''l Harvest Data'!D12),"")</f>
        <v>0</v>
      </c>
      <c r="E14" s="96"/>
      <c r="F14" s="45"/>
      <c r="G14" s="45"/>
      <c r="H14" s="45"/>
      <c r="I14" s="49"/>
      <c r="K14" s="110" t="s">
        <v>134</v>
      </c>
      <c r="L14" s="58" t="e">
        <f>M14/'Add''l Harvest Data'!I15</f>
        <v>#DIV/0!</v>
      </c>
      <c r="M14" s="54">
        <f>IFERROR(IF('3. Visual Dashboard'!J2="container",'Add''l Harvest Data'!I12/'Add''l Harvest Data'!I11,'Add''l Harvest Data'!I12),"")</f>
        <v>0</v>
      </c>
      <c r="N14" s="97"/>
      <c r="O14" s="45"/>
      <c r="P14" s="45"/>
      <c r="Q14" s="45"/>
      <c r="R14" s="49"/>
    </row>
    <row r="15" spans="2:18" x14ac:dyDescent="0.35">
      <c r="B15" s="49"/>
      <c r="C15" s="109"/>
      <c r="D15" s="49"/>
      <c r="E15" s="96"/>
      <c r="F15" s="45"/>
      <c r="G15" s="49"/>
      <c r="H15" s="49"/>
      <c r="I15" s="49"/>
      <c r="K15" s="49"/>
      <c r="L15" s="49"/>
      <c r="M15" s="49"/>
      <c r="N15" s="107"/>
      <c r="O15" s="49"/>
      <c r="P15" s="49"/>
      <c r="Q15" s="49"/>
      <c r="R15" s="49"/>
    </row>
    <row r="16" spans="2:18" ht="58" x14ac:dyDescent="0.35">
      <c r="B16" s="107"/>
      <c r="C16" s="107"/>
      <c r="D16" s="84" t="s">
        <v>421</v>
      </c>
      <c r="E16" s="97"/>
      <c r="F16" s="45"/>
      <c r="G16" s="84"/>
      <c r="H16" s="83" t="s">
        <v>286</v>
      </c>
      <c r="I16" s="107"/>
      <c r="K16" s="49"/>
      <c r="L16" s="49"/>
      <c r="M16" s="84" t="s">
        <v>421</v>
      </c>
      <c r="N16" s="97"/>
      <c r="O16" s="45"/>
      <c r="P16" s="84"/>
      <c r="Q16" s="83" t="s">
        <v>286</v>
      </c>
      <c r="R16" s="49"/>
    </row>
    <row r="17" spans="2:18" x14ac:dyDescent="0.35">
      <c r="B17" s="143" t="s">
        <v>179</v>
      </c>
      <c r="C17" s="49"/>
      <c r="D17" s="65" t="str">
        <f>IFERROR(IF('3. Visual Dashboard'!J2="container",1-SUM(D6:D14)/('Add''l Check your work'!D7/'Add''l Harvest Data'!D18+SUM(D6:D14)),1-SUM(D6:D14)/('Add''l Check your work'!D7+SUM(D6:D14))),"")</f>
        <v/>
      </c>
      <c r="E17" s="107"/>
      <c r="F17" s="49"/>
      <c r="G17" s="49"/>
      <c r="H17" s="95" t="str">
        <f>IFERROR(IF('3. Visual Dashboard'!J2="container",1-SUM(D6:D9,IF(H10&gt;0,H10,D10),IF(H11="-",D11,H11),IF(H12="-",D12,H12),IF(H13="-",D13,H13),D14)/('Add''l Check your work'!D7/'Add''l Harvest Data'!D18+SUM(D6:D9,IF(H10&gt;0,H10,D10),IF(H11="-",D11,H11),IF(H12="-",D12,H12),IF(H13="-",D13,H13),D14)),1-SUM(D6:D9,IF(H10&gt;0,H10,D10),IF(H11="-",D11,H11),IF(H12="-",D12,H12),IF(H13="-",D13,H13),D14)/('Add''l Check your work'!D7+SUM(D6:D9,IF(H10&gt;0,H10,D10),IF(H11="-",D11,H11),IF(H12="-",D12,H12),IF(H13="-",D13,H13),D14))),"")</f>
        <v/>
      </c>
      <c r="I17" s="49"/>
      <c r="K17" s="143" t="s">
        <v>179</v>
      </c>
      <c r="L17" s="49"/>
      <c r="M17" s="63" t="str">
        <f>IFERROR(IF('3. Visual Dashboard'!J2="container",1-SUM(M6:M14)/('Add''l Check your work'!O7/'Add''l Loss Data'!C9+SUM(M6:M14)),1-SUM(M6:M14)/('Add''l Check your work'!O7+SUM(M6:M14))),"")</f>
        <v/>
      </c>
      <c r="N17" s="107"/>
      <c r="O17" s="49"/>
      <c r="P17" s="49"/>
      <c r="Q17" s="95" t="str">
        <f>IFERROR(IF('3. Visual Dashboard'!J2="container",1-SUM(M6:M9,IF(Q10&gt;0,Q10,M10),IF(Q11="-",M11,Q11),IF(Q12="-",M12,Q12),IF(Q13="-",M13,Q13),M14)/('Add''l Check your work'!O7/'Add''l Loss Data'!C9+SUM(M6:M9,IF(Q10&gt;0,Q10,M10),IF(Q11="-",M11,Q11),IF(Q12="-",M12,Q12),IF(Q13="-",M13,Q13),M14)),1-SUM(M6:M9,IF(Q10&gt;0,Q10,M10),IF(Q11="-",M11,Q11),IF(Q12="-",M12,Q12),IF(Q13="-",M13,Q13),M14)/('Add''l Check your work'!O7+SUM(M6:M9,IF(Q10&gt;0,Q10,M10),IF(Q11="-",M11,Q11),IF(Q12="-",M12,Q12),IF(Q13="-",M13,Q13),M14))),"")</f>
        <v/>
      </c>
      <c r="R17" s="49"/>
    </row>
    <row r="18" spans="2:18" x14ac:dyDescent="0.35">
      <c r="B18" s="143" t="s">
        <v>168</v>
      </c>
      <c r="C18" s="49"/>
      <c r="D18" s="63" t="str">
        <f>IFERROR(IF('3. Visual Dashboard'!J2="container",(D8)/('Add''l Check your work'!D7/'Add''l Harvest Data'!D18+D7+D8+D9+D14),(D8)/('Add''l Check your work'!D7+D7+D8+D9+D14)),"")</f>
        <v/>
      </c>
      <c r="E18" s="107"/>
      <c r="F18" s="49"/>
      <c r="G18" s="49"/>
      <c r="H18" s="49"/>
      <c r="I18" s="49"/>
      <c r="K18" s="143" t="s">
        <v>168</v>
      </c>
      <c r="L18" s="49"/>
      <c r="M18" s="63" t="str">
        <f>IFERROR(IF('3. Visual Dashboard'!J2="container",(M7+M8)/('Add''l Check your work'!O7/'Add''l Loss Data'!C9+M7+M8+M9+M14),(M7+M8)/('Add''l Check your work'!O7+M7+M8+M9+M14)),"")</f>
        <v/>
      </c>
      <c r="N18" s="107"/>
      <c r="O18" s="49"/>
      <c r="P18" s="49"/>
      <c r="Q18" s="49"/>
      <c r="R18" s="49"/>
    </row>
    <row r="19" spans="2:18" x14ac:dyDescent="0.35">
      <c r="B19" s="143" t="s">
        <v>169</v>
      </c>
      <c r="C19" s="49"/>
      <c r="D19" s="63" t="str">
        <f>IFERROR(IF('3. Visual Dashboard'!J2="container",(D7)/('Add''l Check your work'!D7/'Add''l Harvest Data'!D18+D7+D8+D9+D14),(D7)/('Add''l Check your work'!D7+D7+D8+D9+D14)),"")</f>
        <v/>
      </c>
      <c r="E19" s="107"/>
      <c r="F19" s="49"/>
      <c r="G19" s="49"/>
      <c r="H19" s="49"/>
      <c r="I19" s="49"/>
      <c r="K19" s="143" t="s">
        <v>169</v>
      </c>
      <c r="L19" s="49"/>
      <c r="M19" s="64" t="str">
        <f>IFERROR(IF('3. Visual Dashboard'!J2="container",(M7)/('Add''l Check your work'!O7/'Add''l Loss Data'!C9+M7+M8+M9+M14),(M7)/('Add''l Check your work'!O7+M7+M8+M9+M14)),"")</f>
        <v/>
      </c>
      <c r="N19" s="107"/>
      <c r="O19" s="49"/>
      <c r="P19" s="49"/>
      <c r="Q19" s="49"/>
      <c r="R19" s="49"/>
    </row>
    <row r="20" spans="2:18" x14ac:dyDescent="0.35">
      <c r="B20" s="143" t="s">
        <v>259</v>
      </c>
      <c r="C20" s="49"/>
      <c r="D20" s="65" t="str">
        <f>IFERROR(IF('3. Visual Dashboard'!J2="container",D9/('Add''l Check your work'!D7/'Add''l Harvest Data'!D18+D7+D8+D9+D14),D9/('Add''l Check your work'!D7+D7+D8+D9+D14)),"")</f>
        <v/>
      </c>
      <c r="E20" s="107"/>
      <c r="F20" s="49"/>
      <c r="G20" s="49"/>
      <c r="H20" s="49"/>
      <c r="I20" s="49"/>
      <c r="K20" s="143" t="s">
        <v>259</v>
      </c>
      <c r="L20" s="49"/>
      <c r="M20" s="65" t="str">
        <f>IFERROR(IF('3. Visual Dashboard'!J2="container",M9/('Add''l Check your work'!O7/'Add''l Loss Data'!C9+M7+M8+M9+M14),M9/('Add''l Check your work'!O7+M7+M8+M9+M14)),"")</f>
        <v/>
      </c>
      <c r="N20" s="107"/>
      <c r="O20" s="49"/>
      <c r="P20" s="49"/>
      <c r="Q20" s="49"/>
      <c r="R20" s="49"/>
    </row>
    <row r="21" spans="2:18" x14ac:dyDescent="0.35"/>
    <row r="22" spans="2:18" x14ac:dyDescent="0.35"/>
    <row r="23" spans="2:18" x14ac:dyDescent="0.35"/>
  </sheetData>
  <mergeCells count="8">
    <mergeCell ref="P5:Q5"/>
    <mergeCell ref="C5:D5"/>
    <mergeCell ref="G5:H5"/>
    <mergeCell ref="E6:E8"/>
    <mergeCell ref="F6:F8"/>
    <mergeCell ref="N6:N8"/>
    <mergeCell ref="O6:O8"/>
    <mergeCell ref="L5:M5"/>
  </mergeCells>
  <dataValidations count="5">
    <dataValidation allowBlank="1" showInputMessage="1" showErrorMessage="1" promptTitle="Crop Utilization" prompt="Percent of a crop that was planted, raised to maturity and harvested for its intended or alternative market." sqref="K17" xr:uid="{6198F218-CA56-446E-8AD0-90FD9D7453E8}"/>
    <dataValidation allowBlank="1" showInputMessage="1" showErrorMessage="1" promptTitle="Crop Utllization" prompt="Percent of a crop that was planted, raised to maturity and harvested for its intended or alternative market." sqref="B17" xr:uid="{FAE8F1BE-D1E9-4627-844B-01F63CF255E4}"/>
    <dataValidation allowBlank="1" showInputMessage="1" showErrorMessage="1" promptTitle="Edible Loss" prompt="Crop left in-field that does not meet buyers' current quality specifications but is still considered edible for human consumption." sqref="B18 K18" xr:uid="{5429BECC-34F5-483A-9D0E-7825A960BC35}"/>
    <dataValidation allowBlank="1" showInputMessage="1" showErrorMessage="1" promptTitle="Marketable Loss" prompt="Crop loss that meets buyers’ current quality specifications." sqref="B19 K19" xr:uid="{2B93B6A7-30C2-44F8-92DE-619A8B19AB00}"/>
    <dataValidation allowBlank="1" showInputMessage="1" showErrorMessage="1" promptTitle="Inedible Loss" prompt="Crop that is damaged, diseased, showing signs of decay, or over mature" sqref="B20 K20" xr:uid="{56D8AEF2-244A-194C-847E-BF2C68D011D7}"/>
  </dataValidations>
  <pageMargins left="0.7" right="0.7" top="0.75" bottom="0.75" header="0.3" footer="0.3"/>
  <pageSetup paperSize="9" orientation="landscape" horizontalDpi="0" verticalDpi="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F4584A-04E1-3B43-B394-C6767C975D33}">
  <dimension ref="A1:U55"/>
  <sheetViews>
    <sheetView showGridLines="0" showRowColHeaders="0" zoomScale="120" zoomScaleNormal="120" workbookViewId="0">
      <pane xSplit="2" ySplit="2" topLeftCell="C3" activePane="bottomRight" state="frozen"/>
      <selection pane="topRight" activeCell="C1" sqref="C1"/>
      <selection pane="bottomLeft" activeCell="A3" sqref="A3"/>
      <selection pane="bottomRight"/>
    </sheetView>
  </sheetViews>
  <sheetFormatPr defaultColWidth="0" defaultRowHeight="14.5" x14ac:dyDescent="0.35"/>
  <cols>
    <col min="1" max="1" width="10.81640625" customWidth="1"/>
    <col min="2" max="2" width="27.81640625" bestFit="1" customWidth="1"/>
    <col min="3" max="3" width="10.81640625" style="60" customWidth="1"/>
    <col min="4" max="4" width="13.7265625" customWidth="1"/>
    <col min="5" max="14" width="10.81640625" customWidth="1"/>
    <col min="15" max="15" width="13.7265625" customWidth="1"/>
    <col min="16" max="21" width="10.81640625" customWidth="1"/>
    <col min="22" max="16384" width="10.81640625" hidden="1"/>
  </cols>
  <sheetData>
    <row r="1" spans="2:15" x14ac:dyDescent="0.35">
      <c r="D1" t="str">
        <f>_xlfn.CONCAT('Add''l Harvest Data'!D5," ",'Add''l Harvest Data'!D6)</f>
        <v xml:space="preserve"> </v>
      </c>
      <c r="O1" t="str">
        <f>_xlfn.CONCAT('Add''l Harvest Data'!I5," ",'Add''l Harvest Data'!I6)</f>
        <v xml:space="preserve"> </v>
      </c>
    </row>
    <row r="3" spans="2:15" ht="15" thickBot="1" x14ac:dyDescent="0.4">
      <c r="B3" s="132" t="s">
        <v>303</v>
      </c>
    </row>
    <row r="4" spans="2:15" ht="15" thickBot="1" x14ac:dyDescent="0.4">
      <c r="B4" s="132"/>
      <c r="C4" s="18" t="s">
        <v>180</v>
      </c>
      <c r="D4" s="14">
        <f>'Add''l Harvest Data'!D10*'Add''l Harvest Data'!D15</f>
        <v>0</v>
      </c>
      <c r="L4" s="184"/>
      <c r="N4" s="18" t="s">
        <v>180</v>
      </c>
      <c r="O4" s="14">
        <f>'Add''l Harvest Data'!I10*'Add''l Harvest Data'!I15</f>
        <v>0</v>
      </c>
    </row>
    <row r="5" spans="2:15" ht="15" thickBot="1" x14ac:dyDescent="0.4">
      <c r="B5" s="132"/>
      <c r="C5" s="18"/>
    </row>
    <row r="6" spans="2:15" ht="15" thickBot="1" x14ac:dyDescent="0.4">
      <c r="B6" s="132"/>
      <c r="C6" s="139" t="s">
        <v>270</v>
      </c>
      <c r="D6" s="260">
        <f>'Add''l Harvest Data'!D14-'Add''l Harvest Data'!D15-'Add''l Harvest Data'!D16</f>
        <v>0</v>
      </c>
      <c r="L6" s="184"/>
      <c r="N6" s="139" t="s">
        <v>270</v>
      </c>
      <c r="O6" s="14">
        <f>'Add''l Harvest Data'!I14-'Add''l Harvest Data'!I15-'Add''l Harvest Data'!I16</f>
        <v>0</v>
      </c>
    </row>
    <row r="7" spans="2:15" ht="15" thickBot="1" x14ac:dyDescent="0.4">
      <c r="B7" s="132"/>
      <c r="C7" s="142" t="s">
        <v>193</v>
      </c>
      <c r="D7" s="14">
        <f>'Add''l Check your work'!D4</f>
        <v>0</v>
      </c>
      <c r="L7" s="184"/>
      <c r="N7" s="142" t="s">
        <v>193</v>
      </c>
      <c r="O7" s="14">
        <f>'Add''l Check your work'!O4</f>
        <v>0</v>
      </c>
    </row>
    <row r="8" spans="2:15" ht="15" thickBot="1" x14ac:dyDescent="0.4">
      <c r="B8" s="132"/>
      <c r="C8" s="139" t="s">
        <v>194</v>
      </c>
      <c r="D8" s="14" t="str">
        <f>IFERROR(D4/'Add''l Harvest Data'!D15,"")</f>
        <v/>
      </c>
      <c r="L8" s="184"/>
      <c r="N8" s="139" t="s">
        <v>194</v>
      </c>
      <c r="O8" s="14" t="str">
        <f>IFERROR(O4/'Add''l Harvest Data'!I15,"")</f>
        <v/>
      </c>
    </row>
    <row r="9" spans="2:15" x14ac:dyDescent="0.35">
      <c r="B9" s="132"/>
    </row>
    <row r="10" spans="2:15" x14ac:dyDescent="0.35">
      <c r="B10" s="132"/>
    </row>
    <row r="11" spans="2:15" ht="15" thickBot="1" x14ac:dyDescent="0.4">
      <c r="B11" s="132" t="s">
        <v>147</v>
      </c>
    </row>
    <row r="12" spans="2:15" ht="15" thickBot="1" x14ac:dyDescent="0.4">
      <c r="B12" s="132"/>
      <c r="C12" s="187" t="s">
        <v>209</v>
      </c>
      <c r="D12" s="188">
        <f>IF('Add''l Loss Data'!E31="containers",'Add''l Loss Data'!E32*'Add''l Harvest Data'!D11,'Add''l Loss Data'!E32)</f>
        <v>0</v>
      </c>
      <c r="E12" s="60"/>
      <c r="F12" s="60"/>
      <c r="G12" s="60"/>
      <c r="H12" s="60"/>
      <c r="I12" s="60"/>
      <c r="J12" s="60"/>
      <c r="K12" s="60"/>
      <c r="L12" s="189"/>
      <c r="M12" s="60"/>
      <c r="N12" s="187" t="s">
        <v>209</v>
      </c>
      <c r="O12" s="188">
        <f>IF('Add''l Loss Data'!L31="containers",'Add''l Loss Data'!L32*'Add''l Harvest Data'!I11,'Add''l Loss Data'!L32)</f>
        <v>0</v>
      </c>
    </row>
    <row r="13" spans="2:15" ht="15" thickBot="1" x14ac:dyDescent="0.4">
      <c r="B13" s="132"/>
      <c r="C13" s="187" t="s">
        <v>210</v>
      </c>
      <c r="D13" s="188">
        <f>IF('Add''l Loss Data'!E31="containers",'Add''l Loss Data'!E33*'Add''l Harvest Data'!D11,'Add''l Loss Data'!E33)</f>
        <v>0</v>
      </c>
      <c r="E13" s="60"/>
      <c r="F13" s="60"/>
      <c r="G13" s="60"/>
      <c r="H13" s="60"/>
      <c r="I13" s="60"/>
      <c r="J13" s="60"/>
      <c r="K13" s="60"/>
      <c r="L13" s="189"/>
      <c r="M13" s="60"/>
      <c r="N13" s="187" t="s">
        <v>210</v>
      </c>
      <c r="O13" s="188">
        <f>IF('Add''l Loss Data'!L31="containers",'Add''l Loss Data'!L33*'Add''l Harvest Data'!I11,'Add''l Loss Data'!L33)</f>
        <v>0</v>
      </c>
    </row>
    <row r="14" spans="2:15" ht="15" thickBot="1" x14ac:dyDescent="0.4">
      <c r="B14" s="132"/>
      <c r="C14" s="142" t="s">
        <v>260</v>
      </c>
      <c r="D14" s="188">
        <f>D12-D13</f>
        <v>0</v>
      </c>
      <c r="E14" s="60"/>
      <c r="F14" s="60"/>
      <c r="G14" s="60"/>
      <c r="H14" s="60"/>
      <c r="I14" s="60"/>
      <c r="J14" s="60"/>
      <c r="K14" s="60"/>
      <c r="L14" s="189"/>
      <c r="M14" s="60"/>
      <c r="N14" s="142" t="s">
        <v>260</v>
      </c>
      <c r="O14" s="188">
        <f>O12-O13</f>
        <v>0</v>
      </c>
    </row>
    <row r="15" spans="2:15" ht="15" thickBot="1" x14ac:dyDescent="0.4">
      <c r="B15" s="132"/>
      <c r="C15" s="187" t="s">
        <v>261</v>
      </c>
      <c r="D15" s="188" t="str">
        <f>IF(AND('Add''l Reasons for Loss'!D33&gt;0, 'Add''l Reasons for Loss'!D34&gt;0),D12*((1-'Add''l Reasons for Loss'!D33)/(1-'Add''l Reasons for Loss'!D34))-D13,"-")</f>
        <v>-</v>
      </c>
      <c r="E15" s="60"/>
      <c r="F15" s="60"/>
      <c r="G15" s="60"/>
      <c r="H15" s="60"/>
      <c r="I15" s="60"/>
      <c r="J15" s="60"/>
      <c r="K15" s="60"/>
      <c r="L15" s="189"/>
      <c r="M15" s="60"/>
      <c r="N15" s="187" t="s">
        <v>261</v>
      </c>
      <c r="O15" s="188" t="str">
        <f>IF(AND('Add''l Reasons for Loss'!M33&gt;0, 'Add''l Reasons for Loss'!M34&gt;0),O12*((1-'Add''l Reasons for Loss'!M33)/(1-'Add''l Reasons for Loss'!M34))-O13,"-")</f>
        <v>-</v>
      </c>
    </row>
    <row r="16" spans="2:15" ht="15" thickBot="1" x14ac:dyDescent="0.4">
      <c r="B16" s="132"/>
      <c r="C16" s="157" t="s">
        <v>262</v>
      </c>
      <c r="D16" s="188" t="str">
        <f>IFERROR(D14/'Add''l Harvest Data'!D15,"-")</f>
        <v>-</v>
      </c>
      <c r="E16" s="60"/>
      <c r="F16" s="60"/>
      <c r="G16" s="60"/>
      <c r="H16" s="60"/>
      <c r="I16" s="60"/>
      <c r="J16" s="60"/>
      <c r="K16" s="60"/>
      <c r="L16" s="189"/>
      <c r="M16" s="60"/>
      <c r="N16" s="157" t="s">
        <v>262</v>
      </c>
      <c r="O16" s="188" t="str">
        <f>IFERROR(O14/'Add''l Harvest Data'!I15,"-")</f>
        <v>-</v>
      </c>
    </row>
    <row r="17" spans="2:15" ht="15" thickBot="1" x14ac:dyDescent="0.4">
      <c r="B17" s="132"/>
      <c r="C17" s="157" t="s">
        <v>263</v>
      </c>
      <c r="D17" s="188" t="str">
        <f>IFERROR(D15/'Add''l Harvest Data'!D15,"-")</f>
        <v>-</v>
      </c>
      <c r="E17" s="60"/>
      <c r="F17" s="60"/>
      <c r="G17" s="60"/>
      <c r="H17" s="60"/>
      <c r="I17" s="60"/>
      <c r="J17" s="60"/>
      <c r="K17" s="60"/>
      <c r="L17" s="189"/>
      <c r="M17" s="60"/>
      <c r="N17" s="157" t="s">
        <v>263</v>
      </c>
      <c r="O17" s="188" t="str">
        <f>IFERROR(O15/'Add''l Harvest Data'!I15,"-")</f>
        <v>-</v>
      </c>
    </row>
    <row r="18" spans="2:15" x14ac:dyDescent="0.35">
      <c r="B18" s="132"/>
    </row>
    <row r="19" spans="2:15" x14ac:dyDescent="0.35">
      <c r="B19" s="132"/>
    </row>
    <row r="20" spans="2:15" ht="15" thickBot="1" x14ac:dyDescent="0.4">
      <c r="B20" s="132" t="s">
        <v>148</v>
      </c>
    </row>
    <row r="21" spans="2:15" ht="15" thickBot="1" x14ac:dyDescent="0.4">
      <c r="B21" s="132"/>
      <c r="C21" s="187" t="s">
        <v>205</v>
      </c>
      <c r="D21" s="188">
        <f>IF('Add''l Loss Data'!E38="containers",'Add''l Loss Data'!E39*'Add''l Harvest Data'!D11,'Add''l Loss Data'!E39)</f>
        <v>0</v>
      </c>
      <c r="E21" s="60"/>
      <c r="F21" s="60"/>
      <c r="G21" s="60"/>
      <c r="H21" s="60"/>
      <c r="I21" s="60"/>
      <c r="J21" s="60"/>
      <c r="K21" s="60"/>
      <c r="L21" s="189"/>
      <c r="M21" s="60"/>
      <c r="N21" s="187" t="s">
        <v>205</v>
      </c>
      <c r="O21" s="188">
        <f>IF('Add''l Loss Data'!L38="containers",'Add''l Loss Data'!L39*'Add''l Harvest Data'!I11,'Add''l Loss Data'!L39)</f>
        <v>0</v>
      </c>
    </row>
    <row r="22" spans="2:15" ht="15" thickBot="1" x14ac:dyDescent="0.4">
      <c r="B22" s="132"/>
      <c r="C22" s="187" t="s">
        <v>237</v>
      </c>
      <c r="D22" s="188">
        <f>IF('Add''l Loss Data'!E38="containers",'Add''l Loss Data'!E40*'Add''l Harvest Data'!D11,'Add''l Loss Data'!E40)</f>
        <v>0</v>
      </c>
      <c r="E22" s="60"/>
      <c r="F22" s="60"/>
      <c r="G22" s="60"/>
      <c r="H22" s="60"/>
      <c r="I22" s="60"/>
      <c r="J22" s="60"/>
      <c r="K22" s="60"/>
      <c r="L22" s="189"/>
      <c r="M22" s="60"/>
      <c r="N22" s="187" t="s">
        <v>237</v>
      </c>
      <c r="O22" s="188">
        <f>IF('Add''l Loss Data'!L38="containers",'Add''l Loss Data'!L40*'Add''l Harvest Data'!I11,'Add''l Loss Data'!L40)</f>
        <v>0</v>
      </c>
    </row>
    <row r="23" spans="2:15" ht="15" thickBot="1" x14ac:dyDescent="0.4">
      <c r="B23" s="132"/>
      <c r="C23" s="142" t="s">
        <v>260</v>
      </c>
      <c r="D23" s="188">
        <f>D21-D22</f>
        <v>0</v>
      </c>
      <c r="E23" s="60"/>
      <c r="F23" s="60"/>
      <c r="G23" s="60"/>
      <c r="H23" s="60"/>
      <c r="I23" s="60"/>
      <c r="J23" s="60"/>
      <c r="K23" s="60"/>
      <c r="L23" s="189"/>
      <c r="M23" s="60"/>
      <c r="N23" s="142" t="s">
        <v>260</v>
      </c>
      <c r="O23" s="188">
        <f>O21-O22</f>
        <v>0</v>
      </c>
    </row>
    <row r="24" spans="2:15" ht="15" thickBot="1" x14ac:dyDescent="0.4">
      <c r="B24" s="132"/>
      <c r="C24" s="187" t="s">
        <v>261</v>
      </c>
      <c r="D24" s="188" t="str">
        <f>IF(AND('Add''l Reasons for Loss'!D52&gt;0, 'Add''l Reasons for Loss'!D53&gt;0),D21*((1-'Add''l Reasons for Loss'!D52)/(1-'Add''l Reasons for Loss'!D53))-D22,"-")</f>
        <v>-</v>
      </c>
      <c r="E24" s="60"/>
      <c r="F24" s="60"/>
      <c r="G24" s="60"/>
      <c r="H24" s="60"/>
      <c r="I24" s="60"/>
      <c r="J24" s="60"/>
      <c r="K24" s="60"/>
      <c r="L24" s="189"/>
      <c r="M24" s="60"/>
      <c r="N24" s="187" t="s">
        <v>261</v>
      </c>
      <c r="O24" s="188" t="str">
        <f>IF(AND('Add''l Reasons for Loss'!M52&gt;0, 'Add''l Reasons for Loss'!M53&gt;0),O21*((1-'Add''l Reasons for Loss'!M52)/(1-'Add''l Reasons for Loss'!M53))-O22,"-")</f>
        <v>-</v>
      </c>
    </row>
    <row r="25" spans="2:15" ht="15" thickBot="1" x14ac:dyDescent="0.4">
      <c r="B25" s="132"/>
      <c r="C25" s="157" t="s">
        <v>262</v>
      </c>
      <c r="D25" s="188" t="str">
        <f>IFERROR(D23/'Add''l Harvest Data'!D15,"-")</f>
        <v>-</v>
      </c>
      <c r="E25" s="60"/>
      <c r="F25" s="60"/>
      <c r="G25" s="60"/>
      <c r="H25" s="60"/>
      <c r="I25" s="60"/>
      <c r="J25" s="60"/>
      <c r="K25" s="60"/>
      <c r="L25" s="189"/>
      <c r="M25" s="60"/>
      <c r="N25" s="157" t="s">
        <v>262</v>
      </c>
      <c r="O25" s="188" t="str">
        <f>IFERROR(O23/'Add''l Harvest Data'!I15,"-")</f>
        <v>-</v>
      </c>
    </row>
    <row r="26" spans="2:15" ht="15" thickBot="1" x14ac:dyDescent="0.4">
      <c r="B26" s="132"/>
      <c r="C26" s="157" t="s">
        <v>263</v>
      </c>
      <c r="D26" s="188" t="str">
        <f>IFERROR(D24/'Add''l Harvest Data'!D15,"-")</f>
        <v>-</v>
      </c>
      <c r="E26" s="60"/>
      <c r="F26" s="60"/>
      <c r="G26" s="60"/>
      <c r="H26" s="60"/>
      <c r="I26" s="60"/>
      <c r="J26" s="60"/>
      <c r="K26" s="60"/>
      <c r="L26" s="189"/>
      <c r="M26" s="60"/>
      <c r="N26" s="157" t="s">
        <v>263</v>
      </c>
      <c r="O26" s="188" t="str">
        <f>IFERROR(O24/'Add''l Harvest Data'!I15,"-")</f>
        <v>-</v>
      </c>
    </row>
    <row r="27" spans="2:15" x14ac:dyDescent="0.35">
      <c r="B27" s="132"/>
    </row>
    <row r="28" spans="2:15" x14ac:dyDescent="0.35">
      <c r="B28" s="132"/>
    </row>
    <row r="29" spans="2:15" ht="15" thickBot="1" x14ac:dyDescent="0.4">
      <c r="B29" s="132" t="s">
        <v>149</v>
      </c>
    </row>
    <row r="30" spans="2:15" ht="15" thickBot="1" x14ac:dyDescent="0.4">
      <c r="B30" s="132"/>
      <c r="C30" s="187" t="s">
        <v>204</v>
      </c>
      <c r="D30" s="188">
        <f>IF('Add''l Loss Data'!E45="containers",'Add''l Loss Data'!E46*'Add''l Harvest Data'!D11,'Add''l Loss Data'!E46)</f>
        <v>0</v>
      </c>
      <c r="E30" s="60"/>
      <c r="F30" s="60"/>
      <c r="G30" s="60"/>
      <c r="H30" s="60"/>
      <c r="I30" s="60"/>
      <c r="J30" s="60"/>
      <c r="K30" s="60"/>
      <c r="L30" s="189"/>
      <c r="M30" s="60"/>
      <c r="N30" s="187" t="s">
        <v>204</v>
      </c>
      <c r="O30" s="188">
        <f>IF('Add''l Loss Data'!L45="containers",'Add''l Loss Data'!L46*'Add''l Harvest Data'!I11,'Add''l Loss Data'!L46)</f>
        <v>0</v>
      </c>
    </row>
    <row r="31" spans="2:15" ht="15" thickBot="1" x14ac:dyDescent="0.4">
      <c r="B31" s="132"/>
      <c r="C31" s="187" t="s">
        <v>240</v>
      </c>
      <c r="D31" s="188">
        <f>IF('Add''l Loss Data'!E45="containers",'Add''l Loss Data'!E47*'Add''l Harvest Data'!D11,'Add''l Loss Data'!E47)</f>
        <v>0</v>
      </c>
      <c r="E31" s="60"/>
      <c r="F31" s="60"/>
      <c r="G31" s="60"/>
      <c r="H31" s="60"/>
      <c r="I31" s="60"/>
      <c r="J31" s="60"/>
      <c r="K31" s="60"/>
      <c r="L31" s="189"/>
      <c r="M31" s="60"/>
      <c r="N31" s="187" t="s">
        <v>240</v>
      </c>
      <c r="O31" s="188">
        <f>IF('Add''l Loss Data'!L45="containers",'Add''l Loss Data'!L47*'Add''l Harvest Data'!I11,'Add''l Loss Data'!L47)</f>
        <v>0</v>
      </c>
    </row>
    <row r="32" spans="2:15" ht="15" thickBot="1" x14ac:dyDescent="0.4">
      <c r="B32" s="132"/>
      <c r="C32" s="142" t="s">
        <v>260</v>
      </c>
      <c r="D32" s="188">
        <f>D30-D31</f>
        <v>0</v>
      </c>
      <c r="E32" s="60"/>
      <c r="F32" s="60"/>
      <c r="G32" s="60"/>
      <c r="H32" s="60"/>
      <c r="I32" s="60"/>
      <c r="J32" s="60"/>
      <c r="K32" s="60"/>
      <c r="L32" s="189"/>
      <c r="M32" s="60"/>
      <c r="N32" s="142" t="s">
        <v>260</v>
      </c>
      <c r="O32" s="188">
        <f>O30-O31</f>
        <v>0</v>
      </c>
    </row>
    <row r="33" spans="2:20" ht="15" thickBot="1" x14ac:dyDescent="0.4">
      <c r="B33" s="132"/>
      <c r="C33" s="187" t="s">
        <v>261</v>
      </c>
      <c r="D33" s="188" t="str">
        <f>IF(AND('Add''l Reasons for Loss'!D70&gt;0, 'Add''l Reasons for Loss'!D71&gt;0),D30*((1-'Add''l Reasons for Loss'!D70)/(1-'Add''l Reasons for Loss'!D71))-D31,"-")</f>
        <v>-</v>
      </c>
      <c r="E33" s="60"/>
      <c r="F33" s="60"/>
      <c r="G33" s="60"/>
      <c r="H33" s="60"/>
      <c r="I33" s="60"/>
      <c r="J33" s="60"/>
      <c r="K33" s="60"/>
      <c r="L33" s="189"/>
      <c r="M33" s="60"/>
      <c r="N33" s="187" t="s">
        <v>261</v>
      </c>
      <c r="O33" s="188" t="str">
        <f>IF(AND('Add''l Reasons for Loss'!M70&gt;0, 'Add''l Reasons for Loss'!M71&gt;0),O30*((1-'Add''l Reasons for Loss'!M70)/(1-'Add''l Reasons for Loss'!M71))-O31,"-")</f>
        <v>-</v>
      </c>
    </row>
    <row r="34" spans="2:20" ht="15" thickBot="1" x14ac:dyDescent="0.4">
      <c r="B34" s="132"/>
      <c r="C34" s="157" t="s">
        <v>262</v>
      </c>
      <c r="D34" s="188" t="str">
        <f>IFERROR(D32/'Add''l Harvest Data'!D15,"-")</f>
        <v>-</v>
      </c>
      <c r="E34" s="60"/>
      <c r="F34" s="60"/>
      <c r="G34" s="60"/>
      <c r="H34" s="60"/>
      <c r="I34" s="60"/>
      <c r="J34" s="60"/>
      <c r="K34" s="60"/>
      <c r="L34" s="189"/>
      <c r="M34" s="60"/>
      <c r="N34" s="157" t="s">
        <v>262</v>
      </c>
      <c r="O34" s="188" t="str">
        <f>IFERROR(O32/'Add''l Harvest Data'!I15,"-")</f>
        <v>-</v>
      </c>
    </row>
    <row r="35" spans="2:20" ht="15" thickBot="1" x14ac:dyDescent="0.4">
      <c r="B35" s="132"/>
      <c r="C35" s="157" t="s">
        <v>263</v>
      </c>
      <c r="D35" s="188" t="str">
        <f>IFERROR(D33/'Add''l Harvest Data'!D15,"-")</f>
        <v>-</v>
      </c>
      <c r="E35" s="60"/>
      <c r="F35" s="60"/>
      <c r="G35" s="60"/>
      <c r="H35" s="60"/>
      <c r="I35" s="60"/>
      <c r="J35" s="60"/>
      <c r="K35" s="60"/>
      <c r="L35" s="189"/>
      <c r="M35" s="60"/>
      <c r="N35" s="157" t="s">
        <v>263</v>
      </c>
      <c r="O35" s="188" t="str">
        <f>IFERROR(O33/'Add''l Harvest Data'!I15,"-")</f>
        <v>-</v>
      </c>
    </row>
    <row r="36" spans="2:20" x14ac:dyDescent="0.35">
      <c r="B36" s="132"/>
    </row>
    <row r="37" spans="2:20" x14ac:dyDescent="0.35">
      <c r="B37" s="132" t="s">
        <v>306</v>
      </c>
    </row>
    <row r="38" spans="2:20" ht="58.5" thickBot="1" x14ac:dyDescent="0.4">
      <c r="B38" s="142" t="s">
        <v>233</v>
      </c>
      <c r="C38"/>
      <c r="D38" s="36" t="s">
        <v>181</v>
      </c>
      <c r="E38" s="36" t="s">
        <v>241</v>
      </c>
      <c r="F38" s="36" t="s">
        <v>260</v>
      </c>
      <c r="G38" s="92" t="s">
        <v>235</v>
      </c>
      <c r="H38" s="92" t="s">
        <v>236</v>
      </c>
      <c r="I38" s="36" t="s">
        <v>243</v>
      </c>
      <c r="J38" s="36"/>
      <c r="K38" s="185"/>
      <c r="L38" s="36"/>
      <c r="M38" s="142" t="s">
        <v>233</v>
      </c>
      <c r="O38" s="36" t="s">
        <v>181</v>
      </c>
      <c r="P38" s="36" t="s">
        <v>241</v>
      </c>
      <c r="Q38" s="36" t="s">
        <v>260</v>
      </c>
      <c r="R38" s="92" t="s">
        <v>235</v>
      </c>
      <c r="S38" s="92" t="s">
        <v>236</v>
      </c>
      <c r="T38" s="36" t="s">
        <v>243</v>
      </c>
    </row>
    <row r="39" spans="2:20" ht="15" thickBot="1" x14ac:dyDescent="0.4">
      <c r="B39" s="132">
        <v>1</v>
      </c>
      <c r="C39" s="81" t="s">
        <v>152</v>
      </c>
      <c r="D39" s="38" t="str">
        <f>VLOOKUP('Add''l Loss Data'!$E23,Backend!$C$13:$I$16,2,FALSE)</f>
        <v>-</v>
      </c>
      <c r="E39" s="38">
        <f>VLOOKUP('Add''l Loss Data'!$E23,Backend!$C$13:$I$16,3,FALSE)</f>
        <v>0</v>
      </c>
      <c r="F39" s="38" t="str">
        <f>VLOOKUP('Add''l Loss Data'!$E23,Backend!$C$13:$I$16,4,FALSE)</f>
        <v>-</v>
      </c>
      <c r="G39" s="90" t="str">
        <f>VLOOKUP('Add''l Loss Data'!$E23,Backend!$C$13:$I$16,6,FALSE)</f>
        <v>-</v>
      </c>
      <c r="H39" s="90">
        <f>VLOOKUP('Add''l Loss Data'!$E23,Backend!$C$13:$I$16,7,FALSE)</f>
        <v>0</v>
      </c>
      <c r="I39" s="38" t="str">
        <f>IFERROR(IF(D40=0,"",E39-D40),"")</f>
        <v/>
      </c>
      <c r="J39" s="36"/>
      <c r="K39" s="185"/>
      <c r="L39" s="36"/>
      <c r="M39" s="134">
        <v>1</v>
      </c>
      <c r="N39" s="186" t="str">
        <f>'Add''l Loss Data'!L23</f>
        <v>Harvest</v>
      </c>
      <c r="O39" s="38" t="str">
        <f>VLOOKUP('Add''l Loss Data'!$L23,'Check your work'!$N$55:$T$58,2,FALSE)</f>
        <v>-</v>
      </c>
      <c r="P39" s="38">
        <f>VLOOKUP('Add''l Loss Data'!$L23,'Check your work'!$N$55:$T$58,3,FALSE)</f>
        <v>0</v>
      </c>
      <c r="Q39" s="38" t="str">
        <f>VLOOKUP('Add''l Loss Data'!$L23,'Check your work'!$N$55:$T$58,4,FALSE)</f>
        <v>-</v>
      </c>
      <c r="R39" s="90" t="str">
        <f>VLOOKUP('Add''l Loss Data'!$L23,'Check your work'!$N$55:$T$58,6,FALSE)</f>
        <v>-</v>
      </c>
      <c r="S39" s="90">
        <f>VLOOKUP('Add''l Loss Data'!$L23,'Check your work'!$N$55:$T$58,7,FALSE)</f>
        <v>0</v>
      </c>
      <c r="T39" s="38" t="str">
        <f>IFERROR(IF(O40=0,"",P39-O40),"")</f>
        <v/>
      </c>
    </row>
    <row r="40" spans="2:20" ht="15" thickBot="1" x14ac:dyDescent="0.4">
      <c r="B40" s="132">
        <v>2</v>
      </c>
      <c r="C40" s="16">
        <f>'Add''l Loss Data'!E24</f>
        <v>0</v>
      </c>
      <c r="D40" s="38" t="str">
        <f>IFERROR(VLOOKUP('Add''l Loss Data'!$E24,Backend!$C$13:$I$16,2,FALSE),"")</f>
        <v/>
      </c>
      <c r="E40" s="38" t="str">
        <f>IFERROR(VLOOKUP('Add''l Loss Data'!$E24,Backend!$C$13:$I$16,3,FALSE),"")</f>
        <v/>
      </c>
      <c r="F40" s="38" t="str">
        <f>IFERROR(VLOOKUP('Add''l Loss Data'!$E24,Backend!$C$13:$I$16,4,FALSE),"")</f>
        <v/>
      </c>
      <c r="G40" s="90" t="str">
        <f>IFERROR(VLOOKUP('Add''l Loss Data'!$E24,Backend!$C$13:$I$16,6,FALSE),"")</f>
        <v/>
      </c>
      <c r="H40" s="90" t="str">
        <f>IFERROR(VLOOKUP('Add''l Loss Data'!$E24,Backend!$C$13:$I$16,7,FALSE),"")</f>
        <v/>
      </c>
      <c r="I40" s="38" t="str">
        <f>IFERROR(IF(D41=0,"",E40-D41),"")</f>
        <v/>
      </c>
      <c r="J40" s="36"/>
      <c r="K40" s="185"/>
      <c r="L40" s="36"/>
      <c r="M40" s="134">
        <v>2</v>
      </c>
      <c r="N40" s="16">
        <f>'Add''l Loss Data'!L24</f>
        <v>0</v>
      </c>
      <c r="O40" s="38" t="str">
        <f>IFERROR(VLOOKUP('Add''l Loss Data'!$L24,'Check your work'!$N$55:$T$58,2,FALSE),"")</f>
        <v/>
      </c>
      <c r="P40" s="38" t="str">
        <f>IFERROR(VLOOKUP('Add''l Loss Data'!$L24,'Check your work'!$N$55:$T$58,3,FALSE),"")</f>
        <v/>
      </c>
      <c r="Q40" s="38" t="str">
        <f>IFERROR(VLOOKUP('Add''l Loss Data'!$L24,'Check your work'!$N$55:$T$58,4,FALSE),"")</f>
        <v/>
      </c>
      <c r="R40" s="90" t="str">
        <f>IFERROR(VLOOKUP('Add''l Loss Data'!$L24,'Check your work'!$N$55:$T$58,6,FALSE),"")</f>
        <v/>
      </c>
      <c r="S40" s="90" t="str">
        <f>IFERROR(VLOOKUP('Add''l Loss Data'!$L24,'Check your work'!$N$55:$T$58,7,FALSE),"")</f>
        <v/>
      </c>
      <c r="T40" s="38" t="str">
        <f>IFERROR(IF(O41=0,"",P40-O41),"")</f>
        <v/>
      </c>
    </row>
    <row r="41" spans="2:20" ht="15" thickBot="1" x14ac:dyDescent="0.4">
      <c r="B41" s="132">
        <v>3</v>
      </c>
      <c r="C41" s="16">
        <f>'Add''l Loss Data'!E25</f>
        <v>0</v>
      </c>
      <c r="D41" s="38" t="str">
        <f>IFERROR(VLOOKUP('Add''l Loss Data'!$E25,Backend!$C$13:$I$16,2,FALSE),"")</f>
        <v/>
      </c>
      <c r="E41" s="38" t="str">
        <f>IFERROR(VLOOKUP('Add''l Loss Data'!$E25,Backend!$C$13:$I$16,3,FALSE),"")</f>
        <v/>
      </c>
      <c r="F41" s="38" t="str">
        <f>IFERROR(VLOOKUP('Add''l Loss Data'!$E25,Backend!$C$13:$I$16,4,FALSE),"")</f>
        <v/>
      </c>
      <c r="G41" s="90" t="str">
        <f>IFERROR(VLOOKUP('Add''l Loss Data'!$E25,Backend!$C$13:$I$16,6,FALSE),"")</f>
        <v/>
      </c>
      <c r="H41" s="90" t="str">
        <f>IFERROR(VLOOKUP('Add''l Loss Data'!$E25,Backend!$C$13:$I$16,7,FALSE),"")</f>
        <v/>
      </c>
      <c r="I41" s="38" t="str">
        <f>IFERROR(IF(D42=0,"",E41-D42),"")</f>
        <v/>
      </c>
      <c r="J41" s="36"/>
      <c r="K41" s="185"/>
      <c r="L41" s="36"/>
      <c r="M41" s="134">
        <v>3</v>
      </c>
      <c r="N41" s="16">
        <f>'Add''l Loss Data'!L25</f>
        <v>0</v>
      </c>
      <c r="O41" s="38" t="str">
        <f>IFERROR(VLOOKUP('Add''l Loss Data'!$L25,'Check your work'!$N$55:$T$58,2,FALSE),"")</f>
        <v/>
      </c>
      <c r="P41" s="38" t="str">
        <f>IFERROR(VLOOKUP('Add''l Loss Data'!$L25,'Check your work'!$N$55:$T$58,3,FALSE),"")</f>
        <v/>
      </c>
      <c r="Q41" s="38" t="str">
        <f>IFERROR(VLOOKUP('Add''l Loss Data'!$L25,'Check your work'!$N$55:$T$58,4,FALSE),"")</f>
        <v/>
      </c>
      <c r="R41" s="90" t="str">
        <f>IFERROR(VLOOKUP('Add''l Loss Data'!$L25,'Check your work'!$N$55:$T$58,6,FALSE),"")</f>
        <v/>
      </c>
      <c r="S41" s="90" t="str">
        <f>IFERROR(VLOOKUP('Add''l Loss Data'!$L25,'Check your work'!$N$55:$T$58,7,FALSE),"")</f>
        <v/>
      </c>
      <c r="T41" s="38" t="str">
        <f>IFERROR(IF(O42=0,"",P41-O42),"")</f>
        <v/>
      </c>
    </row>
    <row r="42" spans="2:20" ht="15" thickBot="1" x14ac:dyDescent="0.4">
      <c r="B42" s="132">
        <v>4</v>
      </c>
      <c r="C42" s="16">
        <f>'Add''l Loss Data'!E26</f>
        <v>0</v>
      </c>
      <c r="D42" s="38" t="str">
        <f>IFERROR(VLOOKUP('Add''l Loss Data'!$E26,Backend!$C$13:$I$16,2,FALSE),"")</f>
        <v/>
      </c>
      <c r="E42" s="38" t="str">
        <f>IFERROR(VLOOKUP('Add''l Loss Data'!$E26,Backend!$C$13:$I$16,3,FALSE),"")</f>
        <v/>
      </c>
      <c r="F42" s="38" t="str">
        <f>IFERROR(VLOOKUP('Add''l Loss Data'!$E26,Backend!$C$13:$I$16,4,FALSE),"")</f>
        <v/>
      </c>
      <c r="G42" s="90" t="str">
        <f>IFERROR(VLOOKUP('Add''l Loss Data'!$E26,Backend!$C$13:$I$16,6,FALSE),"")</f>
        <v/>
      </c>
      <c r="H42" s="90" t="str">
        <f>IFERROR(VLOOKUP('Add''l Loss Data'!$E26,Backend!$C$13:$I$16,7,FALSE),"")</f>
        <v/>
      </c>
      <c r="K42" s="184"/>
      <c r="L42" s="36"/>
      <c r="M42" s="134">
        <v>4</v>
      </c>
      <c r="N42" s="16">
        <f>'Add''l Loss Data'!L26</f>
        <v>0</v>
      </c>
      <c r="O42" s="38" t="str">
        <f>IFERROR(VLOOKUP('Add''l Loss Data'!$L26,'Check your work'!$N$55:$T$58,2,FALSE),"")</f>
        <v/>
      </c>
      <c r="P42" s="38" t="str">
        <f>IFERROR(VLOOKUP('Add''l Loss Data'!$L26,'Check your work'!$N$55:$T$58,3,FALSE),"")</f>
        <v/>
      </c>
      <c r="Q42" s="38" t="str">
        <f>IFERROR(VLOOKUP('Add''l Loss Data'!$L26,'Check your work'!$N$55:$T$58,4,FALSE),"")</f>
        <v/>
      </c>
      <c r="R42" s="90" t="str">
        <f>IFERROR(VLOOKUP('Add''l Loss Data'!$L26,'Check your work'!$N$55:$T$58,6,FALSE),"")</f>
        <v/>
      </c>
      <c r="S42" s="90" t="str">
        <f>IFERROR(VLOOKUP('Add''l Loss Data'!$L26,'Check your work'!$N$55:$T$58,7,FALSE),"")</f>
        <v/>
      </c>
    </row>
    <row r="43" spans="2:20" x14ac:dyDescent="0.35">
      <c r="C43"/>
      <c r="K43" s="184"/>
      <c r="L43" s="36"/>
    </row>
    <row r="44" spans="2:20" ht="102" thickBot="1" x14ac:dyDescent="0.4">
      <c r="C44"/>
      <c r="D44" s="36" t="s">
        <v>244</v>
      </c>
      <c r="E44" s="36" t="s">
        <v>245</v>
      </c>
      <c r="F44" s="92" t="s">
        <v>235</v>
      </c>
      <c r="G44" s="92" t="s">
        <v>236</v>
      </c>
      <c r="H44" s="15" t="s">
        <v>261</v>
      </c>
      <c r="K44" s="184"/>
      <c r="L44" s="36"/>
      <c r="N44" s="36" t="s">
        <v>244</v>
      </c>
      <c r="O44" s="36" t="s">
        <v>245</v>
      </c>
      <c r="P44" s="92" t="s">
        <v>235</v>
      </c>
      <c r="Q44" s="92" t="s">
        <v>236</v>
      </c>
      <c r="R44" s="15" t="s">
        <v>261</v>
      </c>
    </row>
    <row r="45" spans="2:20" ht="15" thickBot="1" x14ac:dyDescent="0.4">
      <c r="C45"/>
      <c r="D45" s="38">
        <f>E39</f>
        <v>0</v>
      </c>
      <c r="E45" s="38" t="str">
        <f>D40</f>
        <v/>
      </c>
      <c r="F45" s="90">
        <f>H39</f>
        <v>0</v>
      </c>
      <c r="G45" s="90" t="str">
        <f>G40</f>
        <v/>
      </c>
      <c r="H45" s="38" t="str">
        <f>IFERROR(IF(OR(F45=0,G45=0),"n/a",D45*((1-F45)/(1-G45))-E45),"n/a")</f>
        <v>n/a</v>
      </c>
      <c r="K45" s="184"/>
      <c r="L45" s="36"/>
      <c r="N45" s="38">
        <f>P39</f>
        <v>0</v>
      </c>
      <c r="O45" s="38" t="str">
        <f>O40</f>
        <v/>
      </c>
      <c r="P45" s="90">
        <f>S39</f>
        <v>0</v>
      </c>
      <c r="Q45" s="90" t="str">
        <f>R40</f>
        <v/>
      </c>
      <c r="R45" s="38" t="str">
        <f>IFERROR(IF(OR(P45=0,Q45=0),"n/a",N45*((1-P45)/(1-Q45))-O45),"n/a")</f>
        <v>n/a</v>
      </c>
    </row>
    <row r="46" spans="2:20" ht="15" thickBot="1" x14ac:dyDescent="0.4">
      <c r="C46"/>
      <c r="D46" s="38" t="str">
        <f>IF(D41=0,"",E40)</f>
        <v/>
      </c>
      <c r="E46" s="38" t="str">
        <f>D41</f>
        <v/>
      </c>
      <c r="F46" s="90" t="str">
        <f>H40</f>
        <v/>
      </c>
      <c r="G46" s="90" t="str">
        <f>G41</f>
        <v/>
      </c>
      <c r="H46" s="38" t="str">
        <f>IFERROR(IF(OR(F46=0,G46=0),"n/a",D46*((1-F46)/(1-G46))-E46),"n/a")</f>
        <v>n/a</v>
      </c>
      <c r="K46" s="184"/>
      <c r="L46" s="36"/>
      <c r="N46" s="38" t="str">
        <f>IF(O41=0,"",P40)</f>
        <v/>
      </c>
      <c r="O46" s="38" t="str">
        <f>O41</f>
        <v/>
      </c>
      <c r="P46" s="90" t="str">
        <f>S40</f>
        <v/>
      </c>
      <c r="Q46" s="90" t="str">
        <f>R41</f>
        <v/>
      </c>
      <c r="R46" s="38" t="str">
        <f>IFERROR(IF(OR(P46=0,Q46=0),"n/a",N46*((1-P46)/(1-Q46))-O46),"n/a")</f>
        <v>n/a</v>
      </c>
    </row>
    <row r="47" spans="2:20" ht="15" thickBot="1" x14ac:dyDescent="0.4">
      <c r="C47"/>
      <c r="D47" s="38" t="str">
        <f>IF(D42=0,"",E41)</f>
        <v/>
      </c>
      <c r="E47" s="38" t="str">
        <f>D42</f>
        <v/>
      </c>
      <c r="F47" s="90" t="str">
        <f>H41</f>
        <v/>
      </c>
      <c r="G47" s="90" t="str">
        <f>G42</f>
        <v/>
      </c>
      <c r="H47" s="38" t="str">
        <f>IFERROR(IF(OR(F47=0,G47=0),"n/a",D47*((1-F47)/(1-G47))-E47),"n/a")</f>
        <v>n/a</v>
      </c>
      <c r="K47" s="184"/>
      <c r="L47" s="36"/>
      <c r="N47" s="38" t="str">
        <f>IF(O42=0,"",P41)</f>
        <v/>
      </c>
      <c r="O47" s="38" t="str">
        <f>O42</f>
        <v/>
      </c>
      <c r="P47" s="90" t="str">
        <f>S41</f>
        <v/>
      </c>
      <c r="Q47" s="90" t="str">
        <f>R42</f>
        <v/>
      </c>
      <c r="R47" s="38" t="str">
        <f>IFERROR(IF(OR(P47=0,Q47=0),"n/a",N47*((1-P47)/(1-Q47))-O47),"n/a")</f>
        <v>n/a</v>
      </c>
    </row>
    <row r="49" spans="2:19" x14ac:dyDescent="0.35">
      <c r="B49" s="2" t="s">
        <v>272</v>
      </c>
      <c r="E49" s="182"/>
      <c r="F49" s="182"/>
      <c r="G49" s="182"/>
    </row>
    <row r="50" spans="2:19" ht="15" thickBot="1" x14ac:dyDescent="0.4">
      <c r="C50"/>
      <c r="D50" s="6" t="s">
        <v>170</v>
      </c>
      <c r="E50" s="6" t="s">
        <v>171</v>
      </c>
      <c r="F50" s="6" t="s">
        <v>172</v>
      </c>
      <c r="G50" s="6" t="s">
        <v>173</v>
      </c>
      <c r="O50" s="6" t="s">
        <v>170</v>
      </c>
      <c r="P50" s="6" t="s">
        <v>171</v>
      </c>
      <c r="Q50" s="6" t="s">
        <v>172</v>
      </c>
      <c r="R50" s="6" t="s">
        <v>173</v>
      </c>
    </row>
    <row r="51" spans="2:19" ht="15" thickBot="1" x14ac:dyDescent="0.4">
      <c r="C51" s="8">
        <f>'Add''l Harvest Data'!D5</f>
        <v>0</v>
      </c>
      <c r="D51" s="73" t="e">
        <f>('Add''l Metric Table'!C7+'Add''l Metric Table'!C8)*(0.5*'Add''l Harvest Data'!D20)-(('Add''l Metric Table'!C7+'Add''l Metric Table'!C8)*('Add''l Harvest Data'!D19))</f>
        <v>#VALUE!</v>
      </c>
      <c r="E51" s="73" t="e">
        <f>('Add''l Metric Table'!C7+'Add''l Metric Table'!C8)*'1. Harvest Data'!E29-('Add''l Metric Table'!C7+'Add''l Metric Table'!C8)*('Add''l Harvest Data'!D19)</f>
        <v>#VALUE!</v>
      </c>
      <c r="F51" s="73" t="e">
        <f>('Add''l Metric Table'!C7*'Add''l Harvest Data'!D20)+('Add''l Metric Table'!C8*(0.5*'Add''l Harvest Data'!D20)-(('Add''l Metric Table'!C7+'Add''l Metric Table'!C8)*('Add''l Harvest Data'!D19)))</f>
        <v>#VALUE!</v>
      </c>
      <c r="G51" s="73" t="e">
        <f>('Add''l Metric Table'!C7*'Add''l Harvest Data'!D20)+('Add''l Metric Table'!C8*('1. Harvest Data'!E29)-(('Add''l Metric Table'!C7+'Add''l Metric Table'!C8)*('Add''l Harvest Data'!D19)))</f>
        <v>#VALUE!</v>
      </c>
      <c r="H51" s="204" t="s">
        <v>316</v>
      </c>
      <c r="N51" s="8">
        <f>'Add''l Harvest Data'!I5</f>
        <v>0</v>
      </c>
      <c r="O51" s="73" t="e">
        <f>('Add''l Metric Table'!L7+'Add''l Metric Table'!L8)*(0.5*'Add''l Harvest Data'!I20)-(('Add''l Metric Table'!L7+'Add''l Metric Table'!L8)*('Add''l Harvest Data'!I19))</f>
        <v>#VALUE!</v>
      </c>
      <c r="P51" s="73" t="e">
        <f>('Add''l Metric Table'!L7+'Add''l Metric Table'!L8)*'1. Harvest Data'!E29-('Add''l Metric Table'!L7+'Add''l Metric Table'!L8)*('Add''l Harvest Data'!I19)</f>
        <v>#VALUE!</v>
      </c>
      <c r="Q51" s="73" t="e">
        <f>('Add''l Metric Table'!L7*'Add''l Harvest Data'!I20)+('Add''l Metric Table'!L8*(0.5*'Add''l Harvest Data'!I20)-(('Add''l Metric Table'!L7+'Add''l Metric Table'!L8)*('Add''l Harvest Data'!I19)))</f>
        <v>#VALUE!</v>
      </c>
      <c r="R51" s="73" t="e">
        <f>('Add''l Metric Table'!L7*'Add''l Harvest Data'!I20)+('Add''l Metric Table'!L8*('1. Harvest Data'!E29)-(('Add''l Metric Table'!L7+'Add''l Metric Table'!L8)*('Add''l Harvest Data'!I19)))</f>
        <v>#VALUE!</v>
      </c>
      <c r="S51" s="204" t="s">
        <v>316</v>
      </c>
    </row>
    <row r="53" spans="2:19" ht="15" thickBot="1" x14ac:dyDescent="0.4">
      <c r="C53">
        <f>C51</f>
        <v>0</v>
      </c>
      <c r="D53" s="6" t="s">
        <v>170</v>
      </c>
      <c r="E53" s="6" t="s">
        <v>171</v>
      </c>
      <c r="F53" s="6" t="s">
        <v>172</v>
      </c>
      <c r="G53" s="6" t="s">
        <v>173</v>
      </c>
      <c r="N53">
        <f>N51</f>
        <v>0</v>
      </c>
      <c r="O53" s="6" t="s">
        <v>170</v>
      </c>
      <c r="P53" s="6" t="s">
        <v>171</v>
      </c>
      <c r="Q53" s="6" t="s">
        <v>172</v>
      </c>
      <c r="R53" s="6" t="s">
        <v>173</v>
      </c>
    </row>
    <row r="54" spans="2:19" ht="15" thickBot="1" x14ac:dyDescent="0.4">
      <c r="C54" s="18">
        <f>C51</f>
        <v>0</v>
      </c>
      <c r="D54" s="326" t="e">
        <f>IF(D51&gt;=0,D51,"")</f>
        <v>#VALUE!</v>
      </c>
      <c r="E54" s="326" t="e">
        <f t="shared" ref="E54:G54" si="0">IF(E51&gt;=0,E51,"")</f>
        <v>#VALUE!</v>
      </c>
      <c r="F54" s="326" t="e">
        <f t="shared" si="0"/>
        <v>#VALUE!</v>
      </c>
      <c r="G54" s="326" t="e">
        <f t="shared" si="0"/>
        <v>#VALUE!</v>
      </c>
      <c r="N54" s="18">
        <f>N53</f>
        <v>0</v>
      </c>
      <c r="O54" s="326" t="e">
        <f>IF(O51&gt;=0,O51,"")</f>
        <v>#VALUE!</v>
      </c>
      <c r="P54" s="326" t="e">
        <f t="shared" ref="P54:R54" si="1">IF(P51&gt;=0,P51,"")</f>
        <v>#VALUE!</v>
      </c>
      <c r="Q54" s="326" t="e">
        <f t="shared" si="1"/>
        <v>#VALUE!</v>
      </c>
      <c r="R54" s="326" t="e">
        <f t="shared" si="1"/>
        <v>#VALUE!</v>
      </c>
    </row>
    <row r="55" spans="2:19" ht="15" thickBot="1" x14ac:dyDescent="0.4">
      <c r="C55" s="18">
        <f>C51</f>
        <v>0</v>
      </c>
      <c r="D55" s="326" t="e">
        <f>IF(D51&lt;0,D51,"")</f>
        <v>#VALUE!</v>
      </c>
      <c r="E55" s="326" t="e">
        <f t="shared" ref="E55:G55" si="2">IF(E51&lt;0,E51,"")</f>
        <v>#VALUE!</v>
      </c>
      <c r="F55" s="326" t="e">
        <f t="shared" si="2"/>
        <v>#VALUE!</v>
      </c>
      <c r="G55" s="326" t="e">
        <f t="shared" si="2"/>
        <v>#VALUE!</v>
      </c>
      <c r="N55" s="18">
        <f>N53</f>
        <v>0</v>
      </c>
      <c r="O55" s="326" t="e">
        <f>IF(O51&lt;0,O51,"")</f>
        <v>#VALUE!</v>
      </c>
      <c r="P55" s="326" t="e">
        <f t="shared" ref="P55:R55" si="3">IF(P51&lt;0,P51,"")</f>
        <v>#VALUE!</v>
      </c>
      <c r="Q55" s="326" t="e">
        <f t="shared" si="3"/>
        <v>#VALUE!</v>
      </c>
      <c r="R55" s="326" t="e">
        <f t="shared" si="3"/>
        <v>#VALUE!</v>
      </c>
    </row>
  </sheetData>
  <dataValidations disablePrompts="1" count="9">
    <dataValidation allowBlank="1" showInputMessage="1" showErrorMessage="1" promptTitle="Pounds Leaving Storage" prompt="Pounds of the crop of interest leaving the storage facility (adjusted within the calculator for any moisture loss while in storage) for the packhouse or for market within the same harvest year entered" sqref="C31 N31" xr:uid="{DF854E09-ADA7-2C40-942C-2318D59A3667}"/>
    <dataValidation allowBlank="1" showInputMessage="1" showErrorMessage="1" promptTitle="Pounds Entering Storage" prompt="Pounds of the specified crop of interest that are stored over the course of one growing season" sqref="C30 N30" xr:uid="{F790D3DE-B091-CD4D-A413-BDDCE7CAAD94}"/>
    <dataValidation allowBlank="1" showInputMessage="1" showErrorMessage="1" promptTitle="Pounds Leaving Processing" prompt="Pounds of specified crop that are loaded onto trucks going to storage facility on farm or leaving the farm_x000a_" sqref="C22 N22" xr:uid="{A6FF673F-721B-584B-AEAE-4AE17BDE7F9C}"/>
    <dataValidation allowBlank="1" showInputMessage="1" showErrorMessage="1" promptTitle="Pounds Received Processing " prompt="Pounds of harvested crop that are received at the processing facility_x000a_" sqref="C21 N21" xr:uid="{3543EF7A-0B1C-BC4F-8582-A072FF9CCF0A}"/>
    <dataValidation allowBlank="1" showInputMessage="1" showErrorMessage="1" promptTitle="Pounds Receive at Packinghouse" prompt="Pounds of harvested crop that are received at the packinghouse_x000a_" sqref="C12 N12" xr:uid="{D8479304-D943-7C47-93A5-3FB0D2DEB782}"/>
    <dataValidation allowBlank="1" showInputMessage="1" showErrorMessage="1" promptTitle="Pounds Leaving Packinghouse" prompt="Pounds of specified crop that are loaded onto trucks going to storage facility on farm or leaving the farm_x000a_" sqref="C13 N13" xr:uid="{A3E842FF-875B-8E48-9AB5-257CE934BB94}"/>
    <dataValidation allowBlank="1" showInputMessage="1" showErrorMessage="1" promptTitle="Acres Planted" prompt="Total amount (in acres) of managed area out into production for crop(s) of interest" sqref="D50 O50 D53 O53" xr:uid="{3D4C0BFF-2621-FE45-B18D-B61D5FDD9920}"/>
    <dataValidation allowBlank="1" showInputMessage="1" showErrorMessage="1" promptTitle="Acres Harvested" prompt="Total amount (in acres) of managed area per crop that are harvested_x000a_" sqref="E50 P50 E53 P53" xr:uid="{258AF1CC-D94A-934D-B9D0-3CF5BEAEFF8C}"/>
    <dataValidation allowBlank="1" showInputMessage="1" showErrorMessage="1" promptTitle="Immature Acres" prompt="Total amount (in acres) of the managed area that was planted for the crop, but did not reach maturity, for example due to pest or weather damage" sqref="F50 Q50 F53 Q53" xr:uid="{93C9BB3D-46DD-BB4D-A20B-F219A296542A}"/>
  </dataValidations>
  <pageMargins left="0.7" right="0.7" top="0.75" bottom="0.75" header="0.3" footer="0.3"/>
  <pageSetup paperSize="9" orientation="landscape" horizontalDpi="0" verticalDpi="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3B717-C54E-F145-A5B3-AF9220927596}">
  <dimension ref="B4:I35"/>
  <sheetViews>
    <sheetView workbookViewId="0">
      <selection activeCell="E32" sqref="E32:H32"/>
    </sheetView>
  </sheetViews>
  <sheetFormatPr defaultColWidth="11.453125" defaultRowHeight="14.5" x14ac:dyDescent="0.35"/>
  <sheetData>
    <row r="4" spans="2:9" ht="58" x14ac:dyDescent="0.35">
      <c r="B4" s="29"/>
      <c r="C4" s="46" t="s">
        <v>234</v>
      </c>
      <c r="D4" s="79" t="s">
        <v>181</v>
      </c>
      <c r="E4" s="79" t="s">
        <v>241</v>
      </c>
      <c r="F4" s="46" t="s">
        <v>246</v>
      </c>
      <c r="G4" s="46" t="s">
        <v>233</v>
      </c>
      <c r="H4" s="46" t="s">
        <v>235</v>
      </c>
      <c r="I4" s="46" t="s">
        <v>236</v>
      </c>
    </row>
    <row r="5" spans="2:9" x14ac:dyDescent="0.35">
      <c r="C5" s="47" t="s">
        <v>152</v>
      </c>
      <c r="D5" s="80" t="s">
        <v>154</v>
      </c>
      <c r="E5" s="59">
        <f>'Check your work'!$D$5</f>
        <v>0</v>
      </c>
      <c r="F5" s="61" t="s">
        <v>154</v>
      </c>
      <c r="G5" s="48">
        <f>RANK(E5,$E$5:$E$8)</f>
        <v>1</v>
      </c>
      <c r="H5" s="69" t="s">
        <v>154</v>
      </c>
      <c r="I5" s="70">
        <f>'Reasons for Loss'!D21</f>
        <v>0</v>
      </c>
    </row>
    <row r="6" spans="2:9" x14ac:dyDescent="0.35">
      <c r="C6" s="47" t="s">
        <v>147</v>
      </c>
      <c r="D6" s="59">
        <f>'Check your work'!D10</f>
        <v>0</v>
      </c>
      <c r="E6" s="59">
        <f>'Check your work'!D11</f>
        <v>0</v>
      </c>
      <c r="F6" s="59">
        <f>IF(AND(H6=0,I6=0),'Metric Table'!E19,'Check your work'!D13)</f>
        <v>0</v>
      </c>
      <c r="G6" s="48">
        <f>RANK(E6,$E$5:$E$8)</f>
        <v>1</v>
      </c>
      <c r="H6" s="70">
        <f>'Reasons for Loss'!D36</f>
        <v>0</v>
      </c>
      <c r="I6" s="70">
        <f>'Reasons for Loss'!D37</f>
        <v>0</v>
      </c>
    </row>
    <row r="7" spans="2:9" x14ac:dyDescent="0.35">
      <c r="C7" s="47" t="s">
        <v>148</v>
      </c>
      <c r="D7" s="59">
        <f>'Check your work'!D19</f>
        <v>0</v>
      </c>
      <c r="E7" s="59">
        <f>'Check your work'!D20</f>
        <v>0</v>
      </c>
      <c r="F7" s="59">
        <f>IF(AND(H7=0,I7=0),'Metric Table'!E20,'Check your work'!D22)</f>
        <v>0</v>
      </c>
      <c r="G7" s="48">
        <f>RANK(E7,$E$5:$E$8)</f>
        <v>1</v>
      </c>
      <c r="H7" s="70">
        <f>'Reasons for Loss'!D52</f>
        <v>0</v>
      </c>
      <c r="I7" s="70">
        <f>'Reasons for Loss'!D53</f>
        <v>0</v>
      </c>
    </row>
    <row r="8" spans="2:9" x14ac:dyDescent="0.35">
      <c r="C8" s="47" t="s">
        <v>149</v>
      </c>
      <c r="D8" s="59">
        <f>'Check your work'!D28</f>
        <v>0</v>
      </c>
      <c r="E8" s="59">
        <f>'Check your work'!D29</f>
        <v>0</v>
      </c>
      <c r="F8" s="59">
        <f>IF(AND(H8=0,I8=0),'Metric Table'!E21,'Check your work'!D31)</f>
        <v>0</v>
      </c>
      <c r="G8" s="48">
        <f>RANK(E8,$E$5:$E$8)</f>
        <v>1</v>
      </c>
      <c r="H8" s="70">
        <f>'Reasons for Loss'!D68</f>
        <v>0</v>
      </c>
      <c r="I8" s="70">
        <f>'Reasons for Loss'!D69</f>
        <v>0</v>
      </c>
    </row>
    <row r="9" spans="2:9" x14ac:dyDescent="0.35">
      <c r="D9" s="78"/>
      <c r="E9" s="78"/>
    </row>
    <row r="10" spans="2:9" x14ac:dyDescent="0.35">
      <c r="D10" s="78"/>
      <c r="E10" s="78"/>
    </row>
    <row r="12" spans="2:9" ht="58" x14ac:dyDescent="0.35">
      <c r="C12" s="46" t="s">
        <v>234</v>
      </c>
      <c r="D12" s="79" t="s">
        <v>181</v>
      </c>
      <c r="E12" s="79" t="s">
        <v>241</v>
      </c>
      <c r="F12" s="46" t="s">
        <v>246</v>
      </c>
      <c r="G12" s="46" t="s">
        <v>233</v>
      </c>
      <c r="H12" s="46" t="s">
        <v>235</v>
      </c>
      <c r="I12" s="46" t="s">
        <v>236</v>
      </c>
    </row>
    <row r="13" spans="2:9" x14ac:dyDescent="0.35">
      <c r="B13" s="1"/>
      <c r="C13" s="48" t="s">
        <v>152</v>
      </c>
      <c r="D13" s="80" t="s">
        <v>154</v>
      </c>
      <c r="E13" s="59">
        <f>'Add''l Check your work'!D7</f>
        <v>0</v>
      </c>
      <c r="F13" s="61" t="s">
        <v>154</v>
      </c>
      <c r="G13" s="48">
        <f>RANK(E13,$E$13:$E$16)</f>
        <v>1</v>
      </c>
      <c r="H13" s="69" t="s">
        <v>154</v>
      </c>
      <c r="I13" s="70">
        <f>'Add''l Reasons for Loss'!D16</f>
        <v>0</v>
      </c>
    </row>
    <row r="14" spans="2:9" x14ac:dyDescent="0.35">
      <c r="B14" s="1"/>
      <c r="C14" s="48" t="s">
        <v>147</v>
      </c>
      <c r="D14" s="59">
        <f>'Add''l Check your work'!D12</f>
        <v>0</v>
      </c>
      <c r="E14" s="59">
        <f>'Add''l Check your work'!D13</f>
        <v>0</v>
      </c>
      <c r="F14" s="59">
        <f>IF(AND(H14=0,I14=0),'Add''l Harvest Data'!F170,'Add''l Check your work'!D15)</f>
        <v>0</v>
      </c>
      <c r="G14" s="48">
        <f>RANK(E14,$E$13:$E$16)</f>
        <v>1</v>
      </c>
      <c r="H14" s="70">
        <f>'Add''l Reasons for Loss'!D33</f>
        <v>0</v>
      </c>
      <c r="I14" s="70">
        <f>'Add''l Reasons for Loss'!D34</f>
        <v>0</v>
      </c>
    </row>
    <row r="15" spans="2:9" x14ac:dyDescent="0.35">
      <c r="B15" s="1"/>
      <c r="C15" s="48" t="s">
        <v>148</v>
      </c>
      <c r="D15" s="59">
        <f>'Add''l Check your work'!D21</f>
        <v>0</v>
      </c>
      <c r="E15" s="59">
        <f>'Add''l Check your work'!D22</f>
        <v>0</v>
      </c>
      <c r="F15" s="59">
        <f>IF(AND(H15=0,I15=0),'Add''l Harvest Data'!F171,'Add''l Check your work'!D24)</f>
        <v>0</v>
      </c>
      <c r="G15" s="48">
        <f>RANK(E15,$E$13:$E$16)</f>
        <v>1</v>
      </c>
      <c r="H15" s="70">
        <f>'Add''l Reasons for Loss'!D52</f>
        <v>0</v>
      </c>
      <c r="I15" s="70">
        <f>'Add''l Reasons for Loss'!D53</f>
        <v>0</v>
      </c>
    </row>
    <row r="16" spans="2:9" x14ac:dyDescent="0.35">
      <c r="B16" s="1"/>
      <c r="C16" s="48" t="s">
        <v>149</v>
      </c>
      <c r="D16" s="59">
        <f>'Add''l Check your work'!D30</f>
        <v>0</v>
      </c>
      <c r="E16" s="59">
        <f>'Add''l Check your work'!D31</f>
        <v>0</v>
      </c>
      <c r="F16" s="59">
        <f>IF(AND(H16=0,I16=0),'Add''l Harvest Data'!F172,'Add''l Check your work'!D33)</f>
        <v>0</v>
      </c>
      <c r="G16" s="48">
        <f>RANK(E16,$E$13:$E$16)</f>
        <v>1</v>
      </c>
      <c r="H16" s="70">
        <f>'Add''l Reasons for Loss'!D70</f>
        <v>0</v>
      </c>
      <c r="I16" s="70">
        <f>'Add''l Reasons for Loss'!D71</f>
        <v>0</v>
      </c>
    </row>
    <row r="21" spans="4:8" x14ac:dyDescent="0.35">
      <c r="D21" s="76" t="s">
        <v>276</v>
      </c>
    </row>
    <row r="22" spans="4:8" x14ac:dyDescent="0.35">
      <c r="E22" t="str">
        <f>'Metric Table'!E11</f>
        <v>TOTAL LOSS</v>
      </c>
      <c r="F22" t="str">
        <f>'Metric Table'!C24</f>
        <v>CROP UTILIZATION (%)</v>
      </c>
    </row>
    <row r="23" spans="4:8" x14ac:dyDescent="0.35">
      <c r="D23">
        <f>'1. Harvest Data'!E9</f>
        <v>0</v>
      </c>
      <c r="E23" s="71">
        <f>SUM('Metric Table'!E13:E21)</f>
        <v>0</v>
      </c>
      <c r="F23" s="72" t="str">
        <f>'Metric Table'!E24</f>
        <v/>
      </c>
    </row>
    <row r="24" spans="4:8" x14ac:dyDescent="0.35">
      <c r="D24">
        <f>'Add''l Harvest Data'!D5</f>
        <v>0</v>
      </c>
      <c r="E24" s="71">
        <f>SUM('Add''l Metric Table'!D6:D14)</f>
        <v>0</v>
      </c>
      <c r="F24" s="72" t="str">
        <f>'Add''l Metric Table'!D17</f>
        <v/>
      </c>
    </row>
    <row r="25" spans="4:8" x14ac:dyDescent="0.35">
      <c r="D25">
        <f>'Add''l Harvest Data'!I5</f>
        <v>0</v>
      </c>
      <c r="E25" s="71" t="e">
        <f>SUM('Add''l Metric Table'!M6:M14)</f>
        <v>#VALUE!</v>
      </c>
      <c r="F25" s="72" t="str">
        <f>'Add''l Metric Table'!M17</f>
        <v/>
      </c>
    </row>
    <row r="27" spans="4:8" x14ac:dyDescent="0.35">
      <c r="E27" t="str">
        <f>'Metric Table'!C15</f>
        <v>Edible, Not Marketable In-Field Loss (Measured)</v>
      </c>
      <c r="F27" t="str">
        <f>'Metric Table'!C14</f>
        <v>Marketable In-Field Loss (Measured)</v>
      </c>
    </row>
    <row r="28" spans="4:8" x14ac:dyDescent="0.35">
      <c r="D28">
        <f>'1. Harvest Data'!E9</f>
        <v>0</v>
      </c>
      <c r="E28" s="75" t="str">
        <f>'Metric Table'!D15</f>
        <v/>
      </c>
      <c r="F28" s="75" t="str">
        <f>'Metric Table'!D14</f>
        <v/>
      </c>
    </row>
    <row r="29" spans="4:8" x14ac:dyDescent="0.35">
      <c r="D29">
        <f>'Add''l Harvest Data'!D5</f>
        <v>0</v>
      </c>
      <c r="E29" s="75" t="str">
        <f>'Add''l Metric Table'!C8</f>
        <v/>
      </c>
      <c r="F29" s="75" t="str">
        <f>'Add''l Metric Table'!C7</f>
        <v/>
      </c>
    </row>
    <row r="30" spans="4:8" x14ac:dyDescent="0.35">
      <c r="D30">
        <f>'Add''l Harvest Data'!I5</f>
        <v>0</v>
      </c>
      <c r="E30" s="75" t="str">
        <f>'Add''l Metric Table'!L8</f>
        <v/>
      </c>
      <c r="F30" s="75" t="str">
        <f>'Add''l Metric Table'!L7</f>
        <v/>
      </c>
    </row>
    <row r="32" spans="4:8" x14ac:dyDescent="0.35">
      <c r="D32" t="s">
        <v>366</v>
      </c>
      <c r="E32" s="253" t="s">
        <v>170</v>
      </c>
      <c r="F32" s="280" t="s">
        <v>171</v>
      </c>
      <c r="G32" s="280" t="s">
        <v>172</v>
      </c>
      <c r="H32" s="280" t="s">
        <v>173</v>
      </c>
    </row>
    <row r="33" spans="4:8" x14ac:dyDescent="0.35">
      <c r="D33">
        <f>'1. Harvest Data'!E9</f>
        <v>0</v>
      </c>
      <c r="E33" s="265" t="e">
        <f>'Check your work'!D50</f>
        <v>#VALUE!</v>
      </c>
      <c r="F33" s="265" t="e">
        <f>'Check your work'!E50</f>
        <v>#VALUE!</v>
      </c>
      <c r="G33" s="265" t="e">
        <f>'Check your work'!F50</f>
        <v>#VALUE!</v>
      </c>
      <c r="H33" s="265" t="e">
        <f>'Check your work'!G50</f>
        <v>#VALUE!</v>
      </c>
    </row>
    <row r="34" spans="4:8" x14ac:dyDescent="0.35">
      <c r="D34">
        <f>'Add''l Harvest Data'!D5</f>
        <v>0</v>
      </c>
      <c r="E34" s="265" t="e">
        <f>'Add''l Check your work'!D51</f>
        <v>#VALUE!</v>
      </c>
      <c r="F34" s="265" t="e">
        <f>'Add''l Check your work'!E51</f>
        <v>#VALUE!</v>
      </c>
      <c r="G34" s="265" t="e">
        <f>'Add''l Check your work'!F51</f>
        <v>#VALUE!</v>
      </c>
      <c r="H34" s="265" t="e">
        <f>'Add''l Check your work'!G51</f>
        <v>#VALUE!</v>
      </c>
    </row>
    <row r="35" spans="4:8" x14ac:dyDescent="0.35">
      <c r="D35">
        <f>'Add''l Harvest Data'!I5</f>
        <v>0</v>
      </c>
      <c r="E35" s="265" t="e">
        <f>'Add''l Check your work'!O51</f>
        <v>#VALUE!</v>
      </c>
      <c r="F35" s="265" t="e">
        <f>'Add''l Check your work'!P51</f>
        <v>#VALUE!</v>
      </c>
      <c r="G35" s="265" t="e">
        <f>'Add''l Check your work'!Q51</f>
        <v>#VALUE!</v>
      </c>
      <c r="H35" s="265" t="e">
        <f>'Add''l Check your work'!R51</f>
        <v>#VALUE!</v>
      </c>
    </row>
  </sheetData>
  <phoneticPr fontId="18" type="noConversion"/>
  <pageMargins left="0.7" right="0.7" top="0.75" bottom="0.75" header="0.3" footer="0.3"/>
  <pageSetup paperSize="9" orientation="landscape" horizontalDpi="0" verticalDpi="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theme="7"/>
    <pageSetUpPr fitToPage="1"/>
  </sheetPr>
  <dimension ref="A1:J50"/>
  <sheetViews>
    <sheetView showGridLines="0" showRowColHeaders="0" topLeftCell="A21" workbookViewId="0">
      <selection activeCell="L3" sqref="L3:L4"/>
    </sheetView>
  </sheetViews>
  <sheetFormatPr defaultColWidth="0" defaultRowHeight="14.5" zeroHeight="1" x14ac:dyDescent="0.35"/>
  <cols>
    <col min="1" max="1" width="9.26953125" customWidth="1"/>
    <col min="2" max="2" width="12.7265625" customWidth="1"/>
    <col min="3" max="3" width="19.453125" customWidth="1"/>
    <col min="4" max="5" width="20" customWidth="1"/>
    <col min="6" max="6" width="21.453125" customWidth="1"/>
    <col min="7" max="7" width="16.453125" customWidth="1"/>
    <col min="8" max="10" width="9.26953125" customWidth="1"/>
    <col min="11" max="16384" width="9.26953125" hidden="1"/>
  </cols>
  <sheetData>
    <row r="1" spans="2:7" x14ac:dyDescent="0.35"/>
    <row r="2" spans="2:7" x14ac:dyDescent="0.35"/>
    <row r="3" spans="2:7" x14ac:dyDescent="0.35"/>
    <row r="4" spans="2:7" x14ac:dyDescent="0.35"/>
    <row r="5" spans="2:7" x14ac:dyDescent="0.35"/>
    <row r="6" spans="2:7" x14ac:dyDescent="0.35"/>
    <row r="7" spans="2:7" x14ac:dyDescent="0.35"/>
    <row r="8" spans="2:7" x14ac:dyDescent="0.35"/>
    <row r="9" spans="2:7" x14ac:dyDescent="0.35"/>
    <row r="10" spans="2:7" x14ac:dyDescent="0.35">
      <c r="B10" s="2">
        <v>8.5</v>
      </c>
      <c r="C10" s="1" t="s">
        <v>18</v>
      </c>
      <c r="D10" s="419" t="s">
        <v>19</v>
      </c>
      <c r="E10" s="419"/>
      <c r="F10" s="419"/>
    </row>
    <row r="11" spans="2:7" x14ac:dyDescent="0.35"/>
    <row r="12" spans="2:7" ht="29.5" thickBot="1" x14ac:dyDescent="0.4">
      <c r="B12" s="2"/>
      <c r="C12" s="6" t="s">
        <v>20</v>
      </c>
      <c r="D12" s="7" t="s">
        <v>21</v>
      </c>
      <c r="E12" s="7" t="s">
        <v>22</v>
      </c>
      <c r="F12" s="7" t="s">
        <v>23</v>
      </c>
      <c r="G12" s="7" t="s">
        <v>24</v>
      </c>
    </row>
    <row r="13" spans="2:7" ht="15" thickBot="1" x14ac:dyDescent="0.4">
      <c r="B13">
        <f>'1. Harvest Data'!E10</f>
        <v>0</v>
      </c>
      <c r="C13" s="9"/>
      <c r="D13" s="9">
        <v>8.2799999999999994</v>
      </c>
      <c r="E13" s="9"/>
      <c r="F13" s="12">
        <v>0.9</v>
      </c>
      <c r="G13" s="13">
        <f>1-F13</f>
        <v>9.9999999999999978E-2</v>
      </c>
    </row>
    <row r="14" spans="2:7" ht="15" thickBot="1" x14ac:dyDescent="0.4">
      <c r="C14" s="9"/>
      <c r="D14" s="9"/>
      <c r="E14" s="9"/>
      <c r="F14" s="12"/>
      <c r="G14" s="13">
        <f t="shared" ref="G14:G22" si="0">1-F14</f>
        <v>1</v>
      </c>
    </row>
    <row r="15" spans="2:7" ht="15" thickBot="1" x14ac:dyDescent="0.4">
      <c r="C15" s="9"/>
      <c r="D15" s="9"/>
      <c r="E15" s="9"/>
      <c r="F15" s="12"/>
      <c r="G15" s="13">
        <f t="shared" si="0"/>
        <v>1</v>
      </c>
    </row>
    <row r="16" spans="2:7" ht="15" thickBot="1" x14ac:dyDescent="0.4">
      <c r="C16" s="9"/>
      <c r="D16" s="9"/>
      <c r="E16" s="9"/>
      <c r="F16" s="12"/>
      <c r="G16" s="13">
        <f t="shared" si="0"/>
        <v>1</v>
      </c>
    </row>
    <row r="17" spans="2:7" ht="15" thickBot="1" x14ac:dyDescent="0.4">
      <c r="C17" s="9"/>
      <c r="D17" s="9"/>
      <c r="E17" s="9"/>
      <c r="F17" s="12"/>
      <c r="G17" s="13">
        <f t="shared" si="0"/>
        <v>1</v>
      </c>
    </row>
    <row r="18" spans="2:7" ht="15" thickBot="1" x14ac:dyDescent="0.4">
      <c r="C18" s="9"/>
      <c r="D18" s="9"/>
      <c r="E18" s="9"/>
      <c r="F18" s="12"/>
      <c r="G18" s="13">
        <f t="shared" si="0"/>
        <v>1</v>
      </c>
    </row>
    <row r="19" spans="2:7" ht="15" thickBot="1" x14ac:dyDescent="0.4">
      <c r="C19" s="9"/>
      <c r="D19" s="9"/>
      <c r="E19" s="9"/>
      <c r="F19" s="12"/>
      <c r="G19" s="13">
        <f t="shared" si="0"/>
        <v>1</v>
      </c>
    </row>
    <row r="20" spans="2:7" ht="15" thickBot="1" x14ac:dyDescent="0.4">
      <c r="C20" s="9"/>
      <c r="D20" s="9"/>
      <c r="E20" s="9"/>
      <c r="F20" s="12"/>
      <c r="G20" s="13">
        <f t="shared" si="0"/>
        <v>1</v>
      </c>
    </row>
    <row r="21" spans="2:7" ht="15" thickBot="1" x14ac:dyDescent="0.4">
      <c r="C21" s="9"/>
      <c r="D21" s="9"/>
      <c r="E21" s="9"/>
      <c r="F21" s="12"/>
      <c r="G21" s="13">
        <f t="shared" si="0"/>
        <v>1</v>
      </c>
    </row>
    <row r="22" spans="2:7" ht="15" thickBot="1" x14ac:dyDescent="0.4">
      <c r="C22" s="9"/>
      <c r="D22" s="9"/>
      <c r="E22" s="9"/>
      <c r="F22" s="12"/>
      <c r="G22" s="13">
        <f t="shared" si="0"/>
        <v>1</v>
      </c>
    </row>
    <row r="23" spans="2:7" x14ac:dyDescent="0.35">
      <c r="C23" s="10" t="s">
        <v>25</v>
      </c>
      <c r="D23" s="11">
        <f>SUM(D13:D22)</f>
        <v>8.2799999999999994</v>
      </c>
      <c r="E23" s="11"/>
      <c r="F23" s="11">
        <f>(SUMPRODUCT('Contracts-Buyers Worksheet'!D13:D22,'Contracts-Buyers Worksheet'!F13:F22))/D23</f>
        <v>0.9</v>
      </c>
    </row>
    <row r="24" spans="2:7" ht="15" thickBot="1" x14ac:dyDescent="0.4"/>
    <row r="25" spans="2:7" ht="15" thickBot="1" x14ac:dyDescent="0.4">
      <c r="B25" s="8">
        <f>'Add''l Harvest Data'!D6</f>
        <v>0</v>
      </c>
      <c r="C25" s="9"/>
      <c r="D25" s="9"/>
      <c r="E25" s="9"/>
      <c r="F25" s="12"/>
      <c r="G25" s="13">
        <f>1-F25</f>
        <v>1</v>
      </c>
    </row>
    <row r="26" spans="2:7" ht="15" thickBot="1" x14ac:dyDescent="0.4">
      <c r="B26" s="8"/>
      <c r="C26" s="9"/>
      <c r="D26" s="9"/>
      <c r="E26" s="9"/>
      <c r="F26" s="12"/>
      <c r="G26" s="13">
        <f t="shared" ref="G26:G34" si="1">1-F26</f>
        <v>1</v>
      </c>
    </row>
    <row r="27" spans="2:7" ht="15" thickBot="1" x14ac:dyDescent="0.4">
      <c r="B27" s="8"/>
      <c r="C27" s="9"/>
      <c r="D27" s="9"/>
      <c r="E27" s="9"/>
      <c r="F27" s="12"/>
      <c r="G27" s="13">
        <f t="shared" si="1"/>
        <v>1</v>
      </c>
    </row>
    <row r="28" spans="2:7" ht="15" thickBot="1" x14ac:dyDescent="0.4">
      <c r="B28" s="8"/>
      <c r="C28" s="9"/>
      <c r="D28" s="9"/>
      <c r="E28" s="9"/>
      <c r="F28" s="12"/>
      <c r="G28" s="13">
        <f t="shared" si="1"/>
        <v>1</v>
      </c>
    </row>
    <row r="29" spans="2:7" ht="15" thickBot="1" x14ac:dyDescent="0.4">
      <c r="B29" s="8"/>
      <c r="C29" s="9"/>
      <c r="D29" s="9"/>
      <c r="E29" s="9"/>
      <c r="F29" s="12"/>
      <c r="G29" s="13">
        <f t="shared" si="1"/>
        <v>1</v>
      </c>
    </row>
    <row r="30" spans="2:7" ht="15" thickBot="1" x14ac:dyDescent="0.4">
      <c r="B30" s="8"/>
      <c r="C30" s="9"/>
      <c r="D30" s="9"/>
      <c r="E30" s="9"/>
      <c r="F30" s="12"/>
      <c r="G30" s="13">
        <f t="shared" si="1"/>
        <v>1</v>
      </c>
    </row>
    <row r="31" spans="2:7" ht="15" thickBot="1" x14ac:dyDescent="0.4">
      <c r="B31" s="8"/>
      <c r="C31" s="9"/>
      <c r="D31" s="9"/>
      <c r="E31" s="9"/>
      <c r="F31" s="12"/>
      <c r="G31" s="13">
        <f t="shared" si="1"/>
        <v>1</v>
      </c>
    </row>
    <row r="32" spans="2:7" ht="15" thickBot="1" x14ac:dyDescent="0.4">
      <c r="B32" s="8"/>
      <c r="C32" s="9"/>
      <c r="D32" s="9"/>
      <c r="E32" s="9"/>
      <c r="F32" s="12"/>
      <c r="G32" s="13">
        <f t="shared" si="1"/>
        <v>1</v>
      </c>
    </row>
    <row r="33" spans="2:7" ht="15" thickBot="1" x14ac:dyDescent="0.4">
      <c r="B33" s="8"/>
      <c r="C33" s="9"/>
      <c r="D33" s="9"/>
      <c r="E33" s="9"/>
      <c r="F33" s="12"/>
      <c r="G33" s="13">
        <f t="shared" si="1"/>
        <v>1</v>
      </c>
    </row>
    <row r="34" spans="2:7" ht="15" thickBot="1" x14ac:dyDescent="0.4">
      <c r="B34" s="8"/>
      <c r="C34" s="9"/>
      <c r="D34" s="9"/>
      <c r="E34" s="9"/>
      <c r="F34" s="12"/>
      <c r="G34" s="13">
        <f t="shared" si="1"/>
        <v>1</v>
      </c>
    </row>
    <row r="35" spans="2:7" x14ac:dyDescent="0.35">
      <c r="B35" s="8"/>
      <c r="C35" s="10" t="s">
        <v>25</v>
      </c>
      <c r="D35" s="11">
        <f>SUM(D25:D34)</f>
        <v>0</v>
      </c>
      <c r="E35" s="11"/>
      <c r="F35" s="11" t="e">
        <f>(SUMPRODUCT('Contracts-Buyers Worksheet'!D25:D34,'Contracts-Buyers Worksheet'!F25:F34))/D35</f>
        <v>#DIV/0!</v>
      </c>
    </row>
    <row r="36" spans="2:7" ht="15" thickBot="1" x14ac:dyDescent="0.4">
      <c r="B36" s="8"/>
    </row>
    <row r="37" spans="2:7" ht="15" thickBot="1" x14ac:dyDescent="0.4">
      <c r="B37" s="8">
        <f>'Add''l Harvest Data'!I6</f>
        <v>0</v>
      </c>
      <c r="C37" s="9"/>
      <c r="D37" s="9"/>
      <c r="E37" s="9"/>
      <c r="F37" s="12"/>
      <c r="G37" s="13">
        <f>1-F37</f>
        <v>1</v>
      </c>
    </row>
    <row r="38" spans="2:7" ht="15" thickBot="1" x14ac:dyDescent="0.4">
      <c r="C38" s="9"/>
      <c r="D38" s="9"/>
      <c r="E38" s="9"/>
      <c r="F38" s="12"/>
      <c r="G38" s="13">
        <f t="shared" ref="G38:G46" si="2">1-F38</f>
        <v>1</v>
      </c>
    </row>
    <row r="39" spans="2:7" ht="15" thickBot="1" x14ac:dyDescent="0.4">
      <c r="C39" s="9"/>
      <c r="D39" s="9"/>
      <c r="E39" s="9"/>
      <c r="F39" s="12"/>
      <c r="G39" s="13">
        <f t="shared" si="2"/>
        <v>1</v>
      </c>
    </row>
    <row r="40" spans="2:7" ht="15" thickBot="1" x14ac:dyDescent="0.4">
      <c r="C40" s="9"/>
      <c r="D40" s="9"/>
      <c r="E40" s="9"/>
      <c r="F40" s="12"/>
      <c r="G40" s="13">
        <f t="shared" si="2"/>
        <v>1</v>
      </c>
    </row>
    <row r="41" spans="2:7" ht="15" thickBot="1" x14ac:dyDescent="0.4">
      <c r="C41" s="9"/>
      <c r="D41" s="9"/>
      <c r="E41" s="9"/>
      <c r="F41" s="12"/>
      <c r="G41" s="13">
        <f t="shared" si="2"/>
        <v>1</v>
      </c>
    </row>
    <row r="42" spans="2:7" ht="15" thickBot="1" x14ac:dyDescent="0.4">
      <c r="C42" s="9"/>
      <c r="D42" s="9"/>
      <c r="E42" s="9"/>
      <c r="F42" s="12"/>
      <c r="G42" s="13">
        <f t="shared" si="2"/>
        <v>1</v>
      </c>
    </row>
    <row r="43" spans="2:7" ht="15" thickBot="1" x14ac:dyDescent="0.4">
      <c r="C43" s="9"/>
      <c r="D43" s="9"/>
      <c r="E43" s="9"/>
      <c r="F43" s="12"/>
      <c r="G43" s="13">
        <f t="shared" si="2"/>
        <v>1</v>
      </c>
    </row>
    <row r="44" spans="2:7" ht="15" thickBot="1" x14ac:dyDescent="0.4">
      <c r="C44" s="9"/>
      <c r="D44" s="9"/>
      <c r="E44" s="9"/>
      <c r="F44" s="12"/>
      <c r="G44" s="13">
        <f t="shared" si="2"/>
        <v>1</v>
      </c>
    </row>
    <row r="45" spans="2:7" ht="15" thickBot="1" x14ac:dyDescent="0.4">
      <c r="C45" s="9"/>
      <c r="D45" s="9"/>
      <c r="E45" s="9"/>
      <c r="F45" s="12"/>
      <c r="G45" s="13">
        <f t="shared" si="2"/>
        <v>1</v>
      </c>
    </row>
    <row r="46" spans="2:7" ht="15" thickBot="1" x14ac:dyDescent="0.4">
      <c r="C46" s="9"/>
      <c r="D46" s="9"/>
      <c r="E46" s="9"/>
      <c r="F46" s="12"/>
      <c r="G46" s="13">
        <f t="shared" si="2"/>
        <v>1</v>
      </c>
    </row>
    <row r="47" spans="2:7" x14ac:dyDescent="0.35">
      <c r="C47" s="10" t="s">
        <v>25</v>
      </c>
      <c r="D47" s="11">
        <f>SUM(D37:D46)</f>
        <v>0</v>
      </c>
      <c r="E47" s="11"/>
      <c r="F47" s="11" t="e">
        <f>(SUMPRODUCT('Contracts-Buyers Worksheet'!D37:D46,'Contracts-Buyers Worksheet'!F37:F46))/D47</f>
        <v>#DIV/0!</v>
      </c>
    </row>
    <row r="48" spans="2:7" x14ac:dyDescent="0.35"/>
    <row r="49" x14ac:dyDescent="0.35"/>
    <row r="50" x14ac:dyDescent="0.35"/>
  </sheetData>
  <mergeCells count="1">
    <mergeCell ref="D10:F10"/>
  </mergeCells>
  <dataValidations count="6">
    <dataValidation allowBlank="1" showInputMessage="1" showErrorMessage="1" promptTitle="Buyer/Contracts" prompt="List all known buyers and/or contracts that are used to inform the saeson's planting decisions for the crop" sqref="C35 C23 C12 C47" xr:uid="{8AB8D5A1-F8BC-43E5-81D7-D1165295CB9A}"/>
    <dataValidation allowBlank="1" showInputMessage="1" showErrorMessage="1" promptTitle="Contracted Per Acre" prompt="Number of acres included in the contract that must be fulfilled" sqref="D35:E35 D23:E23 D47:E47" xr:uid="{E24049B8-AEF8-4897-8EC1-051759E4257B}"/>
    <dataValidation allowBlank="1" showInputMessage="1" showErrorMessage="1" promptTitle="Percent of Contract Fulfilled" prompt="A percentage estimate of the number of acres that were actually harvested to fulfill each contract at the end of the season" sqref="F35 F23 F12 F47" xr:uid="{09F0793D-5024-477D-80BF-BB72F440C7B5}"/>
    <dataValidation allowBlank="1" showInputMessage="1" showErrorMessage="1" promptTitle="Contracted Acres Planted" prompt="Number of acres included in the contract that must be fulfilled" sqref="D12:E12" xr:uid="{48F28F97-4D18-48FA-941E-E54FE55A1490}"/>
    <dataValidation type="list" allowBlank="1" showInputMessage="1" showErrorMessage="1" sqref="E25:E34 E37:E46" xr:uid="{28AE7C31-A11B-4C82-8DAD-01CCB418EDF3}">
      <formula1>$A$52:$A$53</formula1>
    </dataValidation>
    <dataValidation type="list" allowBlank="1" showInputMessage="1" showErrorMessage="1" sqref="E13:E22" xr:uid="{16F7145A-5D5A-40DB-898F-1E5DFEA6BCF6}">
      <formula1>On_Farm_Units</formula1>
    </dataValidation>
  </dataValidations>
  <pageMargins left="0.7" right="0.7" top="0.75" bottom="0.75" header="0.3" footer="0.3"/>
  <pageSetup scale="69" orientation="landscape" horizontalDpi="300" verticalDpi="300" r:id="rId1"/>
  <drawing r:id="rId2"/>
  <extLst>
    <ext xmlns:x14="http://schemas.microsoft.com/office/spreadsheetml/2009/9/main" uri="{CCE6A557-97BC-4b89-ADB6-D9C93CAAB3DF}">
      <x14:dataValidations xmlns:xm="http://schemas.microsoft.com/office/excel/2006/main" count="8">
        <x14:dataValidation type="custom" allowBlank="1" showInputMessage="1" showErrorMessage="1" xr:uid="{E8828A0E-E442-467B-A97C-F3AD9CF70FE8}">
          <x14:formula1>
            <xm:f>'1. Harvest Data'!#REF!</xm:f>
          </x14:formula1>
          <xm:sqref>B13</xm:sqref>
        </x14:dataValidation>
        <x14:dataValidation type="custom" allowBlank="1" showInputMessage="1" showErrorMessage="1" xr:uid="{A068981F-98B4-4282-9517-00B82098D0CA}">
          <x14:formula1>
            <xm:f>'1. Harvest Data'!E10</xm:f>
          </x14:formula1>
          <xm:sqref>B22:B23</xm:sqref>
        </x14:dataValidation>
        <x14:dataValidation type="custom" allowBlank="1" showInputMessage="1" showErrorMessage="1" xr:uid="{F6DF3A3F-D12E-4252-9797-82D84B9186FE}">
          <x14:formula1>
            <xm:f>'1. Harvest Data'!E11</xm:f>
          </x14:formula1>
          <xm:sqref>B24</xm:sqref>
        </x14:dataValidation>
        <x14:dataValidation type="custom" allowBlank="1" showInputMessage="1" showErrorMessage="1" xr:uid="{5A32899B-5AED-49F2-AA36-17090150F1B6}">
          <x14:formula1>
            <xm:f>'1. Harvest Data'!E10</xm:f>
          </x14:formula1>
          <xm:sqref>B21</xm:sqref>
        </x14:dataValidation>
        <x14:dataValidation type="custom" allowBlank="1" showInputMessage="1" showErrorMessage="1" xr:uid="{C5A3D3EF-201A-412E-818F-B677932F7ADF}">
          <x14:formula1>
            <xm:f>'1. Harvest Data'!E11</xm:f>
          </x14:formula1>
          <xm:sqref>B19:B20</xm:sqref>
        </x14:dataValidation>
        <x14:dataValidation type="custom" allowBlank="1" showInputMessage="1" showErrorMessage="1" xr:uid="{C169FBEC-7606-4F4A-A55A-68C70D31618F}">
          <x14:formula1>
            <xm:f>'1. Harvest Data'!E11</xm:f>
          </x14:formula1>
          <xm:sqref>B16:B17</xm:sqref>
        </x14:dataValidation>
        <x14:dataValidation type="custom" allowBlank="1" showInputMessage="1" showErrorMessage="1" xr:uid="{24131298-ECDC-49C3-8395-BF94EA5AC94F}">
          <x14:formula1>
            <xm:f>'1. Harvest Data'!E12</xm:f>
          </x14:formula1>
          <xm:sqref>B18</xm:sqref>
        </x14:dataValidation>
        <x14:dataValidation type="custom" allowBlank="1" showInputMessage="1" showErrorMessage="1" xr:uid="{EB833A6E-6FC6-4F51-812C-E3A36E1C60B0}">
          <x14:formula1>
            <xm:f>'1. Harvest Data'!E10</xm:f>
          </x14:formula1>
          <xm:sqref>B14:B15</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7030A0"/>
    <pageSetUpPr fitToPage="1"/>
  </sheetPr>
  <dimension ref="B8:F40"/>
  <sheetViews>
    <sheetView showGridLines="0" showRowColHeaders="0" workbookViewId="0">
      <selection activeCell="L3" sqref="L3:L4"/>
    </sheetView>
  </sheetViews>
  <sheetFormatPr defaultColWidth="8.7265625" defaultRowHeight="14.5" x14ac:dyDescent="0.35"/>
  <cols>
    <col min="2" max="2" width="12.7265625" customWidth="1"/>
    <col min="3" max="3" width="19.453125" customWidth="1"/>
    <col min="4" max="5" width="20" customWidth="1"/>
    <col min="6" max="6" width="21.453125" customWidth="1"/>
  </cols>
  <sheetData>
    <row r="8" spans="2:6" ht="29" x14ac:dyDescent="0.35">
      <c r="B8" s="2"/>
      <c r="C8" s="6" t="s">
        <v>20</v>
      </c>
      <c r="D8" s="7" t="s">
        <v>21</v>
      </c>
      <c r="E8" s="7" t="s">
        <v>26</v>
      </c>
      <c r="F8" s="7" t="s">
        <v>27</v>
      </c>
    </row>
    <row r="9" spans="2:6" ht="15" thickBot="1" x14ac:dyDescent="0.4">
      <c r="B9">
        <f>'1. Harvest Data'!E10</f>
        <v>0</v>
      </c>
      <c r="C9" s="10">
        <f>'Contracts-Buyers Worksheet'!C13</f>
        <v>0</v>
      </c>
      <c r="D9" s="21">
        <f>'Contracts-Buyers Worksheet'!D13</f>
        <v>8.2799999999999994</v>
      </c>
      <c r="E9" s="13">
        <f>('Contracts-Buyers Worksheet'!D13*'Contracts-Buyers Worksheet'!G13)/SUMPRODUCT('Contracts-Buyers Worksheet'!$D$13:$D$22,'Contracts-Buyers Worksheet'!$G$13:$G$22)</f>
        <v>1</v>
      </c>
      <c r="F9" s="14" t="e">
        <f>E9*'Metric Table'!#REF!</f>
        <v>#REF!</v>
      </c>
    </row>
    <row r="10" spans="2:6" ht="15" thickBot="1" x14ac:dyDescent="0.4">
      <c r="C10" s="10">
        <f>'Contracts-Buyers Worksheet'!C14</f>
        <v>0</v>
      </c>
      <c r="D10" s="21">
        <f>'Contracts-Buyers Worksheet'!D14</f>
        <v>0</v>
      </c>
      <c r="E10" s="13">
        <f>('Contracts-Buyers Worksheet'!D14*'Contracts-Buyers Worksheet'!G14)/SUMPRODUCT('Contracts-Buyers Worksheet'!$D$13:$D$22,'Contracts-Buyers Worksheet'!$G$13:$G$22)</f>
        <v>0</v>
      </c>
      <c r="F10" s="14" t="e">
        <f>E10*'Metric Table'!#REF!</f>
        <v>#REF!</v>
      </c>
    </row>
    <row r="11" spans="2:6" ht="15" thickBot="1" x14ac:dyDescent="0.4">
      <c r="C11" s="10">
        <f>'Contracts-Buyers Worksheet'!C15</f>
        <v>0</v>
      </c>
      <c r="D11" s="21">
        <f>'Contracts-Buyers Worksheet'!D15</f>
        <v>0</v>
      </c>
      <c r="E11" s="13">
        <f>('Contracts-Buyers Worksheet'!D15*'Contracts-Buyers Worksheet'!G15)/SUMPRODUCT('Contracts-Buyers Worksheet'!$D$13:$D$22,'Contracts-Buyers Worksheet'!$G$13:$G$22)</f>
        <v>0</v>
      </c>
      <c r="F11" s="14" t="e">
        <f>E11*'Metric Table'!#REF!</f>
        <v>#REF!</v>
      </c>
    </row>
    <row r="12" spans="2:6" ht="15" thickBot="1" x14ac:dyDescent="0.4">
      <c r="C12" s="10">
        <f>'Contracts-Buyers Worksheet'!C16</f>
        <v>0</v>
      </c>
      <c r="D12" s="21">
        <f>'Contracts-Buyers Worksheet'!D16</f>
        <v>0</v>
      </c>
      <c r="E12" s="13">
        <f>('Contracts-Buyers Worksheet'!D16*'Contracts-Buyers Worksheet'!G16)/SUMPRODUCT('Contracts-Buyers Worksheet'!$D$13:$D$22,'Contracts-Buyers Worksheet'!$G$13:$G$22)</f>
        <v>0</v>
      </c>
      <c r="F12" s="14" t="e">
        <f>E12*'Metric Table'!#REF!</f>
        <v>#REF!</v>
      </c>
    </row>
    <row r="13" spans="2:6" ht="15" thickBot="1" x14ac:dyDescent="0.4">
      <c r="C13" s="10">
        <f>'Contracts-Buyers Worksheet'!C17</f>
        <v>0</v>
      </c>
      <c r="D13" s="21">
        <f>'Contracts-Buyers Worksheet'!D17</f>
        <v>0</v>
      </c>
      <c r="E13" s="13">
        <f>('Contracts-Buyers Worksheet'!D17*'Contracts-Buyers Worksheet'!G17)/SUMPRODUCT('Contracts-Buyers Worksheet'!$D$13:$D$22,'Contracts-Buyers Worksheet'!$G$13:$G$22)</f>
        <v>0</v>
      </c>
      <c r="F13" s="14" t="e">
        <f>E13*'Metric Table'!#REF!</f>
        <v>#REF!</v>
      </c>
    </row>
    <row r="14" spans="2:6" ht="15" thickBot="1" x14ac:dyDescent="0.4">
      <c r="C14" s="10">
        <f>'Contracts-Buyers Worksheet'!C18</f>
        <v>0</v>
      </c>
      <c r="D14" s="21">
        <f>'Contracts-Buyers Worksheet'!D18</f>
        <v>0</v>
      </c>
      <c r="E14" s="13">
        <f>('Contracts-Buyers Worksheet'!D18*'Contracts-Buyers Worksheet'!G18)/SUMPRODUCT('Contracts-Buyers Worksheet'!$D$13:$D$22,'Contracts-Buyers Worksheet'!$G$13:$G$22)</f>
        <v>0</v>
      </c>
      <c r="F14" s="14" t="e">
        <f>E14*'Metric Table'!#REF!</f>
        <v>#REF!</v>
      </c>
    </row>
    <row r="15" spans="2:6" ht="15" thickBot="1" x14ac:dyDescent="0.4">
      <c r="C15" s="10">
        <f>'Contracts-Buyers Worksheet'!C19</f>
        <v>0</v>
      </c>
      <c r="D15" s="21">
        <f>'Contracts-Buyers Worksheet'!D19</f>
        <v>0</v>
      </c>
      <c r="E15" s="13">
        <f>('Contracts-Buyers Worksheet'!D19*'Contracts-Buyers Worksheet'!G19)/SUMPRODUCT('Contracts-Buyers Worksheet'!$D$13:$D$22,'Contracts-Buyers Worksheet'!$G$13:$G$22)</f>
        <v>0</v>
      </c>
      <c r="F15" s="14" t="e">
        <f>E15*'Metric Table'!#REF!</f>
        <v>#REF!</v>
      </c>
    </row>
    <row r="16" spans="2:6" ht="15" thickBot="1" x14ac:dyDescent="0.4">
      <c r="C16" s="10">
        <f>'Contracts-Buyers Worksheet'!C20</f>
        <v>0</v>
      </c>
      <c r="D16" s="21">
        <f>'Contracts-Buyers Worksheet'!D20</f>
        <v>0</v>
      </c>
      <c r="E16" s="13">
        <f>('Contracts-Buyers Worksheet'!D20*'Contracts-Buyers Worksheet'!G20)/SUMPRODUCT('Contracts-Buyers Worksheet'!$D$13:$D$22,'Contracts-Buyers Worksheet'!$G$13:$G$22)</f>
        <v>0</v>
      </c>
      <c r="F16" s="14" t="e">
        <f>E16*'Metric Table'!#REF!</f>
        <v>#REF!</v>
      </c>
    </row>
    <row r="17" spans="2:6" ht="15" thickBot="1" x14ac:dyDescent="0.4">
      <c r="C17" s="10">
        <f>'Contracts-Buyers Worksheet'!C21</f>
        <v>0</v>
      </c>
      <c r="D17" s="21">
        <f>'Contracts-Buyers Worksheet'!D21</f>
        <v>0</v>
      </c>
      <c r="E17" s="13">
        <f>('Contracts-Buyers Worksheet'!D21*'Contracts-Buyers Worksheet'!G21)/SUMPRODUCT('Contracts-Buyers Worksheet'!$D$13:$D$22,'Contracts-Buyers Worksheet'!$G$13:$G$22)</f>
        <v>0</v>
      </c>
      <c r="F17" s="14" t="e">
        <f>E17*'Metric Table'!#REF!</f>
        <v>#REF!</v>
      </c>
    </row>
    <row r="18" spans="2:6" ht="15" thickBot="1" x14ac:dyDescent="0.4">
      <c r="C18" s="10">
        <f>'Contracts-Buyers Worksheet'!C22</f>
        <v>0</v>
      </c>
      <c r="D18" s="21">
        <f>'Contracts-Buyers Worksheet'!D22</f>
        <v>0</v>
      </c>
      <c r="E18" s="13">
        <f>('Contracts-Buyers Worksheet'!D22*'Contracts-Buyers Worksheet'!G22)/SUMPRODUCT('Contracts-Buyers Worksheet'!$D$13:$D$22,'Contracts-Buyers Worksheet'!$G$13:$G$22)</f>
        <v>0</v>
      </c>
      <c r="F18" s="14" t="e">
        <f>E18*'Metric Table'!#REF!</f>
        <v>#REF!</v>
      </c>
    </row>
    <row r="19" spans="2:6" ht="15" thickBot="1" x14ac:dyDescent="0.4"/>
    <row r="20" spans="2:6" ht="15" thickBot="1" x14ac:dyDescent="0.4">
      <c r="B20" s="8">
        <f>'Add''l Harvest Data'!D6</f>
        <v>0</v>
      </c>
      <c r="C20" s="10">
        <f>'Contracts-Buyers Worksheet'!C25</f>
        <v>0</v>
      </c>
      <c r="D20" s="21">
        <f>'Contracts-Buyers Worksheet'!D25</f>
        <v>0</v>
      </c>
      <c r="E20" s="13" t="e">
        <f>('Contracts-Buyers Worksheet'!D25*'Contracts-Buyers Worksheet'!G25)/SUMPRODUCT('Contracts-Buyers Worksheet'!$D$25:$D$34,'Contracts-Buyers Worksheet'!$G$25:$G$34)</f>
        <v>#DIV/0!</v>
      </c>
      <c r="F20" s="14" t="e">
        <f>E20*'Metric Table'!#REF!</f>
        <v>#DIV/0!</v>
      </c>
    </row>
    <row r="21" spans="2:6" ht="15" thickBot="1" x14ac:dyDescent="0.4">
      <c r="B21" s="8"/>
      <c r="C21" s="10">
        <f>'Contracts-Buyers Worksheet'!C26</f>
        <v>0</v>
      </c>
      <c r="D21" s="21">
        <f>'Contracts-Buyers Worksheet'!D26</f>
        <v>0</v>
      </c>
      <c r="E21" s="13" t="e">
        <f>('Contracts-Buyers Worksheet'!D26*'Contracts-Buyers Worksheet'!G26)/SUMPRODUCT('Contracts-Buyers Worksheet'!$D$25:$D$34,'Contracts-Buyers Worksheet'!$G$25:$G$34)</f>
        <v>#DIV/0!</v>
      </c>
      <c r="F21" s="14" t="e">
        <f>E21*'Metric Table'!#REF!</f>
        <v>#DIV/0!</v>
      </c>
    </row>
    <row r="22" spans="2:6" ht="15" thickBot="1" x14ac:dyDescent="0.4">
      <c r="B22" s="8"/>
      <c r="C22" s="10">
        <f>'Contracts-Buyers Worksheet'!C27</f>
        <v>0</v>
      </c>
      <c r="D22" s="21">
        <f>'Contracts-Buyers Worksheet'!D27</f>
        <v>0</v>
      </c>
      <c r="E22" s="13" t="e">
        <f>('Contracts-Buyers Worksheet'!D27*'Contracts-Buyers Worksheet'!G27)/SUMPRODUCT('Contracts-Buyers Worksheet'!$D$25:$D$34,'Contracts-Buyers Worksheet'!$G$25:$G$34)</f>
        <v>#DIV/0!</v>
      </c>
      <c r="F22" s="14" t="e">
        <f>E22*'Metric Table'!#REF!</f>
        <v>#DIV/0!</v>
      </c>
    </row>
    <row r="23" spans="2:6" ht="15" thickBot="1" x14ac:dyDescent="0.4">
      <c r="B23" s="8"/>
      <c r="C23" s="10">
        <f>'Contracts-Buyers Worksheet'!C28</f>
        <v>0</v>
      </c>
      <c r="D23" s="21">
        <f>'Contracts-Buyers Worksheet'!D28</f>
        <v>0</v>
      </c>
      <c r="E23" s="13" t="e">
        <f>('Contracts-Buyers Worksheet'!D28*'Contracts-Buyers Worksheet'!G28)/SUMPRODUCT('Contracts-Buyers Worksheet'!$D$25:$D$34,'Contracts-Buyers Worksheet'!$G$25:$G$34)</f>
        <v>#DIV/0!</v>
      </c>
      <c r="F23" s="14" t="e">
        <f>E23*'Metric Table'!#REF!</f>
        <v>#DIV/0!</v>
      </c>
    </row>
    <row r="24" spans="2:6" ht="15" thickBot="1" x14ac:dyDescent="0.4">
      <c r="B24" s="8"/>
      <c r="C24" s="10">
        <f>'Contracts-Buyers Worksheet'!C29</f>
        <v>0</v>
      </c>
      <c r="D24" s="21">
        <f>'Contracts-Buyers Worksheet'!D29</f>
        <v>0</v>
      </c>
      <c r="E24" s="13" t="e">
        <f>('Contracts-Buyers Worksheet'!D29*'Contracts-Buyers Worksheet'!G29)/SUMPRODUCT('Contracts-Buyers Worksheet'!$D$25:$D$34,'Contracts-Buyers Worksheet'!$G$25:$G$34)</f>
        <v>#DIV/0!</v>
      </c>
      <c r="F24" s="14" t="e">
        <f>E24*'Metric Table'!#REF!</f>
        <v>#DIV/0!</v>
      </c>
    </row>
    <row r="25" spans="2:6" ht="15" thickBot="1" x14ac:dyDescent="0.4">
      <c r="B25" s="8"/>
      <c r="C25" s="10">
        <f>'Contracts-Buyers Worksheet'!C30</f>
        <v>0</v>
      </c>
      <c r="D25" s="21">
        <f>'Contracts-Buyers Worksheet'!D30</f>
        <v>0</v>
      </c>
      <c r="E25" s="13" t="e">
        <f>('Contracts-Buyers Worksheet'!D30*'Contracts-Buyers Worksheet'!G30)/SUMPRODUCT('Contracts-Buyers Worksheet'!$D$25:$D$34,'Contracts-Buyers Worksheet'!$G$25:$G$34)</f>
        <v>#DIV/0!</v>
      </c>
      <c r="F25" s="14" t="e">
        <f>E25*'Metric Table'!#REF!</f>
        <v>#DIV/0!</v>
      </c>
    </row>
    <row r="26" spans="2:6" ht="15" thickBot="1" x14ac:dyDescent="0.4">
      <c r="B26" s="8"/>
      <c r="C26" s="10">
        <f>'Contracts-Buyers Worksheet'!C31</f>
        <v>0</v>
      </c>
      <c r="D26" s="21">
        <f>'Contracts-Buyers Worksheet'!D31</f>
        <v>0</v>
      </c>
      <c r="E26" s="13" t="e">
        <f>('Contracts-Buyers Worksheet'!D31*'Contracts-Buyers Worksheet'!G31)/SUMPRODUCT('Contracts-Buyers Worksheet'!$D$25:$D$34,'Contracts-Buyers Worksheet'!$G$25:$G$34)</f>
        <v>#DIV/0!</v>
      </c>
      <c r="F26" s="14" t="e">
        <f>E26*'Metric Table'!#REF!</f>
        <v>#DIV/0!</v>
      </c>
    </row>
    <row r="27" spans="2:6" ht="15" thickBot="1" x14ac:dyDescent="0.4">
      <c r="B27" s="8"/>
      <c r="C27" s="10">
        <f>'Contracts-Buyers Worksheet'!C32</f>
        <v>0</v>
      </c>
      <c r="D27" s="21">
        <f>'Contracts-Buyers Worksheet'!D32</f>
        <v>0</v>
      </c>
      <c r="E27" s="13" t="e">
        <f>('Contracts-Buyers Worksheet'!D32*'Contracts-Buyers Worksheet'!G32)/SUMPRODUCT('Contracts-Buyers Worksheet'!$D$25:$D$34,'Contracts-Buyers Worksheet'!$G$25:$G$34)</f>
        <v>#DIV/0!</v>
      </c>
      <c r="F27" s="14" t="e">
        <f>E27*'Metric Table'!#REF!</f>
        <v>#DIV/0!</v>
      </c>
    </row>
    <row r="28" spans="2:6" ht="15" thickBot="1" x14ac:dyDescent="0.4">
      <c r="B28" s="8"/>
      <c r="C28" s="10">
        <f>'Contracts-Buyers Worksheet'!C33</f>
        <v>0</v>
      </c>
      <c r="D28" s="21">
        <f>'Contracts-Buyers Worksheet'!D33</f>
        <v>0</v>
      </c>
      <c r="E28" s="13" t="e">
        <f>('Contracts-Buyers Worksheet'!D33*'Contracts-Buyers Worksheet'!G33)/SUMPRODUCT('Contracts-Buyers Worksheet'!$D$25:$D$34,'Contracts-Buyers Worksheet'!$G$25:$G$34)</f>
        <v>#DIV/0!</v>
      </c>
      <c r="F28" s="14" t="e">
        <f>E28*'Metric Table'!#REF!</f>
        <v>#DIV/0!</v>
      </c>
    </row>
    <row r="29" spans="2:6" ht="15" thickBot="1" x14ac:dyDescent="0.4">
      <c r="B29" s="8"/>
      <c r="C29" s="10">
        <f>'Contracts-Buyers Worksheet'!C34</f>
        <v>0</v>
      </c>
      <c r="D29" s="21">
        <f>'Contracts-Buyers Worksheet'!D34</f>
        <v>0</v>
      </c>
      <c r="E29" s="13" t="e">
        <f>('Contracts-Buyers Worksheet'!D34*'Contracts-Buyers Worksheet'!G34)/SUMPRODUCT('Contracts-Buyers Worksheet'!$D$25:$D$34,'Contracts-Buyers Worksheet'!$G$25:$G$34)</f>
        <v>#DIV/0!</v>
      </c>
      <c r="F29" s="14" t="e">
        <f>E29*'Metric Table'!#REF!</f>
        <v>#DIV/0!</v>
      </c>
    </row>
    <row r="30" spans="2:6" ht="15" thickBot="1" x14ac:dyDescent="0.4">
      <c r="B30" s="8"/>
    </row>
    <row r="31" spans="2:6" ht="15" thickBot="1" x14ac:dyDescent="0.4">
      <c r="B31" s="8">
        <f>'Add''l Harvest Data'!I6</f>
        <v>0</v>
      </c>
      <c r="C31" s="10">
        <f>'Contracts-Buyers Worksheet'!C37</f>
        <v>0</v>
      </c>
      <c r="D31" s="21">
        <f>'Contracts-Buyers Worksheet'!D37</f>
        <v>0</v>
      </c>
      <c r="E31" s="13" t="e">
        <f>('Contracts-Buyers Worksheet'!D37*'Contracts-Buyers Worksheet'!G37)/SUMPRODUCT('Contracts-Buyers Worksheet'!$D$37:$D$46,'Contracts-Buyers Worksheet'!$G$37:$G$46)</f>
        <v>#DIV/0!</v>
      </c>
      <c r="F31" s="14" t="e">
        <f>E31*'Metric Table'!#REF!</f>
        <v>#DIV/0!</v>
      </c>
    </row>
    <row r="32" spans="2:6" ht="15" thickBot="1" x14ac:dyDescent="0.4">
      <c r="C32" s="10">
        <f>'Contracts-Buyers Worksheet'!C38</f>
        <v>0</v>
      </c>
      <c r="D32" s="21">
        <f>'Contracts-Buyers Worksheet'!D38</f>
        <v>0</v>
      </c>
      <c r="E32" s="13" t="e">
        <f>('Contracts-Buyers Worksheet'!D38*'Contracts-Buyers Worksheet'!G38)/SUMPRODUCT('Contracts-Buyers Worksheet'!$D$37:$D$46,'Contracts-Buyers Worksheet'!$G$37:$G$46)</f>
        <v>#DIV/0!</v>
      </c>
      <c r="F32" s="14" t="e">
        <f>E32*'Metric Table'!#REF!</f>
        <v>#DIV/0!</v>
      </c>
    </row>
    <row r="33" spans="3:6" ht="15" thickBot="1" x14ac:dyDescent="0.4">
      <c r="C33" s="10">
        <f>'Contracts-Buyers Worksheet'!C39</f>
        <v>0</v>
      </c>
      <c r="D33" s="21">
        <f>'Contracts-Buyers Worksheet'!D39</f>
        <v>0</v>
      </c>
      <c r="E33" s="13" t="e">
        <f>('Contracts-Buyers Worksheet'!D39*'Contracts-Buyers Worksheet'!G39)/SUMPRODUCT('Contracts-Buyers Worksheet'!$D$37:$D$46,'Contracts-Buyers Worksheet'!$G$37:$G$46)</f>
        <v>#DIV/0!</v>
      </c>
      <c r="F33" s="14" t="e">
        <f>E33*'Metric Table'!#REF!</f>
        <v>#DIV/0!</v>
      </c>
    </row>
    <row r="34" spans="3:6" ht="15" thickBot="1" x14ac:dyDescent="0.4">
      <c r="C34" s="10">
        <f>'Contracts-Buyers Worksheet'!C40</f>
        <v>0</v>
      </c>
      <c r="D34" s="21">
        <f>'Contracts-Buyers Worksheet'!D40</f>
        <v>0</v>
      </c>
      <c r="E34" s="13" t="e">
        <f>('Contracts-Buyers Worksheet'!D40*'Contracts-Buyers Worksheet'!G40)/SUMPRODUCT('Contracts-Buyers Worksheet'!$D$37:$D$46,'Contracts-Buyers Worksheet'!$G$37:$G$46)</f>
        <v>#DIV/0!</v>
      </c>
      <c r="F34" s="14" t="e">
        <f>E34*'Metric Table'!#REF!</f>
        <v>#DIV/0!</v>
      </c>
    </row>
    <row r="35" spans="3:6" ht="15" thickBot="1" x14ac:dyDescent="0.4">
      <c r="C35" s="10">
        <f>'Contracts-Buyers Worksheet'!C41</f>
        <v>0</v>
      </c>
      <c r="D35" s="21">
        <f>'Contracts-Buyers Worksheet'!D41</f>
        <v>0</v>
      </c>
      <c r="E35" s="13" t="e">
        <f>('Contracts-Buyers Worksheet'!D41*'Contracts-Buyers Worksheet'!G41)/SUMPRODUCT('Contracts-Buyers Worksheet'!$D$37:$D$46,'Contracts-Buyers Worksheet'!$G$37:$G$46)</f>
        <v>#DIV/0!</v>
      </c>
      <c r="F35" s="14" t="e">
        <f>E35*'Metric Table'!#REF!</f>
        <v>#DIV/0!</v>
      </c>
    </row>
    <row r="36" spans="3:6" ht="15" thickBot="1" x14ac:dyDescent="0.4">
      <c r="C36" s="10">
        <f>'Contracts-Buyers Worksheet'!C42</f>
        <v>0</v>
      </c>
      <c r="D36" s="21">
        <f>'Contracts-Buyers Worksheet'!D42</f>
        <v>0</v>
      </c>
      <c r="E36" s="13" t="e">
        <f>('Contracts-Buyers Worksheet'!D42*'Contracts-Buyers Worksheet'!G42)/SUMPRODUCT('Contracts-Buyers Worksheet'!$D$37:$D$46,'Contracts-Buyers Worksheet'!$G$37:$G$46)</f>
        <v>#DIV/0!</v>
      </c>
      <c r="F36" s="14" t="e">
        <f>E36*'Metric Table'!#REF!</f>
        <v>#DIV/0!</v>
      </c>
    </row>
    <row r="37" spans="3:6" ht="15" thickBot="1" x14ac:dyDescent="0.4">
      <c r="C37" s="10">
        <f>'Contracts-Buyers Worksheet'!C43</f>
        <v>0</v>
      </c>
      <c r="D37" s="21">
        <f>'Contracts-Buyers Worksheet'!D43</f>
        <v>0</v>
      </c>
      <c r="E37" s="13" t="e">
        <f>('Contracts-Buyers Worksheet'!D43*'Contracts-Buyers Worksheet'!G43)/SUMPRODUCT('Contracts-Buyers Worksheet'!$D$37:$D$46,'Contracts-Buyers Worksheet'!$G$37:$G$46)</f>
        <v>#DIV/0!</v>
      </c>
      <c r="F37" s="14" t="e">
        <f>E37*'Metric Table'!#REF!</f>
        <v>#DIV/0!</v>
      </c>
    </row>
    <row r="38" spans="3:6" ht="15" thickBot="1" x14ac:dyDescent="0.4">
      <c r="C38" s="10">
        <f>'Contracts-Buyers Worksheet'!C44</f>
        <v>0</v>
      </c>
      <c r="D38" s="21">
        <f>'Contracts-Buyers Worksheet'!D44</f>
        <v>0</v>
      </c>
      <c r="E38" s="13" t="e">
        <f>('Contracts-Buyers Worksheet'!D44*'Contracts-Buyers Worksheet'!G44)/SUMPRODUCT('Contracts-Buyers Worksheet'!$D$37:$D$46,'Contracts-Buyers Worksheet'!$G$37:$G$46)</f>
        <v>#DIV/0!</v>
      </c>
      <c r="F38" s="14" t="e">
        <f>E38*'Metric Table'!#REF!</f>
        <v>#DIV/0!</v>
      </c>
    </row>
    <row r="39" spans="3:6" ht="15" thickBot="1" x14ac:dyDescent="0.4">
      <c r="C39" s="10">
        <f>'Contracts-Buyers Worksheet'!C45</f>
        <v>0</v>
      </c>
      <c r="D39" s="21">
        <f>'Contracts-Buyers Worksheet'!D45</f>
        <v>0</v>
      </c>
      <c r="E39" s="13" t="e">
        <f>('Contracts-Buyers Worksheet'!D45*'Contracts-Buyers Worksheet'!G45)/SUMPRODUCT('Contracts-Buyers Worksheet'!$D$37:$D$46,'Contracts-Buyers Worksheet'!$G$37:$G$46)</f>
        <v>#DIV/0!</v>
      </c>
      <c r="F39" s="14" t="e">
        <f>E39*'Metric Table'!#REF!</f>
        <v>#DIV/0!</v>
      </c>
    </row>
    <row r="40" spans="3:6" ht="15" thickBot="1" x14ac:dyDescent="0.4">
      <c r="C40" s="10">
        <f>'Contracts-Buyers Worksheet'!C46</f>
        <v>0</v>
      </c>
      <c r="D40" s="21">
        <f>'Contracts-Buyers Worksheet'!D46</f>
        <v>0</v>
      </c>
      <c r="E40" s="13" t="e">
        <f>('Contracts-Buyers Worksheet'!D46*'Contracts-Buyers Worksheet'!G46)/SUMPRODUCT('Contracts-Buyers Worksheet'!$D$37:$D$46,'Contracts-Buyers Worksheet'!$G$37:$G$46)</f>
        <v>#DIV/0!</v>
      </c>
      <c r="F40" s="14" t="e">
        <f>E40*'Metric Table'!#REF!</f>
        <v>#DIV/0!</v>
      </c>
    </row>
  </sheetData>
  <dataValidations count="6">
    <dataValidation allowBlank="1" showInputMessage="1" showErrorMessage="1" promptTitle="Percent of Contract Fulfilled" prompt="A percentage estimate of the number of acres that were actually harvested to fulfill each contract at the end of the season" sqref="F20:F29 F10:F18" xr:uid="{706DD561-BC0C-4D91-A849-31A53B9F5816}"/>
    <dataValidation allowBlank="1" showInputMessage="1" showErrorMessage="1" promptTitle="Buyer/Contracts" prompt="List all known buyers and/or contracts that are used to inform the saeson's planting decisions for the crop" sqref="C31:C40" xr:uid="{A9DD8098-C14F-4AEF-9CA5-E1FC2908BB9F}"/>
    <dataValidation allowBlank="1" showInputMessage="1" showErrorMessage="1" promptTitle="Buyer/Contracts" prompt="All known buyers and/or contracts that are used to inform the seasons planting decisions for the crop" sqref="C8" xr:uid="{AF2B566E-2E21-4054-BB06-DF8DD77AF3FC}"/>
    <dataValidation allowBlank="1" showInputMessage="1" showErrorMessage="1" promptTitle="% Responsibility" prompt="A percentage estimate of the number of acres that were actually harvested to fulfill each contract at the end of the season" sqref="E8" xr:uid="{E29D43B3-D84F-4E02-B6B1-45E7B9F6518D}"/>
    <dataValidation allowBlank="1" showInputMessage="1" showErrorMessage="1" promptTitle="Contracted Acres Planted" prompt="Number of acres or tons included in the contract that must be fulfilled_x000a_" sqref="D8" xr:uid="{C33CBA54-9B89-4844-8693-0213B847AD0D}"/>
    <dataValidation allowBlank="1" showInputMessage="1" showErrorMessage="1" promptTitle="Allocated Loss" prompt="Amount of loss attributed to this contract or buyer." sqref="F8" xr:uid="{DBDF16F0-5975-4E4C-A5BC-796FA2F7CF10}"/>
  </dataValidations>
  <pageMargins left="0.7" right="0.7" top="0.75" bottom="0.75" header="0.3" footer="0.3"/>
  <pageSetup scale="63" orientation="landscape" horizontalDpi="300" verticalDpi="300" r:id="rId1"/>
  <drawing r:id="rId2"/>
  <extLst>
    <ext xmlns:x14="http://schemas.microsoft.com/office/spreadsheetml/2009/9/main" uri="{CCE6A557-97BC-4b89-ADB6-D9C93CAAB3DF}">
      <x14:dataValidations xmlns:xm="http://schemas.microsoft.com/office/excel/2006/main" count="7">
        <x14:dataValidation type="custom" allowBlank="1" showInputMessage="1" showErrorMessage="1" xr:uid="{FBCC5DB8-DDD0-4F9D-B263-E1790A216B7D}">
          <x14:formula1>
            <xm:f>'1. Harvest Data'!#REF!</xm:f>
          </x14:formula1>
          <xm:sqref>B9</xm:sqref>
        </x14:dataValidation>
        <x14:dataValidation type="custom" allowBlank="1" showInputMessage="1" showErrorMessage="1" xr:uid="{4B5A359E-12BF-4556-8915-EE968078A26D}">
          <x14:formula1>
            <xm:f>'1. Harvest Data'!E12</xm:f>
          </x14:formula1>
          <xm:sqref>B14</xm:sqref>
        </x14:dataValidation>
        <x14:dataValidation type="custom" allowBlank="1" showInputMessage="1" showErrorMessage="1" xr:uid="{7AA7B610-11F2-47BC-8114-14643F11E0DD}">
          <x14:formula1>
            <xm:f>'1. Harvest Data'!E11</xm:f>
          </x14:formula1>
          <xm:sqref>B12:B13</xm:sqref>
        </x14:dataValidation>
        <x14:dataValidation type="custom" allowBlank="1" showInputMessage="1" showErrorMessage="1" xr:uid="{0F94DC27-5C38-4A90-988D-8B4A27CB0CCB}">
          <x14:formula1>
            <xm:f>'1. Harvest Data'!E11</xm:f>
          </x14:formula1>
          <xm:sqref>B15:B16</xm:sqref>
        </x14:dataValidation>
        <x14:dataValidation type="custom" allowBlank="1" showInputMessage="1" showErrorMessage="1" xr:uid="{FC1E21A1-80DE-4E9C-AD93-A483316ACA38}">
          <x14:formula1>
            <xm:f>'1. Harvest Data'!E10</xm:f>
          </x14:formula1>
          <xm:sqref>B17</xm:sqref>
        </x14:dataValidation>
        <x14:dataValidation type="custom" allowBlank="1" showInputMessage="1" showErrorMessage="1" xr:uid="{B454C1F2-6CAD-4BF8-AF7C-BDD73333EAE2}">
          <x14:formula1>
            <xm:f>'1. Harvest Data'!E10</xm:f>
          </x14:formula1>
          <xm:sqref>B18:B19</xm:sqref>
        </x14:dataValidation>
        <x14:dataValidation type="custom" allowBlank="1" showInputMessage="1" showErrorMessage="1" xr:uid="{ECF59151-178D-4DE9-BE7B-9670A4E50C80}">
          <x14:formula1>
            <xm:f>'1. Harvest Data'!E10</xm:f>
          </x14:formula1>
          <xm:sqref>B10:B11</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E80"/>
  <sheetViews>
    <sheetView topLeftCell="B1" workbookViewId="0">
      <selection activeCell="D18" sqref="D18"/>
    </sheetView>
  </sheetViews>
  <sheetFormatPr defaultColWidth="8.7265625" defaultRowHeight="14.5" x14ac:dyDescent="0.35"/>
  <cols>
    <col min="1" max="1" width="0" hidden="1" customWidth="1"/>
    <col min="2" max="2" width="16.26953125" customWidth="1"/>
    <col min="3" max="3" width="9.26953125" style="18"/>
    <col min="4" max="4" width="16.453125" customWidth="1"/>
    <col min="5" max="5" width="11.453125" style="18" customWidth="1"/>
  </cols>
  <sheetData>
    <row r="1" spans="1:5" x14ac:dyDescent="0.35">
      <c r="B1" s="1" t="s">
        <v>28</v>
      </c>
    </row>
    <row r="2" spans="1:5" x14ac:dyDescent="0.35">
      <c r="B2" s="1"/>
    </row>
    <row r="3" spans="1:5" x14ac:dyDescent="0.35">
      <c r="A3" t="s">
        <v>29</v>
      </c>
      <c r="B3" s="1" t="s">
        <v>30</v>
      </c>
      <c r="C3" s="19" t="s">
        <v>31</v>
      </c>
      <c r="D3" s="1" t="s">
        <v>32</v>
      </c>
      <c r="E3" s="19" t="s">
        <v>33</v>
      </c>
    </row>
    <row r="4" spans="1:5" x14ac:dyDescent="0.35">
      <c r="A4" t="str">
        <f>CONCATENATE(B4,C4)</f>
        <v>Apples CA</v>
      </c>
      <c r="B4" t="s">
        <v>34</v>
      </c>
      <c r="C4" s="18" t="s">
        <v>0</v>
      </c>
      <c r="D4" s="16">
        <v>16700</v>
      </c>
      <c r="E4" s="18" t="s">
        <v>35</v>
      </c>
    </row>
    <row r="5" spans="1:5" x14ac:dyDescent="0.35">
      <c r="A5" t="str">
        <f t="shared" ref="A5:A68" si="0">CONCATENATE(B5,C5)</f>
        <v>ApricotsCA</v>
      </c>
      <c r="B5" t="s">
        <v>36</v>
      </c>
      <c r="C5" s="18" t="s">
        <v>0</v>
      </c>
      <c r="D5">
        <v>8400</v>
      </c>
      <c r="E5" s="18" t="s">
        <v>35</v>
      </c>
    </row>
    <row r="6" spans="1:5" x14ac:dyDescent="0.35">
      <c r="A6" t="str">
        <f t="shared" si="0"/>
        <v>ArtichokesCA</v>
      </c>
      <c r="B6" t="s">
        <v>37</v>
      </c>
      <c r="C6" s="18" t="s">
        <v>0</v>
      </c>
      <c r="D6">
        <v>14560</v>
      </c>
      <c r="E6" s="18" t="s">
        <v>35</v>
      </c>
    </row>
    <row r="7" spans="1:5" x14ac:dyDescent="0.35">
      <c r="A7" t="str">
        <f t="shared" si="0"/>
        <v>AsparagusCA</v>
      </c>
      <c r="B7" t="s">
        <v>38</v>
      </c>
      <c r="C7" s="18" t="s">
        <v>0</v>
      </c>
      <c r="D7">
        <v>1792</v>
      </c>
      <c r="E7" s="18" t="s">
        <v>35</v>
      </c>
    </row>
    <row r="8" spans="1:5" x14ac:dyDescent="0.35">
      <c r="A8" t="str">
        <f t="shared" si="0"/>
        <v>AvocadosCA</v>
      </c>
      <c r="B8" t="s">
        <v>39</v>
      </c>
      <c r="C8" s="18" t="s">
        <v>0</v>
      </c>
      <c r="D8">
        <v>5080</v>
      </c>
      <c r="E8" s="18" t="s">
        <v>35</v>
      </c>
    </row>
    <row r="9" spans="1:5" x14ac:dyDescent="0.35">
      <c r="A9" t="str">
        <f t="shared" si="0"/>
        <v>Bananas</v>
      </c>
      <c r="B9" t="s">
        <v>40</v>
      </c>
    </row>
    <row r="10" spans="1:5" x14ac:dyDescent="0.35">
      <c r="A10" t="str">
        <f t="shared" si="0"/>
        <v>Beets</v>
      </c>
      <c r="B10" t="s">
        <v>2</v>
      </c>
      <c r="D10">
        <v>87000</v>
      </c>
      <c r="E10" s="18" t="s">
        <v>35</v>
      </c>
    </row>
    <row r="11" spans="1:5" x14ac:dyDescent="0.35">
      <c r="A11" t="str">
        <f t="shared" si="0"/>
        <v>Blackberries</v>
      </c>
      <c r="B11" t="s">
        <v>41</v>
      </c>
    </row>
    <row r="12" spans="1:5" x14ac:dyDescent="0.35">
      <c r="A12" t="str">
        <f t="shared" si="0"/>
        <v>BlueberriesMI</v>
      </c>
      <c r="B12" t="s">
        <v>42</v>
      </c>
      <c r="C12" s="18" t="s">
        <v>43</v>
      </c>
      <c r="D12" s="16">
        <v>5010</v>
      </c>
      <c r="E12" s="18" t="s">
        <v>35</v>
      </c>
    </row>
    <row r="13" spans="1:5" x14ac:dyDescent="0.35">
      <c r="A13" t="str">
        <f t="shared" si="0"/>
        <v>BlueberriesCA</v>
      </c>
      <c r="B13" t="s">
        <v>42</v>
      </c>
      <c r="C13" s="18" t="s">
        <v>0</v>
      </c>
      <c r="D13" s="16">
        <v>9480</v>
      </c>
      <c r="E13" s="18" t="s">
        <v>35</v>
      </c>
    </row>
    <row r="14" spans="1:5" x14ac:dyDescent="0.35">
      <c r="A14" t="str">
        <f t="shared" si="0"/>
        <v>Bok Choy</v>
      </c>
      <c r="B14" t="s">
        <v>44</v>
      </c>
    </row>
    <row r="15" spans="1:5" x14ac:dyDescent="0.35">
      <c r="A15" t="str">
        <f t="shared" si="0"/>
        <v>BoysenberriesOR</v>
      </c>
      <c r="B15" t="s">
        <v>45</v>
      </c>
      <c r="C15" s="18" t="s">
        <v>46</v>
      </c>
      <c r="D15">
        <v>6070</v>
      </c>
      <c r="E15" s="18" t="s">
        <v>35</v>
      </c>
    </row>
    <row r="16" spans="1:5" x14ac:dyDescent="0.35">
      <c r="A16" t="str">
        <f t="shared" si="0"/>
        <v>BroccoliCA</v>
      </c>
      <c r="B16" t="s">
        <v>47</v>
      </c>
      <c r="C16" s="18" t="s">
        <v>0</v>
      </c>
      <c r="D16">
        <v>17920</v>
      </c>
      <c r="E16" s="18" t="s">
        <v>35</v>
      </c>
    </row>
    <row r="17" spans="1:5" x14ac:dyDescent="0.35">
      <c r="A17" t="str">
        <f t="shared" si="0"/>
        <v>Brussels Sprouts</v>
      </c>
      <c r="B17" t="s">
        <v>48</v>
      </c>
    </row>
    <row r="18" spans="1:5" x14ac:dyDescent="0.35">
      <c r="A18" t="str">
        <f t="shared" si="0"/>
        <v>CabbageCA</v>
      </c>
      <c r="B18" t="s">
        <v>49</v>
      </c>
      <c r="C18" s="18" t="s">
        <v>0</v>
      </c>
      <c r="D18">
        <v>42560</v>
      </c>
      <c r="E18" s="18" t="s">
        <v>35</v>
      </c>
    </row>
    <row r="19" spans="1:5" x14ac:dyDescent="0.35">
      <c r="A19" t="str">
        <f t="shared" si="0"/>
        <v>CantaloupsCA</v>
      </c>
      <c r="B19" t="s">
        <v>50</v>
      </c>
      <c r="C19" s="18" t="s">
        <v>0</v>
      </c>
      <c r="D19">
        <v>30800</v>
      </c>
      <c r="E19" s="18" t="s">
        <v>35</v>
      </c>
    </row>
    <row r="20" spans="1:5" x14ac:dyDescent="0.35">
      <c r="A20" t="str">
        <f t="shared" si="0"/>
        <v>CarrotsCA</v>
      </c>
      <c r="B20" t="s">
        <v>51</v>
      </c>
      <c r="C20" s="18" t="s">
        <v>0</v>
      </c>
      <c r="D20">
        <v>41440</v>
      </c>
      <c r="E20" s="18" t="s">
        <v>35</v>
      </c>
    </row>
    <row r="21" spans="1:5" x14ac:dyDescent="0.35">
      <c r="A21" t="str">
        <f t="shared" si="0"/>
        <v>CauliflowerCA</v>
      </c>
      <c r="B21" t="s">
        <v>52</v>
      </c>
      <c r="C21" s="18" t="s">
        <v>0</v>
      </c>
      <c r="D21">
        <v>22400</v>
      </c>
      <c r="E21" s="18" t="s">
        <v>35</v>
      </c>
    </row>
    <row r="22" spans="1:5" x14ac:dyDescent="0.35">
      <c r="A22" t="str">
        <f t="shared" si="0"/>
        <v>CeleryCA</v>
      </c>
      <c r="B22" t="s">
        <v>53</v>
      </c>
      <c r="C22" s="18" t="s">
        <v>0</v>
      </c>
      <c r="D22">
        <v>70000</v>
      </c>
      <c r="E22" s="18" t="s">
        <v>35</v>
      </c>
    </row>
    <row r="23" spans="1:5" x14ac:dyDescent="0.35">
      <c r="A23" t="str">
        <f t="shared" si="0"/>
        <v>CherriesCA</v>
      </c>
      <c r="B23" t="s">
        <v>54</v>
      </c>
      <c r="C23" s="18" t="s">
        <v>0</v>
      </c>
      <c r="D23">
        <v>5920</v>
      </c>
      <c r="E23" s="18" t="s">
        <v>35</v>
      </c>
    </row>
    <row r="24" spans="1:5" x14ac:dyDescent="0.35">
      <c r="A24" t="str">
        <f t="shared" si="0"/>
        <v>CranberriesNJ</v>
      </c>
      <c r="B24" t="s">
        <v>55</v>
      </c>
      <c r="C24" s="18" t="s">
        <v>56</v>
      </c>
      <c r="D24">
        <v>18200</v>
      </c>
      <c r="E24" s="18" t="s">
        <v>35</v>
      </c>
    </row>
    <row r="25" spans="1:5" x14ac:dyDescent="0.35">
      <c r="A25" t="str">
        <f t="shared" si="0"/>
        <v>CucumbersMI</v>
      </c>
      <c r="B25" t="s">
        <v>57</v>
      </c>
      <c r="C25" s="18" t="s">
        <v>43</v>
      </c>
      <c r="D25">
        <v>16800</v>
      </c>
      <c r="E25" s="18" t="s">
        <v>35</v>
      </c>
    </row>
    <row r="26" spans="1:5" x14ac:dyDescent="0.35">
      <c r="A26" t="str">
        <f t="shared" si="0"/>
        <v>CucumbersCA</v>
      </c>
      <c r="B26" t="s">
        <v>57</v>
      </c>
      <c r="C26" s="18" t="s">
        <v>0</v>
      </c>
      <c r="D26">
        <v>19600</v>
      </c>
      <c r="E26" s="18" t="s">
        <v>35</v>
      </c>
    </row>
    <row r="27" spans="1:5" x14ac:dyDescent="0.35">
      <c r="A27" t="str">
        <f t="shared" si="0"/>
        <v>DatesCA</v>
      </c>
      <c r="B27" t="s">
        <v>58</v>
      </c>
      <c r="C27" s="18" t="s">
        <v>0</v>
      </c>
      <c r="D27">
        <v>7080</v>
      </c>
      <c r="E27" s="18" t="s">
        <v>35</v>
      </c>
    </row>
    <row r="28" spans="1:5" x14ac:dyDescent="0.35">
      <c r="A28" t="str">
        <f t="shared" si="0"/>
        <v>Dragon Fruit</v>
      </c>
      <c r="B28" t="s">
        <v>59</v>
      </c>
    </row>
    <row r="29" spans="1:5" x14ac:dyDescent="0.35">
      <c r="A29" t="str">
        <f t="shared" si="0"/>
        <v>Eggplant</v>
      </c>
      <c r="B29" t="s">
        <v>60</v>
      </c>
    </row>
    <row r="30" spans="1:5" x14ac:dyDescent="0.35">
      <c r="A30" t="str">
        <f t="shared" si="0"/>
        <v>FigsCA</v>
      </c>
      <c r="B30" t="s">
        <v>61</v>
      </c>
      <c r="C30" s="18" t="s">
        <v>0</v>
      </c>
      <c r="D30">
        <v>9760</v>
      </c>
      <c r="E30" s="18" t="s">
        <v>35</v>
      </c>
    </row>
    <row r="31" spans="1:5" x14ac:dyDescent="0.35">
      <c r="A31" t="str">
        <f t="shared" si="0"/>
        <v>GarlicCA</v>
      </c>
      <c r="B31" t="s">
        <v>62</v>
      </c>
      <c r="C31" s="18" t="s">
        <v>0</v>
      </c>
      <c r="D31">
        <v>17360</v>
      </c>
      <c r="E31" s="18" t="s">
        <v>35</v>
      </c>
    </row>
    <row r="32" spans="1:5" x14ac:dyDescent="0.35">
      <c r="A32" t="str">
        <f t="shared" si="0"/>
        <v>GrapefruitFL</v>
      </c>
      <c r="B32" t="s">
        <v>63</v>
      </c>
      <c r="C32" s="18" t="s">
        <v>64</v>
      </c>
      <c r="D32">
        <v>230</v>
      </c>
      <c r="E32" s="18" t="s">
        <v>65</v>
      </c>
    </row>
    <row r="33" spans="1:5" x14ac:dyDescent="0.35">
      <c r="A33" t="str">
        <f t="shared" si="0"/>
        <v>GrapesCA</v>
      </c>
      <c r="B33" t="s">
        <v>66</v>
      </c>
      <c r="C33" s="18" t="s">
        <v>0</v>
      </c>
      <c r="D33">
        <v>15640</v>
      </c>
      <c r="E33" s="18" t="s">
        <v>35</v>
      </c>
    </row>
    <row r="34" spans="1:5" x14ac:dyDescent="0.35">
      <c r="A34" t="str">
        <f t="shared" si="0"/>
        <v>Green peasMN</v>
      </c>
      <c r="B34" t="s">
        <v>67</v>
      </c>
      <c r="C34" s="18" t="s">
        <v>68</v>
      </c>
      <c r="D34">
        <v>4704</v>
      </c>
      <c r="E34" s="18" t="s">
        <v>35</v>
      </c>
    </row>
    <row r="35" spans="1:5" x14ac:dyDescent="0.35">
      <c r="A35" t="str">
        <f t="shared" si="0"/>
        <v>HoneydewCA</v>
      </c>
      <c r="B35" t="s">
        <v>69</v>
      </c>
      <c r="C35" s="18" t="s">
        <v>0</v>
      </c>
      <c r="D35">
        <v>32480</v>
      </c>
      <c r="E35" s="18" t="s">
        <v>35</v>
      </c>
    </row>
    <row r="36" spans="1:5" x14ac:dyDescent="0.35">
      <c r="A36" t="str">
        <f t="shared" si="0"/>
        <v>Kale</v>
      </c>
      <c r="B36" t="s">
        <v>70</v>
      </c>
    </row>
    <row r="37" spans="1:5" x14ac:dyDescent="0.35">
      <c r="A37" t="str">
        <f t="shared" si="0"/>
        <v>KiwiCA</v>
      </c>
      <c r="B37" t="s">
        <v>71</v>
      </c>
      <c r="C37" s="18" t="s">
        <v>0</v>
      </c>
      <c r="D37">
        <v>15280</v>
      </c>
      <c r="E37" s="18" t="s">
        <v>35</v>
      </c>
    </row>
    <row r="38" spans="1:5" x14ac:dyDescent="0.35">
      <c r="A38" t="str">
        <f t="shared" si="0"/>
        <v>Kohlrabi</v>
      </c>
      <c r="B38" t="s">
        <v>72</v>
      </c>
    </row>
    <row r="39" spans="1:5" x14ac:dyDescent="0.35">
      <c r="A39" t="str">
        <f t="shared" si="0"/>
        <v>Leeks</v>
      </c>
      <c r="B39" t="s">
        <v>73</v>
      </c>
    </row>
    <row r="40" spans="1:5" x14ac:dyDescent="0.35">
      <c r="A40" t="str">
        <f t="shared" si="0"/>
        <v>LemonsCA</v>
      </c>
      <c r="B40" t="s">
        <v>74</v>
      </c>
      <c r="C40" s="18" t="s">
        <v>0</v>
      </c>
      <c r="D40">
        <v>17440</v>
      </c>
      <c r="E40" s="18" t="s">
        <v>35</v>
      </c>
    </row>
    <row r="41" spans="1:5" x14ac:dyDescent="0.35">
      <c r="A41" t="str">
        <f t="shared" si="0"/>
        <v>Lettuce HeadCA</v>
      </c>
      <c r="B41" t="s">
        <v>75</v>
      </c>
      <c r="C41" s="18" t="s">
        <v>0</v>
      </c>
      <c r="D41">
        <v>40880</v>
      </c>
      <c r="E41" s="18" t="s">
        <v>35</v>
      </c>
    </row>
    <row r="42" spans="1:5" x14ac:dyDescent="0.35">
      <c r="A42" t="str">
        <f t="shared" si="0"/>
        <v>Lettuce RomaineCA</v>
      </c>
      <c r="B42" t="s">
        <v>76</v>
      </c>
      <c r="C42" s="18" t="s">
        <v>0</v>
      </c>
      <c r="D42">
        <v>33600</v>
      </c>
      <c r="E42" s="18" t="s">
        <v>35</v>
      </c>
    </row>
    <row r="43" spans="1:5" x14ac:dyDescent="0.35">
      <c r="A43" t="str">
        <f t="shared" si="0"/>
        <v>Lettuce LeafCA</v>
      </c>
      <c r="B43" t="s">
        <v>77</v>
      </c>
      <c r="C43" s="18" t="s">
        <v>0</v>
      </c>
      <c r="D43">
        <v>22400</v>
      </c>
      <c r="E43" s="18" t="s">
        <v>35</v>
      </c>
    </row>
    <row r="44" spans="1:5" x14ac:dyDescent="0.35">
      <c r="A44" t="str">
        <f t="shared" si="0"/>
        <v>Limes</v>
      </c>
      <c r="B44" t="s">
        <v>78</v>
      </c>
    </row>
    <row r="45" spans="1:5" x14ac:dyDescent="0.35">
      <c r="A45" t="str">
        <f t="shared" si="0"/>
        <v>Mangoes</v>
      </c>
      <c r="B45" t="s">
        <v>79</v>
      </c>
    </row>
    <row r="46" spans="1:5" x14ac:dyDescent="0.35">
      <c r="A46" t="str">
        <f t="shared" si="0"/>
        <v>MushroomsCA</v>
      </c>
      <c r="B46" t="s">
        <v>80</v>
      </c>
      <c r="C46" s="18" t="s">
        <v>0</v>
      </c>
      <c r="D46" s="18">
        <v>250034</v>
      </c>
      <c r="E46" s="18" t="s">
        <v>35</v>
      </c>
    </row>
    <row r="47" spans="1:5" x14ac:dyDescent="0.35">
      <c r="A47" t="str">
        <f t="shared" si="0"/>
        <v>NectarinesCA</v>
      </c>
      <c r="B47" t="s">
        <v>81</v>
      </c>
      <c r="C47" s="18" t="s">
        <v>0</v>
      </c>
      <c r="D47">
        <v>16440</v>
      </c>
      <c r="E47" s="18" t="s">
        <v>35</v>
      </c>
    </row>
    <row r="48" spans="1:5" x14ac:dyDescent="0.35">
      <c r="A48" t="str">
        <f t="shared" si="0"/>
        <v>Okra</v>
      </c>
      <c r="B48" t="s">
        <v>82</v>
      </c>
    </row>
    <row r="49" spans="1:5" x14ac:dyDescent="0.35">
      <c r="A49" t="str">
        <f t="shared" si="0"/>
        <v>OlivesCA</v>
      </c>
      <c r="B49" t="s">
        <v>83</v>
      </c>
      <c r="C49" s="18" t="s">
        <v>0</v>
      </c>
      <c r="D49">
        <v>10680</v>
      </c>
      <c r="E49" s="18" t="s">
        <v>35</v>
      </c>
    </row>
    <row r="50" spans="1:5" x14ac:dyDescent="0.35">
      <c r="A50" t="str">
        <f t="shared" si="0"/>
        <v>Onions</v>
      </c>
      <c r="B50" t="s">
        <v>84</v>
      </c>
    </row>
    <row r="51" spans="1:5" x14ac:dyDescent="0.35">
      <c r="A51" t="str">
        <f t="shared" si="0"/>
        <v>OrangesCA</v>
      </c>
      <c r="B51" t="s">
        <v>85</v>
      </c>
      <c r="C51" s="18" t="s">
        <v>0</v>
      </c>
      <c r="D51">
        <v>325</v>
      </c>
      <c r="E51" s="18" t="s">
        <v>65</v>
      </c>
    </row>
    <row r="52" spans="1:5" x14ac:dyDescent="0.35">
      <c r="A52" t="str">
        <f t="shared" si="0"/>
        <v>OrangesFL</v>
      </c>
      <c r="B52" t="s">
        <v>85</v>
      </c>
      <c r="C52" s="18" t="s">
        <v>64</v>
      </c>
      <c r="D52">
        <v>187</v>
      </c>
      <c r="E52" s="18" t="s">
        <v>65</v>
      </c>
    </row>
    <row r="53" spans="1:5" x14ac:dyDescent="0.35">
      <c r="A53" t="str">
        <f t="shared" si="0"/>
        <v>Parsnips</v>
      </c>
      <c r="B53" t="s">
        <v>86</v>
      </c>
    </row>
    <row r="54" spans="1:5" x14ac:dyDescent="0.35">
      <c r="A54" t="str">
        <f t="shared" si="0"/>
        <v>PeachesCA</v>
      </c>
      <c r="B54" t="s">
        <v>87</v>
      </c>
      <c r="C54" s="18" t="s">
        <v>0</v>
      </c>
      <c r="D54">
        <v>28200</v>
      </c>
      <c r="E54" s="18" t="s">
        <v>35</v>
      </c>
    </row>
    <row r="55" spans="1:5" x14ac:dyDescent="0.35">
      <c r="A55" t="str">
        <f t="shared" si="0"/>
        <v>PearsCA</v>
      </c>
      <c r="B55" t="s">
        <v>88</v>
      </c>
      <c r="C55" s="18" t="s">
        <v>0</v>
      </c>
      <c r="D55">
        <v>34800</v>
      </c>
      <c r="E55" s="18" t="s">
        <v>35</v>
      </c>
    </row>
    <row r="56" spans="1:5" x14ac:dyDescent="0.35">
      <c r="A56" t="str">
        <f t="shared" si="0"/>
        <v>PeppersCA</v>
      </c>
      <c r="B56" t="s">
        <v>89</v>
      </c>
      <c r="C56" s="18" t="s">
        <v>0</v>
      </c>
      <c r="D56">
        <v>47040</v>
      </c>
      <c r="E56" s="18" t="s">
        <v>35</v>
      </c>
    </row>
    <row r="57" spans="1:5" x14ac:dyDescent="0.35">
      <c r="A57" t="str">
        <f t="shared" si="0"/>
        <v>Persimmons</v>
      </c>
      <c r="B57" t="s">
        <v>90</v>
      </c>
    </row>
    <row r="58" spans="1:5" x14ac:dyDescent="0.35">
      <c r="A58" t="str">
        <f t="shared" si="0"/>
        <v>Pineapple</v>
      </c>
      <c r="B58" t="s">
        <v>91</v>
      </c>
    </row>
    <row r="59" spans="1:5" x14ac:dyDescent="0.35">
      <c r="A59" t="str">
        <f t="shared" si="0"/>
        <v>PlumsCA</v>
      </c>
      <c r="B59" t="s">
        <v>92</v>
      </c>
      <c r="C59" s="18" t="s">
        <v>0</v>
      </c>
      <c r="D59">
        <v>15660</v>
      </c>
      <c r="E59" s="18" t="s">
        <v>35</v>
      </c>
    </row>
    <row r="60" spans="1:5" x14ac:dyDescent="0.35">
      <c r="A60" t="str">
        <f t="shared" si="0"/>
        <v>PotatoesID</v>
      </c>
      <c r="B60" t="s">
        <v>93</v>
      </c>
      <c r="C60" s="18" t="s">
        <v>94</v>
      </c>
      <c r="D60">
        <v>47600</v>
      </c>
      <c r="E60" s="18" t="s">
        <v>35</v>
      </c>
    </row>
    <row r="61" spans="1:5" x14ac:dyDescent="0.35">
      <c r="A61" t="str">
        <f t="shared" si="0"/>
        <v>PotatoesWA</v>
      </c>
      <c r="B61" t="s">
        <v>93</v>
      </c>
      <c r="C61" s="18" t="s">
        <v>95</v>
      </c>
      <c r="D61">
        <v>67200</v>
      </c>
      <c r="E61" s="18" t="s">
        <v>35</v>
      </c>
    </row>
    <row r="62" spans="1:5" x14ac:dyDescent="0.35">
      <c r="A62" t="str">
        <f t="shared" si="0"/>
        <v>PumpkinsCA</v>
      </c>
      <c r="B62" t="s">
        <v>96</v>
      </c>
      <c r="C62" s="18" t="s">
        <v>0</v>
      </c>
      <c r="D62">
        <v>36960</v>
      </c>
      <c r="E62" s="18" t="s">
        <v>35</v>
      </c>
    </row>
    <row r="63" spans="1:5" x14ac:dyDescent="0.35">
      <c r="A63" t="str">
        <f t="shared" si="0"/>
        <v>Radishes</v>
      </c>
      <c r="B63" t="s">
        <v>97</v>
      </c>
    </row>
    <row r="64" spans="1:5" x14ac:dyDescent="0.35">
      <c r="A64" t="str">
        <f t="shared" si="0"/>
        <v>RaspberriesCA</v>
      </c>
      <c r="B64" t="s">
        <v>98</v>
      </c>
      <c r="C64" s="18" t="s">
        <v>0</v>
      </c>
      <c r="D64" s="16">
        <v>16600</v>
      </c>
      <c r="E64" s="18" t="s">
        <v>35</v>
      </c>
    </row>
    <row r="65" spans="1:5" x14ac:dyDescent="0.35">
      <c r="A65" t="str">
        <f t="shared" si="0"/>
        <v>Rutabega</v>
      </c>
      <c r="B65" t="s">
        <v>99</v>
      </c>
    </row>
    <row r="66" spans="1:5" x14ac:dyDescent="0.35">
      <c r="A66" t="str">
        <f t="shared" si="0"/>
        <v>Shallots</v>
      </c>
      <c r="B66" t="s">
        <v>100</v>
      </c>
    </row>
    <row r="67" spans="1:5" x14ac:dyDescent="0.35">
      <c r="A67" t="str">
        <f t="shared" si="0"/>
        <v>Snap beansWI</v>
      </c>
      <c r="B67" t="s">
        <v>101</v>
      </c>
      <c r="C67" s="18" t="s">
        <v>102</v>
      </c>
      <c r="D67">
        <v>11760</v>
      </c>
      <c r="E67" s="18" t="s">
        <v>35</v>
      </c>
    </row>
    <row r="68" spans="1:5" x14ac:dyDescent="0.35">
      <c r="A68" t="str">
        <f t="shared" si="0"/>
        <v>Snap beansCA</v>
      </c>
      <c r="B68" t="s">
        <v>101</v>
      </c>
      <c r="C68" s="18" t="s">
        <v>0</v>
      </c>
      <c r="D68">
        <v>11760</v>
      </c>
      <c r="E68" s="18" t="s">
        <v>35</v>
      </c>
    </row>
    <row r="69" spans="1:5" x14ac:dyDescent="0.35">
      <c r="A69" t="str">
        <f t="shared" ref="A69:A80" si="1">CONCATENATE(B69,C69)</f>
        <v>SpinachAZ</v>
      </c>
      <c r="B69" t="s">
        <v>103</v>
      </c>
      <c r="C69" s="18" t="s">
        <v>104</v>
      </c>
      <c r="D69">
        <v>19600</v>
      </c>
      <c r="E69" s="18" t="s">
        <v>35</v>
      </c>
    </row>
    <row r="70" spans="1:5" x14ac:dyDescent="0.35">
      <c r="A70" t="str">
        <f t="shared" si="1"/>
        <v>SquashCA</v>
      </c>
      <c r="B70" t="s">
        <v>105</v>
      </c>
      <c r="C70" s="18" t="s">
        <v>0</v>
      </c>
      <c r="D70">
        <v>19040</v>
      </c>
      <c r="E70" s="18" t="s">
        <v>35</v>
      </c>
    </row>
    <row r="71" spans="1:5" x14ac:dyDescent="0.35">
      <c r="A71" t="str">
        <f t="shared" si="1"/>
        <v>StrawberriesCA</v>
      </c>
      <c r="B71" t="s">
        <v>106</v>
      </c>
      <c r="C71" s="18" t="s">
        <v>0</v>
      </c>
      <c r="D71">
        <v>85680</v>
      </c>
      <c r="E71" s="18" t="s">
        <v>35</v>
      </c>
    </row>
    <row r="72" spans="1:5" x14ac:dyDescent="0.35">
      <c r="A72" t="str">
        <f t="shared" si="1"/>
        <v>Sweet CornCA</v>
      </c>
      <c r="B72" t="s">
        <v>107</v>
      </c>
      <c r="C72" s="18" t="s">
        <v>0</v>
      </c>
      <c r="D72">
        <v>21280</v>
      </c>
      <c r="E72" s="18" t="s">
        <v>35</v>
      </c>
    </row>
    <row r="73" spans="1:5" x14ac:dyDescent="0.35">
      <c r="A73" t="str">
        <f t="shared" si="1"/>
        <v>Sweet CornWI</v>
      </c>
      <c r="B73" t="s">
        <v>107</v>
      </c>
      <c r="C73" s="18" t="s">
        <v>102</v>
      </c>
      <c r="D73">
        <v>19712</v>
      </c>
      <c r="E73" s="18" t="s">
        <v>35</v>
      </c>
    </row>
    <row r="74" spans="1:5" x14ac:dyDescent="0.35">
      <c r="A74" t="str">
        <f t="shared" si="1"/>
        <v>Sweet PotatoCA</v>
      </c>
      <c r="B74" t="s">
        <v>108</v>
      </c>
      <c r="C74" s="18" t="s">
        <v>0</v>
      </c>
      <c r="D74">
        <v>34720</v>
      </c>
      <c r="E74" s="18" t="s">
        <v>35</v>
      </c>
    </row>
    <row r="75" spans="1:5" x14ac:dyDescent="0.35">
      <c r="A75" t="str">
        <f t="shared" si="1"/>
        <v>TangerinesCA</v>
      </c>
      <c r="B75" t="s">
        <v>109</v>
      </c>
      <c r="C75" s="18" t="s">
        <v>0</v>
      </c>
      <c r="D75">
        <v>419</v>
      </c>
      <c r="E75" s="18" t="s">
        <v>65</v>
      </c>
    </row>
    <row r="76" spans="1:5" x14ac:dyDescent="0.35">
      <c r="A76" t="str">
        <f t="shared" si="1"/>
        <v>TomatoFL</v>
      </c>
      <c r="B76" t="s">
        <v>110</v>
      </c>
      <c r="C76" s="18" t="s">
        <v>64</v>
      </c>
      <c r="D76">
        <v>33600</v>
      </c>
      <c r="E76" s="18" t="s">
        <v>35</v>
      </c>
    </row>
    <row r="77" spans="1:5" x14ac:dyDescent="0.35">
      <c r="A77" t="str">
        <f t="shared" si="1"/>
        <v>TomatoCA</v>
      </c>
      <c r="B77" t="s">
        <v>110</v>
      </c>
      <c r="C77" s="18" t="s">
        <v>0</v>
      </c>
      <c r="D77">
        <v>100240</v>
      </c>
      <c r="E77" s="18" t="s">
        <v>35</v>
      </c>
    </row>
    <row r="78" spans="1:5" x14ac:dyDescent="0.35">
      <c r="A78" t="str">
        <f t="shared" si="1"/>
        <v>Turnip</v>
      </c>
      <c r="B78" t="s">
        <v>111</v>
      </c>
    </row>
    <row r="79" spans="1:5" x14ac:dyDescent="0.35">
      <c r="A79" t="str">
        <f t="shared" si="1"/>
        <v>WatermelonCA</v>
      </c>
      <c r="B79" t="s">
        <v>112</v>
      </c>
      <c r="C79" s="18" t="s">
        <v>0</v>
      </c>
      <c r="D79">
        <v>65520</v>
      </c>
      <c r="E79" s="18" t="s">
        <v>35</v>
      </c>
    </row>
    <row r="80" spans="1:5" x14ac:dyDescent="0.35">
      <c r="A80" t="str">
        <f t="shared" si="1"/>
        <v>Winter Squash</v>
      </c>
      <c r="B80" s="5" t="s">
        <v>113</v>
      </c>
    </row>
  </sheetData>
  <sortState xmlns:xlrd2="http://schemas.microsoft.com/office/spreadsheetml/2017/richdata2" ref="B4:E80">
    <sortCondition ref="B4"/>
  </sortState>
  <pageMargins left="0.7" right="0.7" top="0.75" bottom="0.75" header="0.3" footer="0.3"/>
  <pageSetup scale="5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0000000}">
          <x14:formula1>
            <xm:f>'https://worldwildlifefund.sharepoint.com/Users/katarinajin/Library/Containers/com.microsoft.Excel/Data/Documents/lp-operationsf/Data/Users/Kate/Documents/C:/Users/mcbridem/AppData/Local/Microsoft/Windows/INetCache/Content.Outlook/48HPW70T/[Food Loss Calculator v3 DRAFT.xlsx]Sheet3'!#REF!</xm:f>
          </x14:formula1>
          <xm:sqref>E4:E80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7"/>
    <pageSetUpPr fitToPage="1"/>
  </sheetPr>
  <dimension ref="A1:K50"/>
  <sheetViews>
    <sheetView showGridLines="0" showRowColHeaders="0" zoomScale="125" zoomScaleNormal="120" workbookViewId="0">
      <selection activeCell="E18" sqref="E18"/>
    </sheetView>
  </sheetViews>
  <sheetFormatPr defaultColWidth="0" defaultRowHeight="14.5" zeroHeight="1" x14ac:dyDescent="0.35"/>
  <cols>
    <col min="1" max="1" width="3.26953125" customWidth="1"/>
    <col min="2" max="2" width="3.81640625" customWidth="1"/>
    <col min="3" max="3" width="7.7265625" customWidth="1"/>
    <col min="4" max="4" width="25.81640625" customWidth="1"/>
    <col min="5" max="5" width="16.1796875" customWidth="1"/>
    <col min="6" max="7" width="12.81640625" customWidth="1"/>
    <col min="8" max="8" width="11.453125" customWidth="1"/>
    <col min="9" max="10" width="11.453125" hidden="1" customWidth="1"/>
    <col min="11" max="11" width="21" hidden="1" customWidth="1"/>
    <col min="12" max="13" width="9.26953125" hidden="1" customWidth="1"/>
    <col min="14" max="16384" width="9.26953125" hidden="1"/>
  </cols>
  <sheetData>
    <row r="1" spans="1:11" x14ac:dyDescent="0.35">
      <c r="D1" s="184"/>
      <c r="E1" s="184"/>
      <c r="F1" s="230" t="s">
        <v>321</v>
      </c>
      <c r="G1" s="213" t="s">
        <v>322</v>
      </c>
      <c r="H1" s="184"/>
      <c r="I1" s="184"/>
      <c r="J1" s="184"/>
      <c r="K1" s="184"/>
    </row>
    <row r="2" spans="1:11" ht="24" thickBot="1" x14ac:dyDescent="0.4">
      <c r="A2" s="184"/>
      <c r="B2" s="299" t="s">
        <v>398</v>
      </c>
      <c r="C2" s="244"/>
      <c r="D2" s="244"/>
      <c r="E2" s="244"/>
      <c r="F2" s="184"/>
      <c r="J2" s="184"/>
      <c r="K2" s="184"/>
    </row>
    <row r="3" spans="1:11" ht="19" customHeight="1" x14ac:dyDescent="0.35">
      <c r="A3" s="184"/>
      <c r="B3" s="327"/>
      <c r="C3" s="338" t="s">
        <v>400</v>
      </c>
      <c r="D3" s="328"/>
      <c r="E3" s="329"/>
      <c r="F3" s="329"/>
      <c r="G3" s="330"/>
      <c r="H3" s="184"/>
      <c r="I3" s="184"/>
      <c r="J3" s="184"/>
      <c r="K3" s="184"/>
    </row>
    <row r="4" spans="1:11" ht="19" customHeight="1" x14ac:dyDescent="0.35">
      <c r="A4" s="184"/>
      <c r="B4" s="331"/>
      <c r="C4" s="339" t="s">
        <v>401</v>
      </c>
      <c r="D4" s="332"/>
      <c r="E4" s="332"/>
      <c r="F4" s="332"/>
      <c r="G4" s="333"/>
      <c r="H4" s="184"/>
      <c r="I4" s="184"/>
      <c r="J4" s="184"/>
      <c r="K4" s="184"/>
    </row>
    <row r="5" spans="1:11" x14ac:dyDescent="0.35">
      <c r="B5" s="314"/>
      <c r="C5" s="254"/>
      <c r="D5" s="334"/>
      <c r="E5" s="49"/>
      <c r="F5" s="49"/>
      <c r="G5" s="315"/>
    </row>
    <row r="6" spans="1:11" ht="15" thickBot="1" x14ac:dyDescent="0.4">
      <c r="B6" s="314"/>
      <c r="C6" s="100"/>
      <c r="D6" s="3" t="s">
        <v>426</v>
      </c>
      <c r="E6" s="136"/>
      <c r="F6" s="49"/>
      <c r="G6" s="315"/>
      <c r="K6" s="22"/>
    </row>
    <row r="7" spans="1:11" ht="15.75" customHeight="1" thickBot="1" x14ac:dyDescent="0.4">
      <c r="B7" s="314"/>
      <c r="C7" s="335"/>
      <c r="D7" s="3" t="s">
        <v>1</v>
      </c>
      <c r="E7" s="137"/>
      <c r="F7" s="49"/>
      <c r="G7" s="315"/>
    </row>
    <row r="8" spans="1:11" ht="15" thickBot="1" x14ac:dyDescent="0.4">
      <c r="B8" s="314"/>
      <c r="C8" s="100"/>
      <c r="D8" s="122" t="s">
        <v>370</v>
      </c>
      <c r="E8" s="136"/>
      <c r="F8" s="49"/>
      <c r="G8" s="315"/>
    </row>
    <row r="9" spans="1:11" ht="15" thickBot="1" x14ac:dyDescent="0.4">
      <c r="B9" s="314"/>
      <c r="C9" s="100"/>
      <c r="D9" s="278" t="s">
        <v>288</v>
      </c>
      <c r="E9" s="32"/>
      <c r="F9" s="336"/>
      <c r="G9" s="315"/>
    </row>
    <row r="10" spans="1:11" ht="15" thickBot="1" x14ac:dyDescent="0.4">
      <c r="B10" s="314"/>
      <c r="C10" s="100"/>
      <c r="D10" s="4" t="s">
        <v>242</v>
      </c>
      <c r="E10" s="77"/>
      <c r="F10" s="49"/>
      <c r="G10" s="315"/>
    </row>
    <row r="11" spans="1:11" ht="15" thickBot="1" x14ac:dyDescent="0.4">
      <c r="B11" s="314"/>
      <c r="C11" s="100"/>
      <c r="D11" s="4" t="s">
        <v>273</v>
      </c>
      <c r="E11" s="93"/>
      <c r="F11" s="49"/>
      <c r="G11" s="315"/>
    </row>
    <row r="12" spans="1:11" ht="15" thickBot="1" x14ac:dyDescent="0.4">
      <c r="B12" s="314"/>
      <c r="C12" s="100"/>
      <c r="D12" s="3" t="s">
        <v>274</v>
      </c>
      <c r="E12" s="94"/>
      <c r="F12" s="49"/>
      <c r="G12" s="315"/>
    </row>
    <row r="13" spans="1:11" ht="15" thickBot="1" x14ac:dyDescent="0.4">
      <c r="B13" s="314"/>
      <c r="C13" s="335"/>
      <c r="D13" s="122" t="s">
        <v>258</v>
      </c>
      <c r="E13" s="364"/>
      <c r="F13" s="49"/>
      <c r="G13" s="315"/>
    </row>
    <row r="14" spans="1:11" ht="15" thickBot="1" x14ac:dyDescent="0.4">
      <c r="B14" s="314"/>
      <c r="C14" s="100"/>
      <c r="D14" s="122" t="s">
        <v>278</v>
      </c>
      <c r="E14" s="364"/>
      <c r="F14" s="49"/>
      <c r="G14" s="315"/>
    </row>
    <row r="15" spans="1:11" ht="15" thickBot="1" x14ac:dyDescent="0.4">
      <c r="B15" s="314"/>
      <c r="C15" s="49"/>
      <c r="D15" s="122" t="s">
        <v>178</v>
      </c>
      <c r="E15" s="40"/>
      <c r="F15" s="49"/>
      <c r="G15" s="315"/>
    </row>
    <row r="16" spans="1:11" ht="15" thickBot="1" x14ac:dyDescent="0.4">
      <c r="B16" s="314"/>
      <c r="C16" s="108"/>
      <c r="D16" s="108"/>
      <c r="E16" s="108"/>
      <c r="F16" s="49"/>
      <c r="G16" s="315"/>
    </row>
    <row r="17" spans="2:9" ht="15" thickBot="1" x14ac:dyDescent="0.4">
      <c r="B17" s="314"/>
      <c r="C17" s="49"/>
      <c r="D17" s="225" t="s">
        <v>11</v>
      </c>
      <c r="E17" s="25"/>
      <c r="F17" s="224" t="s">
        <v>425</v>
      </c>
      <c r="G17" s="315"/>
    </row>
    <row r="18" spans="2:9" ht="15" thickBot="1" x14ac:dyDescent="0.4">
      <c r="B18" s="314"/>
      <c r="C18" s="49"/>
      <c r="D18" s="225" t="s">
        <v>12</v>
      </c>
      <c r="E18" s="25"/>
      <c r="F18" s="224" t="s">
        <v>425</v>
      </c>
      <c r="G18" s="315"/>
    </row>
    <row r="19" spans="2:9" ht="15" thickBot="1" x14ac:dyDescent="0.4">
      <c r="B19" s="314"/>
      <c r="C19" s="49"/>
      <c r="D19" s="225" t="s">
        <v>13</v>
      </c>
      <c r="E19" s="25"/>
      <c r="F19" s="224" t="s">
        <v>425</v>
      </c>
      <c r="G19" s="315"/>
    </row>
    <row r="20" spans="2:9" ht="15" thickBot="1" x14ac:dyDescent="0.4">
      <c r="B20" s="318"/>
      <c r="C20" s="319"/>
      <c r="D20" s="337"/>
      <c r="E20" s="319"/>
      <c r="F20" s="319"/>
      <c r="G20" s="325"/>
    </row>
    <row r="21" spans="2:9" x14ac:dyDescent="0.35">
      <c r="B21" s="49"/>
      <c r="C21" s="49"/>
      <c r="D21" s="225"/>
      <c r="E21" s="49"/>
      <c r="F21" s="49"/>
      <c r="G21" s="49"/>
    </row>
    <row r="22" spans="2:9" ht="23.5" x14ac:dyDescent="0.35">
      <c r="B22" s="299" t="s">
        <v>399</v>
      </c>
      <c r="D22" s="139"/>
    </row>
    <row r="23" spans="2:9" ht="6" customHeight="1" thickBot="1" x14ac:dyDescent="0.4">
      <c r="C23" s="299"/>
      <c r="D23" s="139"/>
    </row>
    <row r="24" spans="2:9" ht="35.15" customHeight="1" x14ac:dyDescent="0.35">
      <c r="B24" s="327"/>
      <c r="C24" s="392" t="s">
        <v>402</v>
      </c>
      <c r="D24" s="392"/>
      <c r="E24" s="392"/>
      <c r="F24" s="392"/>
      <c r="G24" s="393"/>
    </row>
    <row r="25" spans="2:9" ht="15" thickBot="1" x14ac:dyDescent="0.4">
      <c r="B25" s="314"/>
      <c r="C25" s="390"/>
      <c r="D25" s="390"/>
      <c r="E25" s="390"/>
      <c r="F25" s="390"/>
      <c r="G25" s="391"/>
    </row>
    <row r="26" spans="2:9" ht="15" customHeight="1" x14ac:dyDescent="0.35">
      <c r="B26" s="314"/>
      <c r="C26" s="100"/>
      <c r="D26" s="122" t="s">
        <v>335</v>
      </c>
      <c r="E26" s="199"/>
      <c r="F26" s="290"/>
      <c r="G26" s="340"/>
      <c r="H26" s="291"/>
      <c r="I26" s="291"/>
    </row>
    <row r="27" spans="2:9" x14ac:dyDescent="0.35">
      <c r="B27" s="314"/>
      <c r="C27" s="335"/>
      <c r="D27" s="4" t="s">
        <v>277</v>
      </c>
      <c r="E27" s="200"/>
      <c r="F27" s="290"/>
      <c r="G27" s="340"/>
      <c r="H27" s="291"/>
      <c r="I27" s="291"/>
    </row>
    <row r="28" spans="2:9" x14ac:dyDescent="0.35">
      <c r="B28" s="314"/>
      <c r="C28" s="100"/>
      <c r="D28" s="4" t="s">
        <v>282</v>
      </c>
      <c r="E28" s="200"/>
      <c r="F28" s="290"/>
      <c r="G28" s="340"/>
      <c r="H28" s="291"/>
      <c r="I28" s="291"/>
    </row>
    <row r="29" spans="2:9" x14ac:dyDescent="0.35">
      <c r="B29" s="314"/>
      <c r="C29" s="335"/>
      <c r="D29" s="157" t="s">
        <v>419</v>
      </c>
      <c r="E29" s="200">
        <v>7.0000000000000007E-2</v>
      </c>
      <c r="F29" s="49"/>
      <c r="G29" s="315"/>
    </row>
    <row r="30" spans="2:9" x14ac:dyDescent="0.35">
      <c r="B30" s="314"/>
      <c r="C30" s="100"/>
      <c r="D30" s="49"/>
      <c r="E30" s="341"/>
      <c r="F30" s="49"/>
      <c r="G30" s="315"/>
    </row>
    <row r="31" spans="2:9" x14ac:dyDescent="0.35">
      <c r="B31" s="314"/>
      <c r="C31" s="100"/>
      <c r="D31" s="49"/>
      <c r="E31" s="341"/>
      <c r="F31" s="49"/>
      <c r="G31" s="315"/>
    </row>
    <row r="32" spans="2:9" ht="15" thickBot="1" x14ac:dyDescent="0.4">
      <c r="B32" s="318"/>
      <c r="C32" s="319"/>
      <c r="D32" s="319"/>
      <c r="E32" s="319"/>
      <c r="F32" s="342"/>
      <c r="G32" s="325"/>
    </row>
    <row r="33" spans="3:8" x14ac:dyDescent="0.35">
      <c r="F33" s="130"/>
    </row>
    <row r="34" spans="3:8" x14ac:dyDescent="0.35">
      <c r="F34" s="130"/>
      <c r="H34" s="343" t="s">
        <v>396</v>
      </c>
    </row>
    <row r="35" spans="3:8" x14ac:dyDescent="0.35"/>
    <row r="39" spans="3:8" hidden="1" x14ac:dyDescent="0.35">
      <c r="C39" s="39"/>
    </row>
    <row r="40" spans="3:8" hidden="1" x14ac:dyDescent="0.35">
      <c r="C40" s="2"/>
    </row>
    <row r="41" spans="3:8" hidden="1" x14ac:dyDescent="0.35">
      <c r="C41" s="2"/>
    </row>
    <row r="42" spans="3:8" hidden="1" x14ac:dyDescent="0.35">
      <c r="C42" s="2"/>
    </row>
    <row r="43" spans="3:8" hidden="1" x14ac:dyDescent="0.35">
      <c r="C43" s="2"/>
    </row>
    <row r="44" spans="3:8" hidden="1" x14ac:dyDescent="0.35">
      <c r="C44" s="2"/>
    </row>
    <row r="45" spans="3:8" hidden="1" x14ac:dyDescent="0.35">
      <c r="C45" s="2"/>
    </row>
    <row r="46" spans="3:8" hidden="1" x14ac:dyDescent="0.35">
      <c r="C46" s="39"/>
    </row>
    <row r="47" spans="3:8" hidden="1" x14ac:dyDescent="0.35">
      <c r="C47" s="39"/>
    </row>
    <row r="48" spans="3:8" hidden="1" x14ac:dyDescent="0.35">
      <c r="C48" s="39"/>
    </row>
    <row r="49" spans="3:5" ht="15" hidden="1" thickBot="1" x14ac:dyDescent="0.4">
      <c r="C49" s="39"/>
    </row>
    <row r="50" spans="3:5" ht="15" hidden="1" thickBot="1" x14ac:dyDescent="0.4">
      <c r="D50" s="18"/>
      <c r="E50" s="33"/>
    </row>
  </sheetData>
  <mergeCells count="2">
    <mergeCell ref="C25:G25"/>
    <mergeCell ref="C24:G24"/>
  </mergeCells>
  <dataValidations count="8">
    <dataValidation allowBlank="1" showInputMessage="1" showErrorMessage="1" promptTitle="Packed Container Weight" prompt="Please input the average weight of a packed container excluding the weight of the container itself. The term container refers to any bag, sack, or bulk bin used for moving product. The defined container must be consistent throughout the calculator." sqref="D14" xr:uid="{F973FCF9-C818-4AE4-AF98-164C6212B98E}"/>
    <dataValidation allowBlank="1" showInputMessage="1" showErrorMessage="1" promptTitle="Input Costs" prompt="Any costs that can be estimated for managing the crop at the point of maturity, e.g., cost of labor to pick, pack, and sort, cost of packaging unit, inspection charges, etc." sqref="D27" xr:uid="{1A02DF75-EDAB-401B-A0D6-34C48D4B8D6C}"/>
    <dataValidation type="list" allowBlank="1" showInputMessage="1" sqref="E10" xr:uid="{2D4B36F3-F344-B54A-BBE4-65C3D13CA294}">
      <formula1>Crop_Type</formula1>
    </dataValidation>
    <dataValidation type="decimal" errorStyle="warning" operator="lessThanOrEqual" allowBlank="1" showInputMessage="1" showErrorMessage="1" error="Double check this value. Acres Harvested + Immature Acres should not exceed Acres Planted." sqref="E19" xr:uid="{9DC96BDA-03D0-954C-97EB-FA725F5DBA07}">
      <formula1>E17-E18</formula1>
    </dataValidation>
    <dataValidation allowBlank="1" showInputMessage="1" showErrorMessage="1" promptTitle="Acres Planted" prompt="Total amount (in acres) of managed area out into production for crop(s) of interest" sqref="D17" xr:uid="{00000000-0002-0000-0200-000000000000}"/>
    <dataValidation allowBlank="1" showInputMessage="1" showErrorMessage="1" promptTitle="Acres Harvested" prompt="Total amount (in acres) of managed area per crop that are harvested_x000a_" sqref="D18" xr:uid="{00000000-0002-0000-0200-000001000000}"/>
    <dataValidation allowBlank="1" showInputMessage="1" showErrorMessage="1" promptTitle="Immature Acres" prompt="Total amount (in acres) of the managed area that was planted for the crop, but did not reach maturity, for example due to pest or weather damage" sqref="D19" xr:uid="{00000000-0002-0000-0200-000002000000}"/>
    <dataValidation allowBlank="1" showErrorMessage="1" promptTitle="Immature Acres" prompt="Total amount (in acres) of the managed area that was planted for the crop, but did not reach maturity, for example due to pest or weather damage" sqref="D20:D23" xr:uid="{B2E01542-6349-A34F-81C2-22F575A6471E}"/>
  </dataValidations>
  <pageMargins left="0.7" right="0.7" top="0.75" bottom="0.75" header="0.3" footer="0.3"/>
  <pageSetup scale="79"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F5C57F6-7286-4D4A-8D79-2646FE6D0C37}">
          <x14:formula1>
            <xm:f>Lists!$H$2:$H$3</xm:f>
          </x14:formula1>
          <xm:sqref>E26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C18"/>
  <sheetViews>
    <sheetView workbookViewId="0">
      <selection activeCell="B11" sqref="B11"/>
    </sheetView>
  </sheetViews>
  <sheetFormatPr defaultColWidth="8.7265625" defaultRowHeight="14.5" x14ac:dyDescent="0.35"/>
  <cols>
    <col min="1" max="1" width="18.453125" customWidth="1"/>
    <col min="3" max="3" width="84.453125" customWidth="1"/>
  </cols>
  <sheetData>
    <row r="1" spans="1:3" x14ac:dyDescent="0.35">
      <c r="A1" s="1" t="s">
        <v>30</v>
      </c>
      <c r="B1" s="1" t="s">
        <v>114</v>
      </c>
      <c r="C1" s="1" t="s">
        <v>115</v>
      </c>
    </row>
    <row r="2" spans="1:3" x14ac:dyDescent="0.35">
      <c r="A2" t="s">
        <v>2</v>
      </c>
      <c r="B2" s="17"/>
    </row>
    <row r="3" spans="1:3" x14ac:dyDescent="0.35">
      <c r="A3" t="s">
        <v>48</v>
      </c>
      <c r="B3" s="17"/>
    </row>
    <row r="4" spans="1:3" x14ac:dyDescent="0.35">
      <c r="A4" t="s">
        <v>49</v>
      </c>
      <c r="B4" s="20">
        <f>AVERAGE(0.03,0.05)</f>
        <v>0.04</v>
      </c>
      <c r="C4" t="s">
        <v>116</v>
      </c>
    </row>
    <row r="5" spans="1:3" x14ac:dyDescent="0.35">
      <c r="A5" t="s">
        <v>51</v>
      </c>
      <c r="B5" s="17">
        <v>0.05</v>
      </c>
      <c r="C5" t="s">
        <v>117</v>
      </c>
    </row>
    <row r="6" spans="1:3" x14ac:dyDescent="0.35">
      <c r="A6" t="s">
        <v>118</v>
      </c>
      <c r="B6" s="17"/>
    </row>
    <row r="7" spans="1:3" x14ac:dyDescent="0.35">
      <c r="A7" t="s">
        <v>72</v>
      </c>
      <c r="B7" s="17"/>
    </row>
    <row r="8" spans="1:3" x14ac:dyDescent="0.35">
      <c r="A8" t="s">
        <v>73</v>
      </c>
      <c r="B8" s="17"/>
    </row>
    <row r="9" spans="1:3" x14ac:dyDescent="0.35">
      <c r="A9" t="s">
        <v>84</v>
      </c>
      <c r="B9" s="17">
        <v>0.2</v>
      </c>
      <c r="C9" t="s">
        <v>119</v>
      </c>
    </row>
    <row r="10" spans="1:3" x14ac:dyDescent="0.35">
      <c r="A10" t="s">
        <v>86</v>
      </c>
      <c r="B10" s="17"/>
    </row>
    <row r="11" spans="1:3" x14ac:dyDescent="0.35">
      <c r="A11" t="s">
        <v>93</v>
      </c>
      <c r="B11" s="17">
        <v>0.05</v>
      </c>
      <c r="C11" t="s">
        <v>120</v>
      </c>
    </row>
    <row r="12" spans="1:3" x14ac:dyDescent="0.35">
      <c r="A12" t="s">
        <v>121</v>
      </c>
      <c r="B12" s="17">
        <v>0.06</v>
      </c>
      <c r="C12" t="s">
        <v>122</v>
      </c>
    </row>
    <row r="13" spans="1:3" x14ac:dyDescent="0.35">
      <c r="A13" t="s">
        <v>100</v>
      </c>
      <c r="B13" s="17"/>
    </row>
    <row r="14" spans="1:3" x14ac:dyDescent="0.35">
      <c r="A14" t="s">
        <v>108</v>
      </c>
      <c r="B14" s="17">
        <f>AVERAGE(0.015,0.04)</f>
        <v>2.75E-2</v>
      </c>
      <c r="C14" t="s">
        <v>123</v>
      </c>
    </row>
    <row r="15" spans="1:3" x14ac:dyDescent="0.35">
      <c r="A15" t="s">
        <v>111</v>
      </c>
      <c r="B15" s="17"/>
    </row>
    <row r="16" spans="1:3" ht="29" x14ac:dyDescent="0.35">
      <c r="A16" s="5" t="s">
        <v>124</v>
      </c>
      <c r="B16" s="17">
        <v>0.15</v>
      </c>
      <c r="C16" t="s">
        <v>125</v>
      </c>
    </row>
    <row r="17" spans="1:3" x14ac:dyDescent="0.35">
      <c r="A17" t="s">
        <v>34</v>
      </c>
      <c r="B17" s="17">
        <v>0.03</v>
      </c>
      <c r="C17" t="s">
        <v>126</v>
      </c>
    </row>
    <row r="18" spans="1:3" x14ac:dyDescent="0.35">
      <c r="A18" t="s">
        <v>110</v>
      </c>
      <c r="B18" s="23"/>
    </row>
  </sheetData>
  <sortState xmlns:xlrd2="http://schemas.microsoft.com/office/spreadsheetml/2017/richdata2" ref="A2:A16">
    <sortCondition ref="A2"/>
  </sortState>
  <pageMargins left="0.7" right="0.7" top="0.75" bottom="0.75" header="0.3" footer="0.3"/>
  <pageSetup scale="48"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pageSetUpPr fitToPage="1"/>
  </sheetPr>
  <dimension ref="A1:Q74"/>
  <sheetViews>
    <sheetView workbookViewId="0">
      <selection activeCell="L48" sqref="L48"/>
    </sheetView>
  </sheetViews>
  <sheetFormatPr defaultColWidth="8.7265625" defaultRowHeight="14.5" x14ac:dyDescent="0.35"/>
  <cols>
    <col min="12" max="12" width="17.453125" customWidth="1"/>
    <col min="14" max="14" width="13.26953125" bestFit="1" customWidth="1"/>
    <col min="15" max="15" width="14.453125" bestFit="1" customWidth="1"/>
    <col min="16" max="16" width="11.453125" customWidth="1"/>
    <col min="17" max="17" width="11.7265625" customWidth="1"/>
    <col min="18" max="18" width="15.7265625" customWidth="1"/>
    <col min="19" max="19" width="13.453125" customWidth="1"/>
  </cols>
  <sheetData>
    <row r="1" spans="1:17" x14ac:dyDescent="0.35">
      <c r="A1" s="1" t="s">
        <v>136</v>
      </c>
      <c r="F1" t="s">
        <v>370</v>
      </c>
      <c r="H1" t="s">
        <v>281</v>
      </c>
    </row>
    <row r="2" spans="1:17" x14ac:dyDescent="0.35">
      <c r="A2" t="s">
        <v>140</v>
      </c>
      <c r="F2" t="s">
        <v>288</v>
      </c>
      <c r="H2" t="s">
        <v>279</v>
      </c>
      <c r="J2" t="s">
        <v>284</v>
      </c>
      <c r="L2" s="1" t="s">
        <v>137</v>
      </c>
      <c r="O2" s="1" t="s">
        <v>138</v>
      </c>
      <c r="Q2" s="1" t="s">
        <v>249</v>
      </c>
    </row>
    <row r="3" spans="1:17" x14ac:dyDescent="0.35">
      <c r="A3" t="s">
        <v>271</v>
      </c>
      <c r="H3" t="s">
        <v>280</v>
      </c>
      <c r="J3" t="s">
        <v>283</v>
      </c>
      <c r="L3" t="s">
        <v>34</v>
      </c>
      <c r="O3" t="s">
        <v>3</v>
      </c>
      <c r="Q3">
        <v>43560</v>
      </c>
    </row>
    <row r="4" spans="1:17" x14ac:dyDescent="0.35">
      <c r="A4" t="s">
        <v>141</v>
      </c>
      <c r="L4" t="s">
        <v>36</v>
      </c>
      <c r="O4" t="s">
        <v>4</v>
      </c>
    </row>
    <row r="5" spans="1:17" x14ac:dyDescent="0.35">
      <c r="A5" t="s">
        <v>142</v>
      </c>
      <c r="L5" t="s">
        <v>37</v>
      </c>
    </row>
    <row r="6" spans="1:17" x14ac:dyDescent="0.35">
      <c r="A6" t="s">
        <v>143</v>
      </c>
      <c r="L6" t="s">
        <v>38</v>
      </c>
      <c r="O6" s="24" t="s">
        <v>174</v>
      </c>
    </row>
    <row r="7" spans="1:17" x14ac:dyDescent="0.35">
      <c r="A7" t="s">
        <v>144</v>
      </c>
      <c r="L7" t="s">
        <v>39</v>
      </c>
      <c r="O7" t="s">
        <v>175</v>
      </c>
    </row>
    <row r="8" spans="1:17" x14ac:dyDescent="0.35">
      <c r="A8" t="s">
        <v>145</v>
      </c>
      <c r="L8" t="s">
        <v>40</v>
      </c>
      <c r="O8" t="s">
        <v>176</v>
      </c>
    </row>
    <row r="9" spans="1:17" x14ac:dyDescent="0.35">
      <c r="A9" t="s">
        <v>15</v>
      </c>
      <c r="L9" t="s">
        <v>2</v>
      </c>
      <c r="O9" t="s">
        <v>177</v>
      </c>
    </row>
    <row r="10" spans="1:17" x14ac:dyDescent="0.35">
      <c r="A10" t="s">
        <v>139</v>
      </c>
      <c r="L10" t="s">
        <v>41</v>
      </c>
    </row>
    <row r="11" spans="1:17" x14ac:dyDescent="0.35">
      <c r="A11" t="s">
        <v>146</v>
      </c>
      <c r="L11" t="s">
        <v>42</v>
      </c>
      <c r="O11" s="34" t="s">
        <v>33</v>
      </c>
    </row>
    <row r="12" spans="1:17" x14ac:dyDescent="0.35">
      <c r="L12" t="s">
        <v>44</v>
      </c>
      <c r="O12" t="s">
        <v>208</v>
      </c>
    </row>
    <row r="13" spans="1:17" x14ac:dyDescent="0.35">
      <c r="L13" t="s">
        <v>45</v>
      </c>
      <c r="O13" t="s">
        <v>216</v>
      </c>
    </row>
    <row r="14" spans="1:17" x14ac:dyDescent="0.35">
      <c r="L14" t="s">
        <v>47</v>
      </c>
    </row>
    <row r="15" spans="1:17" x14ac:dyDescent="0.35">
      <c r="L15" t="s">
        <v>48</v>
      </c>
    </row>
    <row r="16" spans="1:17" x14ac:dyDescent="0.35">
      <c r="L16" t="s">
        <v>49</v>
      </c>
      <c r="O16" s="76" t="s">
        <v>256</v>
      </c>
    </row>
    <row r="17" spans="1:15" x14ac:dyDescent="0.35">
      <c r="A17" s="1" t="s">
        <v>150</v>
      </c>
      <c r="L17" t="s">
        <v>50</v>
      </c>
      <c r="O17" t="s">
        <v>147</v>
      </c>
    </row>
    <row r="18" spans="1:15" x14ac:dyDescent="0.35">
      <c r="A18" s="1"/>
      <c r="L18" t="s">
        <v>51</v>
      </c>
      <c r="O18" t="s">
        <v>148</v>
      </c>
    </row>
    <row r="19" spans="1:15" x14ac:dyDescent="0.35">
      <c r="A19" t="s">
        <v>218</v>
      </c>
      <c r="L19" t="s">
        <v>52</v>
      </c>
      <c r="O19" t="s">
        <v>149</v>
      </c>
    </row>
    <row r="20" spans="1:15" x14ac:dyDescent="0.35">
      <c r="A20" t="s">
        <v>219</v>
      </c>
      <c r="L20" t="s">
        <v>53</v>
      </c>
    </row>
    <row r="21" spans="1:15" x14ac:dyDescent="0.35">
      <c r="A21" t="s">
        <v>227</v>
      </c>
      <c r="L21" t="s">
        <v>54</v>
      </c>
    </row>
    <row r="22" spans="1:15" x14ac:dyDescent="0.35">
      <c r="A22" t="s">
        <v>229</v>
      </c>
      <c r="L22" t="s">
        <v>153</v>
      </c>
    </row>
    <row r="23" spans="1:15" x14ac:dyDescent="0.35">
      <c r="A23" t="s">
        <v>228</v>
      </c>
      <c r="L23" t="s">
        <v>55</v>
      </c>
    </row>
    <row r="24" spans="1:15" x14ac:dyDescent="0.35">
      <c r="A24" t="s">
        <v>151</v>
      </c>
      <c r="L24" t="s">
        <v>57</v>
      </c>
    </row>
    <row r="25" spans="1:15" x14ac:dyDescent="0.35">
      <c r="A25" s="1"/>
      <c r="L25" t="s">
        <v>58</v>
      </c>
    </row>
    <row r="26" spans="1:15" x14ac:dyDescent="0.35">
      <c r="A26" s="1" t="s">
        <v>133</v>
      </c>
      <c r="L26" t="s">
        <v>59</v>
      </c>
    </row>
    <row r="27" spans="1:15" x14ac:dyDescent="0.35">
      <c r="A27" s="1"/>
      <c r="L27" t="s">
        <v>60</v>
      </c>
    </row>
    <row r="28" spans="1:15" x14ac:dyDescent="0.35">
      <c r="A28" t="s">
        <v>221</v>
      </c>
      <c r="L28" t="s">
        <v>61</v>
      </c>
    </row>
    <row r="29" spans="1:15" x14ac:dyDescent="0.35">
      <c r="A29" s="42" t="s">
        <v>218</v>
      </c>
      <c r="L29" t="s">
        <v>62</v>
      </c>
    </row>
    <row r="30" spans="1:15" x14ac:dyDescent="0.35">
      <c r="A30" s="42" t="s">
        <v>220</v>
      </c>
      <c r="L30" t="s">
        <v>63</v>
      </c>
    </row>
    <row r="31" spans="1:15" x14ac:dyDescent="0.35">
      <c r="A31" t="s">
        <v>226</v>
      </c>
      <c r="L31" t="s">
        <v>66</v>
      </c>
    </row>
    <row r="32" spans="1:15" x14ac:dyDescent="0.35">
      <c r="A32" t="s">
        <v>155</v>
      </c>
      <c r="L32" t="s">
        <v>67</v>
      </c>
    </row>
    <row r="33" spans="1:12" x14ac:dyDescent="0.35">
      <c r="A33" t="s">
        <v>151</v>
      </c>
      <c r="L33" t="s">
        <v>69</v>
      </c>
    </row>
    <row r="34" spans="1:12" x14ac:dyDescent="0.35">
      <c r="A34" s="1"/>
      <c r="L34" t="s">
        <v>70</v>
      </c>
    </row>
    <row r="35" spans="1:12" x14ac:dyDescent="0.35">
      <c r="A35" s="1" t="s">
        <v>16</v>
      </c>
      <c r="L35" t="s">
        <v>71</v>
      </c>
    </row>
    <row r="36" spans="1:12" x14ac:dyDescent="0.35">
      <c r="A36" s="1"/>
      <c r="L36" t="s">
        <v>72</v>
      </c>
    </row>
    <row r="37" spans="1:12" x14ac:dyDescent="0.35">
      <c r="A37" t="s">
        <v>223</v>
      </c>
      <c r="L37" t="s">
        <v>73</v>
      </c>
    </row>
    <row r="38" spans="1:12" x14ac:dyDescent="0.35">
      <c r="A38" s="42" t="s">
        <v>224</v>
      </c>
      <c r="L38" t="s">
        <v>74</v>
      </c>
    </row>
    <row r="39" spans="1:12" x14ac:dyDescent="0.35">
      <c r="A39" s="42" t="s">
        <v>225</v>
      </c>
      <c r="L39" t="s">
        <v>75</v>
      </c>
    </row>
    <row r="40" spans="1:12" x14ac:dyDescent="0.35">
      <c r="A40" s="42" t="s">
        <v>220</v>
      </c>
      <c r="L40" t="s">
        <v>76</v>
      </c>
    </row>
    <row r="41" spans="1:12" x14ac:dyDescent="0.35">
      <c r="A41" t="s">
        <v>221</v>
      </c>
      <c r="L41" t="s">
        <v>77</v>
      </c>
    </row>
    <row r="42" spans="1:12" x14ac:dyDescent="0.35">
      <c r="A42" t="s">
        <v>156</v>
      </c>
      <c r="L42" t="s">
        <v>78</v>
      </c>
    </row>
    <row r="43" spans="1:12" x14ac:dyDescent="0.35">
      <c r="A43" t="s">
        <v>151</v>
      </c>
      <c r="L43" t="s">
        <v>79</v>
      </c>
    </row>
    <row r="44" spans="1:12" x14ac:dyDescent="0.35">
      <c r="L44" t="s">
        <v>80</v>
      </c>
    </row>
    <row r="45" spans="1:12" x14ac:dyDescent="0.35">
      <c r="A45" s="1" t="s">
        <v>157</v>
      </c>
      <c r="L45" t="s">
        <v>81</v>
      </c>
    </row>
    <row r="46" spans="1:12" x14ac:dyDescent="0.35">
      <c r="A46" s="1"/>
      <c r="L46" t="s">
        <v>82</v>
      </c>
    </row>
    <row r="47" spans="1:12" x14ac:dyDescent="0.35">
      <c r="A47" t="s">
        <v>223</v>
      </c>
      <c r="L47" t="s">
        <v>83</v>
      </c>
    </row>
    <row r="48" spans="1:12" x14ac:dyDescent="0.35">
      <c r="A48" s="42" t="s">
        <v>224</v>
      </c>
      <c r="L48" t="s">
        <v>84</v>
      </c>
    </row>
    <row r="49" spans="1:12" x14ac:dyDescent="0.35">
      <c r="A49" s="42" t="s">
        <v>225</v>
      </c>
      <c r="L49" t="s">
        <v>85</v>
      </c>
    </row>
    <row r="50" spans="1:12" x14ac:dyDescent="0.35">
      <c r="A50" s="42" t="s">
        <v>220</v>
      </c>
      <c r="L50" t="s">
        <v>86</v>
      </c>
    </row>
    <row r="51" spans="1:12" x14ac:dyDescent="0.35">
      <c r="A51" t="s">
        <v>221</v>
      </c>
      <c r="L51" t="s">
        <v>87</v>
      </c>
    </row>
    <row r="52" spans="1:12" x14ac:dyDescent="0.35">
      <c r="A52" t="s">
        <v>156</v>
      </c>
      <c r="L52" t="s">
        <v>88</v>
      </c>
    </row>
    <row r="53" spans="1:12" x14ac:dyDescent="0.35">
      <c r="A53" t="s">
        <v>151</v>
      </c>
      <c r="L53" t="s">
        <v>89</v>
      </c>
    </row>
    <row r="54" spans="1:12" x14ac:dyDescent="0.35">
      <c r="L54" t="s">
        <v>90</v>
      </c>
    </row>
    <row r="55" spans="1:12" x14ac:dyDescent="0.35">
      <c r="A55" s="1" t="s">
        <v>158</v>
      </c>
      <c r="L55" t="s">
        <v>91</v>
      </c>
    </row>
    <row r="56" spans="1:12" x14ac:dyDescent="0.35">
      <c r="A56" t="s">
        <v>159</v>
      </c>
      <c r="L56" t="s">
        <v>92</v>
      </c>
    </row>
    <row r="57" spans="1:12" x14ac:dyDescent="0.35">
      <c r="A57" t="s">
        <v>160</v>
      </c>
      <c r="L57" t="s">
        <v>93</v>
      </c>
    </row>
    <row r="58" spans="1:12" x14ac:dyDescent="0.35">
      <c r="L58" t="s">
        <v>96</v>
      </c>
    </row>
    <row r="59" spans="1:12" x14ac:dyDescent="0.35">
      <c r="A59" s="1" t="s">
        <v>161</v>
      </c>
      <c r="L59" t="s">
        <v>97</v>
      </c>
    </row>
    <row r="60" spans="1:12" x14ac:dyDescent="0.35">
      <c r="A60" t="s">
        <v>17</v>
      </c>
      <c r="L60" t="s">
        <v>98</v>
      </c>
    </row>
    <row r="61" spans="1:12" x14ac:dyDescent="0.35">
      <c r="L61" t="s">
        <v>99</v>
      </c>
    </row>
    <row r="62" spans="1:12" x14ac:dyDescent="0.35">
      <c r="L62" t="s">
        <v>100</v>
      </c>
    </row>
    <row r="63" spans="1:12" x14ac:dyDescent="0.35">
      <c r="A63" s="1"/>
      <c r="L63" t="s">
        <v>101</v>
      </c>
    </row>
    <row r="64" spans="1:12" x14ac:dyDescent="0.35">
      <c r="A64" s="1"/>
      <c r="L64" t="s">
        <v>166</v>
      </c>
    </row>
    <row r="65" spans="1:12" x14ac:dyDescent="0.35">
      <c r="A65" s="1"/>
      <c r="L65" t="s">
        <v>103</v>
      </c>
    </row>
    <row r="66" spans="1:12" x14ac:dyDescent="0.35">
      <c r="A66" t="s">
        <v>162</v>
      </c>
      <c r="L66" t="s">
        <v>106</v>
      </c>
    </row>
    <row r="67" spans="1:12" x14ac:dyDescent="0.35">
      <c r="A67" t="s">
        <v>163</v>
      </c>
      <c r="L67" t="s">
        <v>107</v>
      </c>
    </row>
    <row r="68" spans="1:12" x14ac:dyDescent="0.35">
      <c r="A68" t="s">
        <v>65</v>
      </c>
      <c r="L68" t="s">
        <v>108</v>
      </c>
    </row>
    <row r="69" spans="1:12" x14ac:dyDescent="0.35">
      <c r="A69" t="s">
        <v>164</v>
      </c>
      <c r="L69" t="s">
        <v>109</v>
      </c>
    </row>
    <row r="70" spans="1:12" x14ac:dyDescent="0.35">
      <c r="A70" t="s">
        <v>35</v>
      </c>
      <c r="L70" t="s">
        <v>110</v>
      </c>
    </row>
    <row r="71" spans="1:12" x14ac:dyDescent="0.35">
      <c r="A71" t="s">
        <v>165</v>
      </c>
      <c r="L71" t="s">
        <v>111</v>
      </c>
    </row>
    <row r="72" spans="1:12" x14ac:dyDescent="0.35">
      <c r="L72" t="s">
        <v>112</v>
      </c>
    </row>
    <row r="73" spans="1:12" x14ac:dyDescent="0.35">
      <c r="L73" s="5" t="s">
        <v>113</v>
      </c>
    </row>
    <row r="74" spans="1:12" x14ac:dyDescent="0.35">
      <c r="L74" t="s">
        <v>167</v>
      </c>
    </row>
  </sheetData>
  <sortState xmlns:xlrd2="http://schemas.microsoft.com/office/spreadsheetml/2017/richdata2" ref="A2:A11">
    <sortCondition ref="A2:A11"/>
  </sortState>
  <pageMargins left="0.7" right="0.7" top="0.75" bottom="0.75" header="0.3" footer="0.3"/>
  <pageSetup scale="62"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7"/>
  </sheetPr>
  <dimension ref="A1:M70"/>
  <sheetViews>
    <sheetView showGridLines="0" showRowColHeaders="0" tabSelected="1" zoomScale="125" zoomScaleNormal="164" workbookViewId="0">
      <selection activeCell="H23" sqref="H23"/>
    </sheetView>
  </sheetViews>
  <sheetFormatPr defaultColWidth="0" defaultRowHeight="14.5" zeroHeight="1" x14ac:dyDescent="0.35"/>
  <cols>
    <col min="1" max="1" width="1.7265625" customWidth="1"/>
    <col min="2" max="2" width="5.453125" customWidth="1"/>
    <col min="3" max="3" width="17.1796875" customWidth="1"/>
    <col min="4" max="6" width="14.453125" customWidth="1"/>
    <col min="7" max="8" width="11.81640625" customWidth="1"/>
    <col min="9" max="9" width="14.26953125" customWidth="1"/>
    <col min="10" max="10" width="15.7265625" customWidth="1"/>
    <col min="11" max="11" width="14" customWidth="1"/>
    <col min="12" max="12" width="14.453125" customWidth="1"/>
    <col min="13" max="13" width="9.26953125" customWidth="1"/>
    <col min="14" max="16384" width="9.26953125" hidden="1"/>
  </cols>
  <sheetData>
    <row r="1" spans="2:13" x14ac:dyDescent="0.35"/>
    <row r="2" spans="2:13" ht="25.5" customHeight="1" thickBot="1" x14ac:dyDescent="0.4">
      <c r="B2" s="299" t="s">
        <v>368</v>
      </c>
      <c r="C2" s="268"/>
      <c r="D2" s="295" t="s">
        <v>383</v>
      </c>
      <c r="F2" s="268"/>
      <c r="G2" s="268"/>
      <c r="H2" s="268"/>
      <c r="I2" s="268"/>
      <c r="J2" s="268"/>
      <c r="K2" s="268"/>
      <c r="L2" s="268"/>
    </row>
    <row r="3" spans="2:13" ht="15" customHeight="1" thickTop="1" thickBot="1" x14ac:dyDescent="0.4">
      <c r="B3" s="398">
        <v>1</v>
      </c>
      <c r="C3" s="397" t="s">
        <v>369</v>
      </c>
      <c r="D3" s="397"/>
      <c r="E3" s="397"/>
      <c r="F3" s="397"/>
      <c r="G3" s="397"/>
      <c r="H3" s="397"/>
      <c r="I3" s="267"/>
      <c r="J3" s="255" t="s">
        <v>321</v>
      </c>
      <c r="K3" s="256" t="s">
        <v>323</v>
      </c>
      <c r="L3" s="184"/>
    </row>
    <row r="4" spans="2:13" ht="15.5" thickTop="1" thickBot="1" x14ac:dyDescent="0.4">
      <c r="B4" s="398"/>
      <c r="C4" s="397"/>
      <c r="D4" s="397"/>
      <c r="E4" s="397"/>
      <c r="F4" s="397"/>
      <c r="G4" s="397"/>
      <c r="H4" s="397"/>
      <c r="I4" s="184"/>
      <c r="L4" s="184"/>
    </row>
    <row r="5" spans="2:13" ht="15" thickBot="1" x14ac:dyDescent="0.4">
      <c r="B5" s="311"/>
      <c r="C5" s="312"/>
      <c r="D5" s="312"/>
      <c r="E5" s="312"/>
      <c r="F5" s="312"/>
      <c r="G5" s="312"/>
      <c r="H5" s="313"/>
      <c r="J5" s="386" t="s">
        <v>423</v>
      </c>
    </row>
    <row r="6" spans="2:13" ht="15" thickBot="1" x14ac:dyDescent="0.4">
      <c r="B6" s="314"/>
      <c r="C6" s="122" t="s">
        <v>30</v>
      </c>
      <c r="D6" s="260">
        <f>'1. Harvest Data'!E10</f>
        <v>0</v>
      </c>
      <c r="E6" s="49"/>
      <c r="F6" s="49"/>
      <c r="G6" s="49"/>
      <c r="H6" s="315"/>
      <c r="J6" s="258" t="s">
        <v>362</v>
      </c>
      <c r="K6" s="257"/>
      <c r="L6" s="258" t="s">
        <v>314</v>
      </c>
    </row>
    <row r="7" spans="2:13" ht="15" thickBot="1" x14ac:dyDescent="0.4">
      <c r="B7" s="314"/>
      <c r="C7" s="122" t="s">
        <v>288</v>
      </c>
      <c r="D7" s="260">
        <f>'1. Harvest Data'!E9</f>
        <v>0</v>
      </c>
      <c r="E7" s="49"/>
      <c r="F7" s="49"/>
      <c r="G7" s="49"/>
      <c r="H7" s="315"/>
      <c r="J7" s="257" t="s">
        <v>384</v>
      </c>
      <c r="K7" s="257"/>
      <c r="L7" s="257" t="s">
        <v>313</v>
      </c>
    </row>
    <row r="8" spans="2:13" ht="15" thickBot="1" x14ac:dyDescent="0.4">
      <c r="B8" s="314"/>
      <c r="C8" s="122" t="s">
        <v>5</v>
      </c>
      <c r="D8" s="172"/>
      <c r="E8" s="49"/>
      <c r="F8" s="49"/>
      <c r="G8" s="49"/>
      <c r="H8" s="315"/>
      <c r="J8" s="257" t="s">
        <v>385</v>
      </c>
      <c r="K8" s="257"/>
      <c r="L8" s="257" t="s">
        <v>389</v>
      </c>
    </row>
    <row r="9" spans="2:13" ht="15" thickBot="1" x14ac:dyDescent="0.4">
      <c r="B9" s="314"/>
      <c r="C9" s="122" t="s">
        <v>217</v>
      </c>
      <c r="D9" s="171"/>
      <c r="E9" s="49"/>
      <c r="F9" s="49"/>
      <c r="G9" s="49"/>
      <c r="H9" s="315"/>
      <c r="J9" s="257" t="s">
        <v>386</v>
      </c>
      <c r="K9" s="257"/>
      <c r="L9" s="257" t="s">
        <v>390</v>
      </c>
    </row>
    <row r="10" spans="2:13" ht="15" thickBot="1" x14ac:dyDescent="0.4">
      <c r="B10" s="314"/>
      <c r="C10" s="122" t="s">
        <v>250</v>
      </c>
      <c r="D10" s="172"/>
      <c r="E10" s="49"/>
      <c r="F10" s="49"/>
      <c r="G10" s="49"/>
      <c r="H10" s="315"/>
      <c r="J10" s="257" t="s">
        <v>387</v>
      </c>
      <c r="K10" s="257"/>
      <c r="L10" s="257" t="s">
        <v>347</v>
      </c>
    </row>
    <row r="11" spans="2:13" ht="15" thickBot="1" x14ac:dyDescent="0.4">
      <c r="B11" s="314"/>
      <c r="C11" s="122" t="s">
        <v>6</v>
      </c>
      <c r="D11" s="388">
        <v>3</v>
      </c>
      <c r="E11" s="224" t="s">
        <v>428</v>
      </c>
      <c r="F11" s="49"/>
      <c r="G11" s="49"/>
      <c r="H11" s="315"/>
      <c r="J11" s="257"/>
      <c r="K11" s="257"/>
      <c r="L11" s="257"/>
    </row>
    <row r="12" spans="2:13" ht="15" thickBot="1" x14ac:dyDescent="0.4">
      <c r="B12" s="314"/>
      <c r="C12" s="122" t="s">
        <v>8</v>
      </c>
      <c r="D12" s="172"/>
      <c r="E12" s="49"/>
      <c r="F12" s="49"/>
      <c r="G12" s="49"/>
      <c r="H12" s="315"/>
      <c r="J12" s="257" t="s">
        <v>392</v>
      </c>
      <c r="K12" s="257"/>
      <c r="L12" s="257" t="s">
        <v>394</v>
      </c>
    </row>
    <row r="13" spans="2:13" ht="15" thickBot="1" x14ac:dyDescent="0.4">
      <c r="B13" s="314"/>
      <c r="C13" s="122" t="s">
        <v>275</v>
      </c>
      <c r="D13" s="198">
        <v>1E-3</v>
      </c>
      <c r="E13" s="224" t="s">
        <v>329</v>
      </c>
      <c r="F13" s="49"/>
      <c r="G13" s="49"/>
      <c r="H13" s="315"/>
      <c r="J13" s="257" t="s">
        <v>393</v>
      </c>
      <c r="K13" s="257"/>
      <c r="L13" s="257" t="s">
        <v>395</v>
      </c>
      <c r="M13" s="227"/>
    </row>
    <row r="14" spans="2:13" ht="15" thickBot="1" x14ac:dyDescent="0.4">
      <c r="B14" s="316"/>
      <c r="C14" s="122" t="s">
        <v>7</v>
      </c>
      <c r="D14" s="173" t="str">
        <f>IFERROR(D10*43560*D13/D12/D11,"")</f>
        <v/>
      </c>
      <c r="E14" s="224" t="s">
        <v>371</v>
      </c>
      <c r="F14" s="49"/>
      <c r="G14" s="49"/>
      <c r="H14" s="315"/>
      <c r="J14" s="257" t="s">
        <v>391</v>
      </c>
      <c r="K14" s="257"/>
      <c r="L14" s="257" t="s">
        <v>391</v>
      </c>
    </row>
    <row r="15" spans="2:13" x14ac:dyDescent="0.35">
      <c r="B15" s="314"/>
      <c r="C15" s="49"/>
      <c r="D15" s="49"/>
      <c r="E15" s="49"/>
      <c r="F15" s="49"/>
      <c r="G15" s="49"/>
      <c r="H15" s="317"/>
      <c r="J15" s="257" t="s">
        <v>388</v>
      </c>
      <c r="K15" s="257"/>
      <c r="L15" s="257" t="s">
        <v>315</v>
      </c>
    </row>
    <row r="16" spans="2:13" ht="15" thickBot="1" x14ac:dyDescent="0.4">
      <c r="B16" s="318"/>
      <c r="C16" s="319"/>
      <c r="D16" s="319"/>
      <c r="E16" s="319"/>
      <c r="F16" s="319"/>
      <c r="G16" s="319"/>
      <c r="H16" s="320"/>
      <c r="L16" s="184"/>
    </row>
    <row r="17" spans="2:12" ht="22" customHeight="1" x14ac:dyDescent="0.55000000000000004">
      <c r="B17" s="293">
        <v>2</v>
      </c>
      <c r="C17" s="297" t="s">
        <v>379</v>
      </c>
      <c r="D17" s="228"/>
      <c r="E17" s="228"/>
      <c r="F17" s="228"/>
      <c r="G17" s="228"/>
      <c r="H17" s="232"/>
      <c r="I17" s="184"/>
      <c r="J17" s="184"/>
      <c r="K17" s="184"/>
      <c r="L17" s="184"/>
    </row>
    <row r="18" spans="2:12" ht="22" customHeight="1" x14ac:dyDescent="0.55000000000000004">
      <c r="B18" s="294">
        <v>3</v>
      </c>
      <c r="C18" s="298" t="s">
        <v>380</v>
      </c>
      <c r="D18" s="228"/>
      <c r="E18" s="228"/>
      <c r="F18" s="228"/>
      <c r="G18" s="228"/>
      <c r="H18" s="232"/>
      <c r="I18" s="184"/>
      <c r="J18" s="184"/>
      <c r="K18" s="184"/>
      <c r="L18" s="184"/>
    </row>
    <row r="19" spans="2:12" ht="22" customHeight="1" x14ac:dyDescent="0.55000000000000004">
      <c r="B19" s="294">
        <v>4</v>
      </c>
      <c r="C19" s="298" t="s">
        <v>381</v>
      </c>
      <c r="D19" s="228"/>
      <c r="E19" s="228"/>
      <c r="F19" s="228"/>
      <c r="G19" s="228"/>
      <c r="H19" s="232"/>
      <c r="I19" s="184"/>
      <c r="J19" s="184"/>
      <c r="K19" s="184"/>
      <c r="L19" s="184"/>
    </row>
    <row r="20" spans="2:12" ht="22" customHeight="1" thickBot="1" x14ac:dyDescent="0.6">
      <c r="B20" s="294">
        <v>5</v>
      </c>
      <c r="C20" s="298" t="s">
        <v>382</v>
      </c>
      <c r="D20" s="228"/>
      <c r="E20" s="228"/>
      <c r="F20" s="228"/>
      <c r="G20" s="228"/>
      <c r="H20" s="228"/>
      <c r="I20" s="184"/>
      <c r="J20" s="184"/>
      <c r="K20" s="184"/>
      <c r="L20" s="184"/>
    </row>
    <row r="21" spans="2:12" x14ac:dyDescent="0.35">
      <c r="B21" s="311"/>
      <c r="C21" s="321"/>
      <c r="D21" s="312"/>
      <c r="E21" s="312"/>
      <c r="F21" s="312"/>
      <c r="G21" s="312"/>
      <c r="H21" s="313"/>
    </row>
    <row r="22" spans="2:12" ht="29.5" thickBot="1" x14ac:dyDescent="0.4">
      <c r="B22" s="314"/>
      <c r="C22" s="322" t="s">
        <v>290</v>
      </c>
      <c r="D22" s="323" t="s">
        <v>349</v>
      </c>
      <c r="E22" s="323" t="s">
        <v>350</v>
      </c>
      <c r="F22" s="323" t="s">
        <v>351</v>
      </c>
      <c r="G22" s="323" t="s">
        <v>25</v>
      </c>
      <c r="H22" s="315"/>
    </row>
    <row r="23" spans="2:12" ht="15" thickBot="1" x14ac:dyDescent="0.4">
      <c r="B23" s="314"/>
      <c r="C23" s="324" t="s">
        <v>291</v>
      </c>
      <c r="D23" s="384"/>
      <c r="E23" s="384"/>
      <c r="F23" s="384"/>
      <c r="G23" s="385">
        <f>IFERROR(SUM(D23:F23),"")</f>
        <v>0</v>
      </c>
      <c r="H23" s="315"/>
    </row>
    <row r="24" spans="2:12" ht="15" thickBot="1" x14ac:dyDescent="0.4">
      <c r="B24" s="314"/>
      <c r="C24" s="122" t="s">
        <v>292</v>
      </c>
      <c r="D24" s="384"/>
      <c r="E24" s="384"/>
      <c r="F24" s="384"/>
      <c r="G24" s="385">
        <f>IFERROR(SUM(D24:F24),"")</f>
        <v>0</v>
      </c>
      <c r="H24" s="315"/>
    </row>
    <row r="25" spans="2:12" ht="15" thickBot="1" x14ac:dyDescent="0.4">
      <c r="B25" s="314"/>
      <c r="C25" s="324" t="s">
        <v>336</v>
      </c>
      <c r="D25" s="384"/>
      <c r="E25" s="384"/>
      <c r="F25" s="384"/>
      <c r="G25" s="385">
        <f>IFERROR(SUM(D25:F25),"")</f>
        <v>0</v>
      </c>
      <c r="H25" s="315"/>
    </row>
    <row r="26" spans="2:12" x14ac:dyDescent="0.35">
      <c r="B26" s="314"/>
      <c r="C26" s="49"/>
      <c r="D26" s="49"/>
      <c r="E26" s="49"/>
      <c r="F26" s="49"/>
      <c r="G26" s="49"/>
      <c r="H26" s="315"/>
    </row>
    <row r="27" spans="2:12" ht="15" thickBot="1" x14ac:dyDescent="0.4">
      <c r="B27" s="318"/>
      <c r="C27" s="319"/>
      <c r="D27" s="319"/>
      <c r="E27" s="319"/>
      <c r="F27" s="319"/>
      <c r="G27" s="319"/>
      <c r="H27" s="325"/>
    </row>
    <row r="28" spans="2:12" x14ac:dyDescent="0.35"/>
    <row r="29" spans="2:12" x14ac:dyDescent="0.35">
      <c r="L29" s="343" t="s">
        <v>403</v>
      </c>
    </row>
    <row r="30" spans="2:12" ht="23.5" x14ac:dyDescent="0.35">
      <c r="B30" s="299" t="s">
        <v>312</v>
      </c>
      <c r="C30" s="269"/>
      <c r="D30" s="269"/>
      <c r="E30" s="269"/>
      <c r="F30" s="269"/>
      <c r="G30" s="269"/>
      <c r="H30" s="280"/>
      <c r="I30" s="269"/>
      <c r="J30" s="269"/>
      <c r="K30" s="269"/>
      <c r="L30" s="269"/>
    </row>
    <row r="31" spans="2:12" ht="17.149999999999999" customHeight="1" x14ac:dyDescent="0.35">
      <c r="B31" s="169"/>
      <c r="C31" s="135"/>
      <c r="D31" s="192"/>
      <c r="E31" s="192"/>
      <c r="F31" s="192"/>
      <c r="G31" s="192"/>
      <c r="H31" s="280"/>
      <c r="I31" s="192"/>
      <c r="J31" s="192"/>
      <c r="K31" s="192"/>
      <c r="L31" s="192"/>
    </row>
    <row r="32" spans="2:12" ht="17.149999999999999" customHeight="1" x14ac:dyDescent="0.35">
      <c r="B32" s="169"/>
      <c r="C32" s="135"/>
      <c r="D32" s="192"/>
      <c r="E32" s="192"/>
      <c r="F32" s="192"/>
      <c r="G32" s="192"/>
      <c r="H32" s="280"/>
      <c r="I32" s="192"/>
      <c r="J32" s="192"/>
      <c r="K32" s="192"/>
      <c r="L32" s="192"/>
    </row>
    <row r="33" spans="2:12" ht="17.149999999999999" customHeight="1" x14ac:dyDescent="0.35">
      <c r="B33" s="169"/>
      <c r="C33" s="135"/>
      <c r="D33" s="192"/>
      <c r="E33" s="192"/>
      <c r="F33" s="192"/>
      <c r="G33" s="192"/>
      <c r="H33" s="192"/>
      <c r="I33" s="192"/>
      <c r="J33" s="192"/>
      <c r="K33" s="192"/>
      <c r="L33" s="192"/>
    </row>
    <row r="34" spans="2:12" ht="16" thickBot="1" x14ac:dyDescent="0.4">
      <c r="B34" s="42"/>
      <c r="D34" s="156"/>
    </row>
    <row r="35" spans="2:12" ht="15.5" x14ac:dyDescent="0.35">
      <c r="B35" s="49"/>
      <c r="C35" s="300" t="s">
        <v>308</v>
      </c>
      <c r="D35" s="301"/>
      <c r="E35" s="302"/>
      <c r="F35" s="303"/>
      <c r="H35" s="300" t="s">
        <v>307</v>
      </c>
      <c r="I35" s="301"/>
      <c r="J35" s="302"/>
      <c r="K35" s="303"/>
    </row>
    <row r="36" spans="2:12" ht="17.149999999999999" customHeight="1" thickBot="1" x14ac:dyDescent="0.4">
      <c r="B36" s="49"/>
      <c r="C36" s="310"/>
      <c r="D36" s="167"/>
      <c r="E36" s="49"/>
      <c r="F36" s="304"/>
      <c r="H36" s="394" t="s">
        <v>420</v>
      </c>
      <c r="I36" s="395"/>
      <c r="J36" s="395"/>
      <c r="K36" s="396"/>
    </row>
    <row r="37" spans="2:12" ht="16" thickBot="1" x14ac:dyDescent="0.4">
      <c r="B37" s="49"/>
      <c r="C37" s="310"/>
      <c r="D37" s="157" t="s">
        <v>285</v>
      </c>
      <c r="E37" s="35"/>
      <c r="F37" s="304"/>
      <c r="H37" s="394"/>
      <c r="I37" s="395"/>
      <c r="J37" s="395"/>
      <c r="K37" s="396"/>
    </row>
    <row r="38" spans="2:12" ht="16" thickBot="1" x14ac:dyDescent="0.4">
      <c r="B38" s="49"/>
      <c r="C38" s="310"/>
      <c r="D38" s="157" t="s">
        <v>207</v>
      </c>
      <c r="E38" s="37"/>
      <c r="F38" s="304"/>
      <c r="H38" s="394"/>
      <c r="I38" s="395"/>
      <c r="J38" s="395"/>
      <c r="K38" s="396"/>
    </row>
    <row r="39" spans="2:12" ht="16" thickBot="1" x14ac:dyDescent="0.4">
      <c r="B39" s="49"/>
      <c r="C39" s="310"/>
      <c r="D39" s="157" t="s">
        <v>206</v>
      </c>
      <c r="E39" s="37"/>
      <c r="F39" s="304"/>
      <c r="H39" s="394"/>
      <c r="I39" s="395"/>
      <c r="J39" s="395"/>
      <c r="K39" s="396"/>
    </row>
    <row r="40" spans="2:12" ht="16" thickBot="1" x14ac:dyDescent="0.4">
      <c r="C40" s="306"/>
      <c r="D40" s="307"/>
      <c r="E40" s="308"/>
      <c r="F40" s="309"/>
      <c r="H40" s="394"/>
      <c r="I40" s="395"/>
      <c r="J40" s="395"/>
      <c r="K40" s="396"/>
    </row>
    <row r="41" spans="2:12" ht="16" thickBot="1" x14ac:dyDescent="0.4">
      <c r="C41" s="176"/>
      <c r="D41" s="156"/>
      <c r="H41" s="305"/>
      <c r="I41" s="157" t="s">
        <v>233</v>
      </c>
      <c r="J41" s="49"/>
      <c r="K41" s="304"/>
    </row>
    <row r="42" spans="2:12" ht="16" thickBot="1" x14ac:dyDescent="0.4">
      <c r="C42" s="300" t="s">
        <v>309</v>
      </c>
      <c r="D42" s="301"/>
      <c r="E42" s="302"/>
      <c r="F42" s="303"/>
      <c r="H42" s="305"/>
      <c r="I42" s="158">
        <v>1</v>
      </c>
      <c r="J42" s="168" t="s">
        <v>152</v>
      </c>
      <c r="K42" s="304"/>
    </row>
    <row r="43" spans="2:12" ht="16" thickBot="1" x14ac:dyDescent="0.4">
      <c r="C43" s="310"/>
      <c r="D43" s="167"/>
      <c r="E43" s="49"/>
      <c r="F43" s="304"/>
      <c r="H43" s="305"/>
      <c r="I43" s="158">
        <v>2</v>
      </c>
      <c r="J43" s="155"/>
      <c r="K43" s="304"/>
    </row>
    <row r="44" spans="2:12" ht="16" thickBot="1" x14ac:dyDescent="0.4">
      <c r="C44" s="310"/>
      <c r="D44" s="157" t="s">
        <v>285</v>
      </c>
      <c r="E44" s="35"/>
      <c r="F44" s="304"/>
      <c r="H44" s="305"/>
      <c r="I44" s="158">
        <v>3</v>
      </c>
      <c r="J44" s="155"/>
      <c r="K44" s="304"/>
    </row>
    <row r="45" spans="2:12" ht="16" thickBot="1" x14ac:dyDescent="0.4">
      <c r="C45" s="310"/>
      <c r="D45" s="157" t="s">
        <v>211</v>
      </c>
      <c r="E45" s="147"/>
      <c r="F45" s="304"/>
      <c r="H45" s="305"/>
      <c r="I45" s="158">
        <v>4</v>
      </c>
      <c r="J45" s="155"/>
      <c r="K45" s="304"/>
    </row>
    <row r="46" spans="2:12" ht="16" thickBot="1" x14ac:dyDescent="0.4">
      <c r="C46" s="310"/>
      <c r="D46" s="157" t="s">
        <v>212</v>
      </c>
      <c r="E46" s="147"/>
      <c r="F46" s="304"/>
      <c r="H46" s="306"/>
      <c r="I46" s="307"/>
      <c r="J46" s="308"/>
      <c r="K46" s="309"/>
    </row>
    <row r="47" spans="2:12" ht="16" thickBot="1" x14ac:dyDescent="0.4">
      <c r="C47" s="306"/>
      <c r="D47" s="307"/>
      <c r="E47" s="308"/>
      <c r="F47" s="309"/>
    </row>
    <row r="48" spans="2:12" ht="16" thickBot="1" x14ac:dyDescent="0.4">
      <c r="C48" s="176"/>
      <c r="D48" s="156"/>
    </row>
    <row r="49" spans="3:12" ht="15.5" x14ac:dyDescent="0.35">
      <c r="C49" s="300" t="s">
        <v>310</v>
      </c>
      <c r="D49" s="301"/>
      <c r="E49" s="302"/>
      <c r="F49" s="303"/>
    </row>
    <row r="50" spans="3:12" ht="16" thickBot="1" x14ac:dyDescent="0.4">
      <c r="C50" s="310"/>
      <c r="D50" s="167"/>
      <c r="E50" s="49"/>
      <c r="F50" s="304"/>
    </row>
    <row r="51" spans="3:12" ht="16" thickBot="1" x14ac:dyDescent="0.4">
      <c r="C51" s="305"/>
      <c r="D51" s="157" t="s">
        <v>285</v>
      </c>
      <c r="E51" s="43"/>
      <c r="F51" s="304"/>
    </row>
    <row r="52" spans="3:12" ht="16" thickBot="1" x14ac:dyDescent="0.4">
      <c r="C52" s="305"/>
      <c r="D52" s="157" t="s">
        <v>213</v>
      </c>
      <c r="E52" s="147"/>
      <c r="F52" s="304"/>
    </row>
    <row r="53" spans="3:12" ht="16" thickBot="1" x14ac:dyDescent="0.4">
      <c r="C53" s="305"/>
      <c r="D53" s="157" t="s">
        <v>214</v>
      </c>
      <c r="E53" s="147"/>
      <c r="F53" s="304"/>
    </row>
    <row r="54" spans="3:12" ht="16" thickBot="1" x14ac:dyDescent="0.4">
      <c r="C54" s="306"/>
      <c r="D54" s="307"/>
      <c r="E54" s="308"/>
      <c r="F54" s="309"/>
      <c r="L54" s="343" t="s">
        <v>396</v>
      </c>
    </row>
    <row r="55" spans="3:12" x14ac:dyDescent="0.35"/>
    <row r="56" spans="3:12" x14ac:dyDescent="0.35"/>
    <row r="57" spans="3:12" x14ac:dyDescent="0.35"/>
    <row r="58" spans="3:12" x14ac:dyDescent="0.35"/>
    <row r="59" spans="3:12" x14ac:dyDescent="0.35"/>
    <row r="60" spans="3:12" x14ac:dyDescent="0.35"/>
    <row r="61" spans="3:12" x14ac:dyDescent="0.35"/>
    <row r="62" spans="3:12" x14ac:dyDescent="0.35"/>
    <row r="63" spans="3:12" x14ac:dyDescent="0.35"/>
    <row r="64" spans="3:12" x14ac:dyDescent="0.35"/>
    <row r="65" x14ac:dyDescent="0.35"/>
    <row r="66" x14ac:dyDescent="0.35"/>
    <row r="67" x14ac:dyDescent="0.35"/>
    <row r="68" x14ac:dyDescent="0.35"/>
    <row r="69" x14ac:dyDescent="0.35"/>
    <row r="70" x14ac:dyDescent="0.35"/>
  </sheetData>
  <mergeCells count="3">
    <mergeCell ref="H36:K40"/>
    <mergeCell ref="C3:H4"/>
    <mergeCell ref="B3:B4"/>
  </mergeCells>
  <phoneticPr fontId="18" type="noConversion"/>
  <dataValidations count="3">
    <dataValidation allowBlank="1" showInputMessage="1" showErrorMessage="1" promptTitle="Marketable Loss" prompt="Crop loss that meets buyers’ current quality specifications." sqref="C23" xr:uid="{4581F3DC-01B3-4F49-ABF1-A79968C4F9AE}"/>
    <dataValidation allowBlank="1" showInputMessage="1" showErrorMessage="1" promptTitle="Edible, Not Marketable Loss" prompt="Crop left in-field that does not meet buyers' current quality specifications but is still considered edible for human consumption." sqref="C24" xr:uid="{94C90204-881A-2443-B348-9BAE7B9F32BB}"/>
    <dataValidation allowBlank="1" showInputMessage="1" showErrorMessage="1" promptTitle="Inedible Loss" prompt="Crop that is damaged, diseased, showing signs of decay, or over mature" sqref="C25" xr:uid="{03D4D87A-470F-674C-9164-073E7BB6EBE0}"/>
  </dataValidations>
  <pageMargins left="0.7" right="0.7" top="0.75" bottom="0.75" header="0.3" footer="0.3"/>
  <pageSetup paperSize="9" scale="58" orientation="landscape" horizontalDpi="300" verticalDpi="30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25209982-5FBA-2C42-81E4-AD95EEB1FED9}">
          <x14:formula1>
            <xm:f>Lists!$O$17:$O$19</xm:f>
          </x14:formula1>
          <xm:sqref>J43:J45</xm:sqref>
        </x14:dataValidation>
        <x14:dataValidation type="list" allowBlank="1" showInputMessage="1" showErrorMessage="1" xr:uid="{459D9A34-7945-40CB-A7F9-1A2B98AC1F2E}">
          <x14:formula1>
            <xm:f>Lists!$O$12:$O$13</xm:f>
          </x14:formula1>
          <xm:sqref>E37 E44 E51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73D7A-C491-404B-88A3-A3F885E66A0A}">
  <sheetPr>
    <tabColor theme="9"/>
  </sheetPr>
  <dimension ref="A1:Q110"/>
  <sheetViews>
    <sheetView showGridLines="0" showRowColHeaders="0" zoomScaleNormal="100" workbookViewId="0"/>
  </sheetViews>
  <sheetFormatPr defaultColWidth="0" defaultRowHeight="14.5" zeroHeight="1" x14ac:dyDescent="0.35"/>
  <cols>
    <col min="1" max="1" width="11.453125" customWidth="1"/>
    <col min="2" max="2" width="21.453125" bestFit="1" customWidth="1"/>
    <col min="3" max="5" width="23.81640625" customWidth="1"/>
    <col min="6" max="6" width="22.1796875" customWidth="1"/>
    <col min="7" max="7" width="17.26953125" customWidth="1"/>
    <col min="8" max="10" width="14.453125" customWidth="1"/>
    <col min="11" max="11" width="11.453125" customWidth="1"/>
    <col min="12" max="14" width="11.453125" hidden="1" customWidth="1"/>
    <col min="15" max="17" width="10.81640625" hidden="1" customWidth="1"/>
    <col min="18" max="16384" width="11.453125" hidden="1"/>
  </cols>
  <sheetData>
    <row r="1" spans="1:13" x14ac:dyDescent="0.35">
      <c r="C1" s="118">
        <v>1</v>
      </c>
      <c r="D1" s="118">
        <v>2</v>
      </c>
      <c r="E1" s="118">
        <v>3</v>
      </c>
      <c r="F1" s="118">
        <v>4</v>
      </c>
      <c r="G1" s="118" t="s">
        <v>416</v>
      </c>
    </row>
    <row r="2" spans="1:13" s="74" customFormat="1" ht="24" customHeight="1" x14ac:dyDescent="0.35">
      <c r="B2" s="365" t="s">
        <v>415</v>
      </c>
      <c r="C2" s="218" t="str">
        <f>IF('Check your work'!E37&gt;0,'2. Loss Data'!J42,"")</f>
        <v/>
      </c>
      <c r="D2" s="261">
        <f>IF('Check your work'!E38&gt;0,'2. Loss Data'!J43,"")</f>
        <v>0</v>
      </c>
      <c r="E2" s="219">
        <f>IF('Check your work'!E39&gt;0,'2. Loss Data'!J44,"")</f>
        <v>0</v>
      </c>
      <c r="F2" s="219">
        <f>IF('Check your work'!E40&gt;0,'2. Loss Data'!J45,"")</f>
        <v>0</v>
      </c>
      <c r="G2" s="220" t="str">
        <f>IF(SUM('Check your work'!I37:I39)&gt;0,"Transport Loss","")</f>
        <v/>
      </c>
    </row>
    <row r="3" spans="1:13" s="74" customFormat="1" ht="24" customHeight="1" thickBot="1" x14ac:dyDescent="0.4">
      <c r="B3" s="347" t="s">
        <v>404</v>
      </c>
      <c r="C3" s="345"/>
      <c r="D3" s="346"/>
      <c r="E3" s="345"/>
      <c r="F3" s="345"/>
    </row>
    <row r="4" spans="1:13" s="74" customFormat="1" ht="19" customHeight="1" thickBot="1" x14ac:dyDescent="0.4">
      <c r="B4" s="262" t="s">
        <v>365</v>
      </c>
      <c r="C4" s="381" t="s">
        <v>283</v>
      </c>
      <c r="D4" s="346"/>
      <c r="E4" s="345"/>
      <c r="F4" s="345"/>
      <c r="H4" s="262"/>
      <c r="I4" s="382"/>
    </row>
    <row r="5" spans="1:13" ht="7" customHeight="1" x14ac:dyDescent="0.35"/>
    <row r="6" spans="1:13" ht="21" x14ac:dyDescent="0.5">
      <c r="B6" s="375" t="s">
        <v>30</v>
      </c>
      <c r="C6" s="375" t="s">
        <v>410</v>
      </c>
      <c r="D6" s="375" t="s">
        <v>411</v>
      </c>
      <c r="E6" s="375" t="s">
        <v>412</v>
      </c>
      <c r="F6" s="375" t="s">
        <v>413</v>
      </c>
      <c r="G6" s="375" t="s">
        <v>414</v>
      </c>
      <c r="H6" s="376"/>
      <c r="I6" s="286"/>
      <c r="J6" s="286"/>
    </row>
    <row r="7" spans="1:13" ht="27" customHeight="1" x14ac:dyDescent="0.35">
      <c r="B7" s="373">
        <f>'1. Harvest Data'!E10</f>
        <v>0</v>
      </c>
      <c r="C7" s="374">
        <f>'1. Harvest Data'!E12</f>
        <v>0</v>
      </c>
      <c r="D7" s="373">
        <f>'1. Harvest Data'!E18</f>
        <v>0</v>
      </c>
      <c r="E7" s="374">
        <f>'2. Loss Data'!D9</f>
        <v>0</v>
      </c>
      <c r="F7" s="373" t="e">
        <f>('2. Loss Data'!D11*'2. Loss Data'!D14*'2. Loss Data'!D12)/Lists!Q3</f>
        <v>#VALUE!</v>
      </c>
      <c r="G7" s="373">
        <f>'2. Loss Data'!D7</f>
        <v>0</v>
      </c>
      <c r="H7" s="377"/>
      <c r="I7" s="287"/>
      <c r="J7" s="287"/>
    </row>
    <row r="8" spans="1:13" ht="27" customHeight="1" x14ac:dyDescent="0.45">
      <c r="A8" s="113"/>
      <c r="B8" s="223" t="str">
        <f>IFERROR(SUM('Metric Table'!E13:E21)/'1. Harvest Data'!E18,"")</f>
        <v/>
      </c>
      <c r="C8" s="266" t="str">
        <f>IF('3. Visual Dashboard'!C4="container","containers/acre","lbs/acre")</f>
        <v>lbs/acre</v>
      </c>
      <c r="J8" s="250"/>
    </row>
    <row r="9" spans="1:13" ht="27" customHeight="1" x14ac:dyDescent="0.45">
      <c r="A9" s="113"/>
      <c r="B9" s="221"/>
      <c r="C9" s="344" t="s">
        <v>266</v>
      </c>
      <c r="J9" s="250"/>
    </row>
    <row r="10" spans="1:13" ht="29.15" customHeight="1" x14ac:dyDescent="0.35">
      <c r="A10" s="113"/>
      <c r="B10" s="222" t="str">
        <f>'Metric Table'!E24</f>
        <v/>
      </c>
      <c r="C10" s="344" t="s">
        <v>367</v>
      </c>
      <c r="D10" s="121"/>
      <c r="E10" s="400" t="s">
        <v>253</v>
      </c>
      <c r="F10" s="400"/>
      <c r="I10" s="249"/>
      <c r="J10" s="250"/>
    </row>
    <row r="11" spans="1:13" ht="29.15" customHeight="1" x14ac:dyDescent="0.35">
      <c r="A11" s="113"/>
      <c r="B11" s="222" t="str">
        <f>'Metric Table'!E26</f>
        <v/>
      </c>
      <c r="C11" s="344" t="s">
        <v>251</v>
      </c>
      <c r="D11" s="121"/>
      <c r="E11" s="401" t="s">
        <v>254</v>
      </c>
      <c r="F11" s="401"/>
      <c r="I11" s="251"/>
      <c r="J11" s="252"/>
    </row>
    <row r="12" spans="1:13" ht="29.15" customHeight="1" x14ac:dyDescent="0.35">
      <c r="A12" s="113"/>
      <c r="B12" s="222" t="str">
        <f>'Metric Table'!E25</f>
        <v/>
      </c>
      <c r="C12" s="344" t="s">
        <v>252</v>
      </c>
      <c r="D12" s="121"/>
      <c r="E12" s="401" t="s">
        <v>255</v>
      </c>
      <c r="F12" s="401"/>
      <c r="I12" s="251"/>
      <c r="J12" s="252"/>
    </row>
    <row r="13" spans="1:13" ht="29.15" customHeight="1" x14ac:dyDescent="0.35">
      <c r="A13" s="113"/>
      <c r="B13" s="222" t="str">
        <f>'Metric Table'!E27</f>
        <v/>
      </c>
      <c r="C13" s="344" t="s">
        <v>265</v>
      </c>
      <c r="D13" s="121"/>
      <c r="E13" s="401" t="s">
        <v>232</v>
      </c>
      <c r="F13" s="401"/>
      <c r="I13" s="251"/>
      <c r="J13" s="252"/>
    </row>
    <row r="14" spans="1:13" ht="16" customHeight="1" x14ac:dyDescent="0.65">
      <c r="B14" s="114"/>
      <c r="C14" s="115"/>
      <c r="D14" s="115"/>
      <c r="E14" s="115"/>
      <c r="F14" s="210"/>
      <c r="G14" s="115"/>
      <c r="H14" s="115"/>
      <c r="I14" s="115"/>
      <c r="J14" s="116"/>
    </row>
    <row r="15" spans="1:13" x14ac:dyDescent="0.35">
      <c r="B15" s="119"/>
      <c r="C15" s="120"/>
      <c r="D15" s="120"/>
      <c r="E15" s="120"/>
      <c r="F15" s="120"/>
      <c r="G15" s="120"/>
      <c r="H15" s="120"/>
      <c r="I15" s="120"/>
      <c r="J15" s="117"/>
    </row>
    <row r="16" spans="1:13" x14ac:dyDescent="0.35">
      <c r="B16" s="112"/>
      <c r="C16" s="49"/>
      <c r="D16" s="49"/>
      <c r="E16" s="49"/>
      <c r="F16" s="49"/>
      <c r="G16" s="49"/>
      <c r="H16" s="49"/>
      <c r="I16" s="49"/>
      <c r="J16" s="113"/>
      <c r="L16" s="49"/>
      <c r="M16" s="49"/>
    </row>
    <row r="17" spans="2:10" x14ac:dyDescent="0.35">
      <c r="B17" s="112"/>
      <c r="C17" s="49"/>
      <c r="D17" s="49"/>
      <c r="E17" s="49"/>
      <c r="F17" s="49"/>
      <c r="G17" s="49"/>
      <c r="H17" s="129"/>
      <c r="I17" s="129"/>
      <c r="J17" s="113"/>
    </row>
    <row r="18" spans="2:10" x14ac:dyDescent="0.35">
      <c r="B18" s="112"/>
      <c r="C18" s="49"/>
      <c r="D18" s="49"/>
      <c r="E18" s="49"/>
      <c r="F18" s="49"/>
      <c r="G18" s="49"/>
      <c r="H18" s="49"/>
      <c r="I18" s="49"/>
      <c r="J18" s="113"/>
    </row>
    <row r="19" spans="2:10" x14ac:dyDescent="0.35">
      <c r="B19" s="112"/>
      <c r="C19" s="49"/>
      <c r="D19" s="49"/>
      <c r="E19" s="49"/>
      <c r="F19" s="49"/>
      <c r="G19" s="49"/>
      <c r="H19" s="49"/>
      <c r="I19" s="49"/>
      <c r="J19" s="113"/>
    </row>
    <row r="20" spans="2:10" x14ac:dyDescent="0.35">
      <c r="B20" s="112"/>
      <c r="C20" s="49"/>
      <c r="D20" s="49"/>
      <c r="E20" s="49"/>
      <c r="F20" s="49"/>
      <c r="G20" s="49"/>
      <c r="H20" s="49"/>
      <c r="I20" s="49"/>
      <c r="J20" s="113"/>
    </row>
    <row r="21" spans="2:10" x14ac:dyDescent="0.35">
      <c r="B21" s="112"/>
      <c r="C21" s="49"/>
      <c r="D21" s="49"/>
      <c r="E21" s="49"/>
      <c r="F21" s="49"/>
      <c r="G21" s="49"/>
      <c r="H21" s="49"/>
      <c r="I21" s="49"/>
      <c r="J21" s="113"/>
    </row>
    <row r="22" spans="2:10" x14ac:dyDescent="0.35">
      <c r="B22" s="112"/>
      <c r="C22" s="49"/>
      <c r="D22" s="49"/>
      <c r="E22" s="49"/>
      <c r="F22" s="49"/>
      <c r="G22" s="49"/>
      <c r="H22" s="49"/>
      <c r="I22" s="49"/>
      <c r="J22" s="113"/>
    </row>
    <row r="23" spans="2:10" x14ac:dyDescent="0.35">
      <c r="B23" s="112"/>
      <c r="C23" s="49"/>
      <c r="D23" s="49"/>
      <c r="E23" s="49"/>
      <c r="F23" s="49"/>
      <c r="G23" s="49"/>
      <c r="H23" s="49"/>
      <c r="I23" s="49"/>
      <c r="J23" s="113"/>
    </row>
    <row r="24" spans="2:10" x14ac:dyDescent="0.35">
      <c r="B24" s="112"/>
      <c r="C24" s="49"/>
      <c r="D24" s="49"/>
      <c r="E24" s="49"/>
      <c r="F24" s="49"/>
      <c r="G24" s="49"/>
      <c r="H24" s="49"/>
      <c r="I24" s="49"/>
      <c r="J24" s="113"/>
    </row>
    <row r="25" spans="2:10" x14ac:dyDescent="0.35">
      <c r="B25" s="112"/>
      <c r="C25" s="49"/>
      <c r="D25" s="49"/>
      <c r="E25" s="49"/>
      <c r="F25" s="49"/>
      <c r="G25" s="49"/>
      <c r="H25" s="49"/>
      <c r="I25" s="49"/>
      <c r="J25" s="113"/>
    </row>
    <row r="26" spans="2:10" x14ac:dyDescent="0.35">
      <c r="B26" s="112"/>
      <c r="C26" s="49"/>
      <c r="D26" s="49"/>
      <c r="E26" s="49"/>
      <c r="F26" s="49"/>
      <c r="G26" s="49"/>
      <c r="H26" s="49"/>
      <c r="I26" s="49"/>
      <c r="J26" s="113"/>
    </row>
    <row r="27" spans="2:10" x14ac:dyDescent="0.35">
      <c r="B27" s="112"/>
      <c r="C27" s="49"/>
      <c r="D27" s="49"/>
      <c r="E27" s="49"/>
      <c r="F27" s="49"/>
      <c r="G27" s="49"/>
      <c r="H27" s="49"/>
      <c r="I27" s="49"/>
      <c r="J27" s="113"/>
    </row>
    <row r="28" spans="2:10" x14ac:dyDescent="0.35">
      <c r="B28" s="112"/>
      <c r="C28" s="49"/>
      <c r="D28" s="49"/>
      <c r="E28" s="49"/>
      <c r="F28" s="49"/>
      <c r="G28" s="49"/>
      <c r="H28" s="49"/>
      <c r="I28" s="49"/>
      <c r="J28" s="113"/>
    </row>
    <row r="29" spans="2:10" x14ac:dyDescent="0.35">
      <c r="B29" s="112"/>
      <c r="C29" s="49"/>
      <c r="D29" s="49"/>
      <c r="E29" s="49"/>
      <c r="F29" s="262" t="s">
        <v>365</v>
      </c>
      <c r="G29" s="49" t="str">
        <f>'Metric Table'!D10</f>
        <v>LBS/ACRE</v>
      </c>
      <c r="H29" s="49"/>
      <c r="I29" s="49"/>
      <c r="J29" s="113"/>
    </row>
    <row r="30" spans="2:10" x14ac:dyDescent="0.35">
      <c r="B30" s="112"/>
      <c r="C30" s="49"/>
      <c r="D30" s="49"/>
      <c r="E30" s="49"/>
      <c r="F30" s="49"/>
      <c r="G30" s="49"/>
      <c r="H30" s="49"/>
      <c r="I30" s="49"/>
      <c r="J30" s="113"/>
    </row>
    <row r="31" spans="2:10" x14ac:dyDescent="0.35">
      <c r="B31" s="112"/>
      <c r="C31" s="49"/>
      <c r="D31" s="49"/>
      <c r="E31" s="49"/>
      <c r="F31" s="49"/>
      <c r="G31" s="49"/>
      <c r="H31" s="49"/>
      <c r="I31" s="49"/>
      <c r="J31" s="113"/>
    </row>
    <row r="32" spans="2:10" x14ac:dyDescent="0.35">
      <c r="B32" s="112"/>
      <c r="C32" s="49"/>
      <c r="D32" s="49"/>
      <c r="E32" s="49"/>
      <c r="J32" s="113"/>
    </row>
    <row r="33" spans="2:10" x14ac:dyDescent="0.35">
      <c r="B33" s="112"/>
      <c r="C33" s="49"/>
      <c r="D33" s="49"/>
      <c r="E33" s="49"/>
      <c r="F33" s="49"/>
      <c r="G33" s="49"/>
      <c r="H33" s="49"/>
      <c r="I33" s="49"/>
      <c r="J33" s="113"/>
    </row>
    <row r="34" spans="2:10" x14ac:dyDescent="0.35">
      <c r="B34" s="112"/>
      <c r="C34" s="49"/>
      <c r="D34" s="49"/>
      <c r="E34" s="49"/>
      <c r="F34" s="49"/>
      <c r="G34" s="49"/>
      <c r="H34" s="49"/>
      <c r="I34" s="49"/>
      <c r="J34" s="113"/>
    </row>
    <row r="35" spans="2:10" x14ac:dyDescent="0.35">
      <c r="B35" s="112"/>
      <c r="C35" s="49"/>
      <c r="D35" s="49"/>
      <c r="E35" s="49"/>
      <c r="F35" s="49"/>
      <c r="G35" s="49"/>
      <c r="H35" s="49"/>
      <c r="I35" s="49"/>
      <c r="J35" s="113"/>
    </row>
    <row r="36" spans="2:10" x14ac:dyDescent="0.35">
      <c r="B36" s="112"/>
      <c r="C36" s="49"/>
      <c r="D36" s="49"/>
      <c r="E36" s="49"/>
      <c r="F36" s="49"/>
      <c r="G36" s="49"/>
      <c r="H36" s="49"/>
      <c r="I36" s="49"/>
      <c r="J36" s="113"/>
    </row>
    <row r="37" spans="2:10" x14ac:dyDescent="0.35">
      <c r="B37" s="112"/>
      <c r="C37" s="49"/>
      <c r="D37" s="49"/>
      <c r="E37" s="49"/>
      <c r="F37" s="49"/>
      <c r="G37" s="49"/>
      <c r="H37" s="49"/>
      <c r="I37" s="49"/>
      <c r="J37" s="113"/>
    </row>
    <row r="38" spans="2:10" x14ac:dyDescent="0.35">
      <c r="B38" s="112"/>
      <c r="C38" s="49"/>
      <c r="D38" s="49"/>
      <c r="E38" s="49"/>
      <c r="F38" s="49"/>
      <c r="G38" s="49"/>
      <c r="H38" s="49"/>
      <c r="I38" s="49"/>
      <c r="J38" s="113"/>
    </row>
    <row r="39" spans="2:10" x14ac:dyDescent="0.35">
      <c r="B39" s="112"/>
      <c r="C39" s="49"/>
      <c r="D39" s="49"/>
      <c r="E39" s="49"/>
      <c r="F39" s="49"/>
      <c r="G39" s="49"/>
      <c r="H39" s="49"/>
      <c r="I39" s="49"/>
      <c r="J39" s="113"/>
    </row>
    <row r="40" spans="2:10" x14ac:dyDescent="0.35">
      <c r="B40" s="112"/>
      <c r="C40" s="49"/>
      <c r="D40" s="49"/>
      <c r="E40" s="49"/>
      <c r="F40" s="49"/>
      <c r="G40" s="49"/>
      <c r="H40" s="49"/>
      <c r="I40" s="49"/>
      <c r="J40" s="113"/>
    </row>
    <row r="41" spans="2:10" x14ac:dyDescent="0.35">
      <c r="B41" s="112"/>
      <c r="C41" s="49"/>
      <c r="D41" s="49"/>
      <c r="E41" s="49"/>
      <c r="F41" s="49"/>
      <c r="G41" s="49"/>
      <c r="H41" s="49"/>
      <c r="I41" s="49"/>
      <c r="J41" s="113"/>
    </row>
    <row r="42" spans="2:10" x14ac:dyDescent="0.35">
      <c r="B42" s="112"/>
      <c r="C42" s="49"/>
      <c r="D42" s="49"/>
      <c r="E42" s="49"/>
      <c r="F42" s="49"/>
      <c r="G42" s="49"/>
      <c r="H42" s="49"/>
      <c r="I42" s="49"/>
      <c r="J42" s="113"/>
    </row>
    <row r="43" spans="2:10" x14ac:dyDescent="0.35">
      <c r="B43" s="112"/>
      <c r="C43" s="49"/>
      <c r="D43" s="49"/>
      <c r="E43" s="49"/>
      <c r="F43" s="49"/>
      <c r="G43" s="49"/>
      <c r="H43" s="49"/>
      <c r="I43" s="49"/>
      <c r="J43" s="113"/>
    </row>
    <row r="44" spans="2:10" x14ac:dyDescent="0.35">
      <c r="B44" s="112"/>
      <c r="C44" s="49"/>
      <c r="D44" s="49"/>
      <c r="E44" s="49"/>
      <c r="F44" s="49"/>
      <c r="G44" s="49"/>
      <c r="H44" s="49"/>
      <c r="I44" s="49"/>
      <c r="J44" s="113"/>
    </row>
    <row r="45" spans="2:10" x14ac:dyDescent="0.35">
      <c r="B45" s="112"/>
      <c r="C45" s="49"/>
      <c r="D45" s="49"/>
      <c r="E45" s="49"/>
      <c r="F45" s="49"/>
      <c r="G45" s="49"/>
      <c r="H45" s="49"/>
      <c r="I45" s="49"/>
      <c r="J45" s="113"/>
    </row>
    <row r="46" spans="2:10" x14ac:dyDescent="0.35">
      <c r="B46" s="112"/>
      <c r="C46" s="49"/>
      <c r="D46" s="49"/>
      <c r="E46" s="49"/>
      <c r="F46" s="49"/>
      <c r="G46" s="49"/>
      <c r="H46" s="49"/>
      <c r="I46" s="49"/>
      <c r="J46" s="113"/>
    </row>
    <row r="47" spans="2:10" x14ac:dyDescent="0.35">
      <c r="B47" s="112"/>
      <c r="C47" s="49"/>
      <c r="D47" s="49"/>
      <c r="E47" s="49"/>
      <c r="F47" s="262" t="s">
        <v>365</v>
      </c>
      <c r="G47" s="49" t="str">
        <f>'Metric Table'!E10</f>
        <v>LBS</v>
      </c>
      <c r="H47" s="49"/>
      <c r="I47" s="49"/>
      <c r="J47" s="113"/>
    </row>
    <row r="48" spans="2:10" x14ac:dyDescent="0.35">
      <c r="B48" s="112"/>
      <c r="C48" s="49"/>
      <c r="D48" s="49"/>
      <c r="E48" s="49"/>
      <c r="H48" s="49"/>
      <c r="I48" s="49"/>
      <c r="J48" s="113"/>
    </row>
    <row r="49" spans="2:10" x14ac:dyDescent="0.35">
      <c r="B49" s="112"/>
      <c r="C49" s="49"/>
      <c r="D49" s="49"/>
      <c r="E49" s="49"/>
      <c r="F49" s="49"/>
      <c r="G49" s="49"/>
      <c r="H49" s="49"/>
      <c r="I49" s="49"/>
      <c r="J49" s="113"/>
    </row>
    <row r="50" spans="2:10" x14ac:dyDescent="0.35">
      <c r="B50" s="112"/>
      <c r="C50" s="49"/>
      <c r="D50" s="49"/>
      <c r="E50" s="49"/>
      <c r="F50" s="49"/>
      <c r="G50" s="49"/>
      <c r="H50" s="49"/>
      <c r="J50" s="113"/>
    </row>
    <row r="51" spans="2:10" x14ac:dyDescent="0.35">
      <c r="B51" s="112"/>
      <c r="C51" s="49"/>
      <c r="D51" s="49"/>
      <c r="E51" s="49"/>
      <c r="F51" s="49"/>
      <c r="G51" s="49"/>
      <c r="H51" s="49"/>
      <c r="I51" s="49"/>
      <c r="J51" s="113"/>
    </row>
    <row r="52" spans="2:10" x14ac:dyDescent="0.35">
      <c r="B52" s="112"/>
      <c r="C52" s="49"/>
      <c r="D52" s="49"/>
      <c r="E52" s="49"/>
      <c r="F52" s="49"/>
      <c r="G52" s="49"/>
      <c r="H52" s="49"/>
      <c r="I52" s="49"/>
      <c r="J52" s="113"/>
    </row>
    <row r="53" spans="2:10" x14ac:dyDescent="0.35">
      <c r="B53" s="112"/>
      <c r="C53" s="49"/>
      <c r="D53" s="49"/>
      <c r="E53" s="49"/>
      <c r="F53" s="49"/>
      <c r="G53" s="49"/>
      <c r="H53" s="264"/>
      <c r="I53" s="49"/>
      <c r="J53" s="113"/>
    </row>
    <row r="54" spans="2:10" x14ac:dyDescent="0.35">
      <c r="B54" s="112"/>
      <c r="C54" s="49"/>
      <c r="D54" s="49"/>
      <c r="E54" s="49"/>
      <c r="F54" s="49"/>
      <c r="G54" s="49"/>
      <c r="H54" s="49"/>
      <c r="I54" s="49"/>
      <c r="J54" s="113"/>
    </row>
    <row r="55" spans="2:10" x14ac:dyDescent="0.35">
      <c r="B55" s="112"/>
      <c r="C55" s="49"/>
      <c r="D55" s="49"/>
      <c r="E55" s="49"/>
      <c r="F55" s="49"/>
      <c r="G55" s="49"/>
      <c r="H55" s="49"/>
      <c r="I55" s="49"/>
      <c r="J55" s="113"/>
    </row>
    <row r="56" spans="2:10" x14ac:dyDescent="0.35">
      <c r="B56" s="112"/>
      <c r="C56" s="49"/>
      <c r="D56" s="49"/>
      <c r="E56" s="49"/>
      <c r="F56" s="49"/>
      <c r="G56" s="49"/>
      <c r="H56" s="49"/>
      <c r="I56" s="49"/>
      <c r="J56" s="113"/>
    </row>
    <row r="57" spans="2:10" x14ac:dyDescent="0.35">
      <c r="B57" s="112"/>
      <c r="C57" s="49"/>
      <c r="D57" s="49"/>
      <c r="E57" s="49"/>
      <c r="F57" s="49"/>
      <c r="G57" s="49"/>
      <c r="H57" s="49"/>
      <c r="I57" s="49"/>
      <c r="J57" s="113"/>
    </row>
    <row r="58" spans="2:10" x14ac:dyDescent="0.35">
      <c r="B58" s="112"/>
      <c r="C58" s="49"/>
      <c r="D58" s="49"/>
      <c r="E58" s="49"/>
      <c r="F58" s="49"/>
      <c r="G58" s="49"/>
      <c r="H58" s="49"/>
      <c r="I58" s="49"/>
      <c r="J58" s="113"/>
    </row>
    <row r="59" spans="2:10" x14ac:dyDescent="0.35">
      <c r="B59" s="112"/>
      <c r="C59" s="49"/>
      <c r="D59" s="49"/>
      <c r="E59" s="49"/>
      <c r="F59" s="49"/>
      <c r="G59" s="49"/>
      <c r="H59" s="49"/>
      <c r="I59" s="49"/>
      <c r="J59" s="113"/>
    </row>
    <row r="60" spans="2:10" x14ac:dyDescent="0.35">
      <c r="B60" s="112"/>
      <c r="C60" s="49"/>
      <c r="D60" s="49"/>
      <c r="E60" s="49"/>
      <c r="F60" s="49"/>
      <c r="G60" s="49"/>
      <c r="H60" s="49"/>
      <c r="I60" s="49"/>
      <c r="J60" s="113"/>
    </row>
    <row r="61" spans="2:10" x14ac:dyDescent="0.35">
      <c r="B61" s="112"/>
      <c r="C61" s="49"/>
      <c r="D61" s="49"/>
      <c r="E61" s="49"/>
      <c r="F61" s="49"/>
      <c r="G61" s="49"/>
      <c r="H61" s="49"/>
      <c r="I61" s="49"/>
      <c r="J61" s="113"/>
    </row>
    <row r="62" spans="2:10" x14ac:dyDescent="0.35">
      <c r="B62" s="112"/>
      <c r="C62" s="49"/>
      <c r="D62" s="49"/>
      <c r="E62" s="49"/>
      <c r="F62" s="49"/>
      <c r="G62" s="49"/>
      <c r="H62" s="49"/>
      <c r="I62" s="49"/>
      <c r="J62" s="113"/>
    </row>
    <row r="63" spans="2:10" x14ac:dyDescent="0.35">
      <c r="B63" s="112"/>
      <c r="C63" s="49"/>
      <c r="D63" s="49"/>
      <c r="E63" s="49"/>
      <c r="F63" s="49"/>
      <c r="G63" s="49"/>
      <c r="H63" s="49"/>
      <c r="I63" s="49"/>
      <c r="J63" s="113"/>
    </row>
    <row r="64" spans="2:10" x14ac:dyDescent="0.35">
      <c r="B64" s="112"/>
      <c r="C64" s="49"/>
      <c r="D64" s="49"/>
      <c r="E64" s="49"/>
      <c r="F64" s="49"/>
      <c r="G64" s="49"/>
      <c r="H64" s="49"/>
      <c r="I64" s="49"/>
      <c r="J64" s="113"/>
    </row>
    <row r="65" spans="2:10" x14ac:dyDescent="0.35">
      <c r="B65" s="112"/>
      <c r="G65" s="49"/>
      <c r="H65" s="49"/>
      <c r="I65" s="49"/>
      <c r="J65" s="113"/>
    </row>
    <row r="66" spans="2:10" x14ac:dyDescent="0.35">
      <c r="B66" s="263"/>
      <c r="E66" s="49"/>
      <c r="F66" s="49"/>
      <c r="G66" s="49"/>
      <c r="H66" s="49"/>
      <c r="I66" s="49"/>
      <c r="J66" s="113"/>
    </row>
    <row r="67" spans="2:10" x14ac:dyDescent="0.35">
      <c r="B67" s="263"/>
      <c r="E67" s="49"/>
      <c r="F67" s="49"/>
      <c r="G67" s="49"/>
      <c r="H67" s="49"/>
      <c r="I67" s="49"/>
      <c r="J67" s="113"/>
    </row>
    <row r="68" spans="2:10" x14ac:dyDescent="0.35">
      <c r="B68" s="263"/>
      <c r="E68" s="49"/>
      <c r="F68" s="49"/>
      <c r="G68" s="49"/>
      <c r="H68" s="49"/>
      <c r="I68" s="49"/>
      <c r="J68" s="113"/>
    </row>
    <row r="69" spans="2:10" ht="120" x14ac:dyDescent="0.35">
      <c r="B69" s="263"/>
      <c r="C69" s="202" t="s">
        <v>317</v>
      </c>
      <c r="D69" s="202" t="s">
        <v>318</v>
      </c>
      <c r="E69" s="202" t="s">
        <v>319</v>
      </c>
      <c r="F69" s="202" t="s">
        <v>320</v>
      </c>
      <c r="G69" s="49"/>
      <c r="H69" s="49"/>
      <c r="I69" s="49"/>
      <c r="J69" s="113"/>
    </row>
    <row r="70" spans="2:10" x14ac:dyDescent="0.35">
      <c r="B70" s="263"/>
      <c r="C70" s="203"/>
      <c r="E70" s="49"/>
      <c r="F70" s="49"/>
      <c r="G70" s="49"/>
      <c r="H70" s="49"/>
      <c r="I70" s="49"/>
      <c r="J70" s="113"/>
    </row>
    <row r="71" spans="2:10" x14ac:dyDescent="0.35">
      <c r="B71" s="114"/>
      <c r="C71" s="115"/>
      <c r="D71" s="115"/>
      <c r="E71" s="115"/>
      <c r="F71" s="115"/>
      <c r="G71" s="115"/>
      <c r="H71" s="115"/>
      <c r="I71" s="115"/>
      <c r="J71" s="116"/>
    </row>
    <row r="72" spans="2:10" x14ac:dyDescent="0.35"/>
    <row r="73" spans="2:10" x14ac:dyDescent="0.35"/>
    <row r="74" spans="2:10" ht="15" thickBot="1" x14ac:dyDescent="0.4"/>
    <row r="75" spans="2:10" x14ac:dyDescent="0.35">
      <c r="B75" s="311"/>
      <c r="C75" s="312"/>
      <c r="D75" s="312"/>
      <c r="E75" s="312"/>
      <c r="F75" s="312"/>
      <c r="G75" s="312"/>
      <c r="H75" s="312"/>
      <c r="I75" s="312"/>
      <c r="J75" s="313"/>
    </row>
    <row r="76" spans="2:10" ht="26" x14ac:dyDescent="0.6">
      <c r="B76" s="314"/>
      <c r="D76" s="49"/>
      <c r="E76" s="372" t="s">
        <v>418</v>
      </c>
      <c r="F76" s="49"/>
      <c r="G76" s="49"/>
      <c r="H76" s="49"/>
      <c r="I76" s="49"/>
      <c r="J76" s="315"/>
    </row>
    <row r="77" spans="2:10" x14ac:dyDescent="0.35">
      <c r="B77" s="314"/>
      <c r="C77" s="49"/>
      <c r="D77" s="399" t="s">
        <v>424</v>
      </c>
      <c r="E77" s="399"/>
      <c r="F77" s="399"/>
      <c r="G77" s="49"/>
      <c r="H77" s="49"/>
      <c r="I77" s="49"/>
      <c r="J77" s="315"/>
    </row>
    <row r="78" spans="2:10" x14ac:dyDescent="0.35">
      <c r="B78" s="314"/>
      <c r="C78" s="49"/>
      <c r="D78" s="49"/>
      <c r="E78" s="49"/>
      <c r="F78" s="49"/>
      <c r="G78" s="49"/>
      <c r="H78" s="49"/>
      <c r="I78" s="49"/>
      <c r="J78" s="315"/>
    </row>
    <row r="79" spans="2:10" x14ac:dyDescent="0.35">
      <c r="B79" s="314"/>
      <c r="C79" s="49"/>
      <c r="D79" s="367"/>
      <c r="E79" s="367"/>
      <c r="F79" s="367"/>
      <c r="G79" s="49"/>
      <c r="H79" s="49"/>
      <c r="I79" s="49"/>
      <c r="J79" s="315"/>
    </row>
    <row r="80" spans="2:10" x14ac:dyDescent="0.35">
      <c r="B80" s="368"/>
      <c r="C80" s="369"/>
      <c r="D80" s="369"/>
      <c r="E80" s="369"/>
      <c r="F80" s="369"/>
      <c r="G80" s="49"/>
      <c r="H80" s="49"/>
      <c r="I80" s="49"/>
      <c r="J80" s="315"/>
    </row>
    <row r="81" spans="2:10" x14ac:dyDescent="0.35">
      <c r="B81" s="314"/>
      <c r="C81" s="370"/>
      <c r="D81" s="371"/>
      <c r="E81" s="371"/>
      <c r="F81" s="371"/>
      <c r="G81" s="49"/>
      <c r="H81" s="49"/>
      <c r="I81" s="49"/>
      <c r="J81" s="315"/>
    </row>
    <row r="82" spans="2:10" x14ac:dyDescent="0.35">
      <c r="B82" s="314"/>
      <c r="C82" s="49"/>
      <c r="D82" s="49"/>
      <c r="E82" s="49"/>
      <c r="F82" s="49"/>
      <c r="G82" s="49"/>
      <c r="H82" s="49"/>
      <c r="I82" s="49"/>
      <c r="J82" s="315"/>
    </row>
    <row r="83" spans="2:10" x14ac:dyDescent="0.35">
      <c r="B83" s="314"/>
      <c r="C83" s="49"/>
      <c r="D83" s="49"/>
      <c r="E83" s="49"/>
      <c r="F83" s="49"/>
      <c r="G83" s="49"/>
      <c r="H83" s="49"/>
      <c r="I83" s="49"/>
      <c r="J83" s="315"/>
    </row>
    <row r="84" spans="2:10" x14ac:dyDescent="0.35">
      <c r="B84" s="314"/>
      <c r="C84" s="49"/>
      <c r="D84" s="49"/>
      <c r="E84" s="49"/>
      <c r="F84" s="49"/>
      <c r="G84" s="49"/>
      <c r="H84" s="49"/>
      <c r="I84" s="49"/>
      <c r="J84" s="315"/>
    </row>
    <row r="85" spans="2:10" x14ac:dyDescent="0.35">
      <c r="B85" s="314"/>
      <c r="C85" s="49"/>
      <c r="D85" s="49"/>
      <c r="E85" s="49"/>
      <c r="F85" s="49"/>
      <c r="G85" s="49"/>
      <c r="H85" s="49"/>
      <c r="I85" s="49"/>
      <c r="J85" s="315"/>
    </row>
    <row r="86" spans="2:10" x14ac:dyDescent="0.35">
      <c r="B86" s="314"/>
      <c r="C86" s="49"/>
      <c r="D86" s="49"/>
      <c r="E86" s="49"/>
      <c r="F86" s="49"/>
      <c r="G86" s="49"/>
      <c r="H86" s="49"/>
      <c r="I86" s="49"/>
      <c r="J86" s="315"/>
    </row>
    <row r="87" spans="2:10" x14ac:dyDescent="0.35">
      <c r="B87" s="314"/>
      <c r="C87" s="49"/>
      <c r="D87" s="49"/>
      <c r="E87" s="49"/>
      <c r="F87" s="49"/>
      <c r="G87" s="49"/>
      <c r="H87" s="49"/>
      <c r="I87" s="49"/>
      <c r="J87" s="315"/>
    </row>
    <row r="88" spans="2:10" x14ac:dyDescent="0.35">
      <c r="B88" s="314"/>
      <c r="C88" s="49"/>
      <c r="D88" s="49"/>
      <c r="E88" s="49"/>
      <c r="F88" s="49"/>
      <c r="G88" s="49"/>
      <c r="H88" s="49"/>
      <c r="I88" s="49"/>
      <c r="J88" s="315"/>
    </row>
    <row r="89" spans="2:10" x14ac:dyDescent="0.35">
      <c r="B89" s="314"/>
      <c r="C89" s="49"/>
      <c r="D89" s="49"/>
      <c r="E89" s="49"/>
      <c r="F89" s="49"/>
      <c r="G89" s="49"/>
      <c r="H89" s="49"/>
      <c r="I89" s="49"/>
      <c r="J89" s="315"/>
    </row>
    <row r="90" spans="2:10" x14ac:dyDescent="0.35">
      <c r="B90" s="314"/>
      <c r="C90" s="49"/>
      <c r="D90" s="49"/>
      <c r="E90" s="49"/>
      <c r="F90" s="49"/>
      <c r="G90" s="49"/>
      <c r="H90" s="49"/>
      <c r="I90" s="49"/>
      <c r="J90" s="315"/>
    </row>
    <row r="91" spans="2:10" x14ac:dyDescent="0.35">
      <c r="B91" s="314"/>
      <c r="C91" s="49"/>
      <c r="D91" s="49"/>
      <c r="E91" s="49"/>
      <c r="F91" s="49"/>
      <c r="G91" s="49"/>
      <c r="H91" s="49"/>
      <c r="I91" s="49"/>
      <c r="J91" s="315"/>
    </row>
    <row r="92" spans="2:10" ht="26" x14ac:dyDescent="0.6">
      <c r="B92" s="314"/>
      <c r="D92" s="49"/>
      <c r="E92" s="372" t="s">
        <v>417</v>
      </c>
      <c r="F92" s="49"/>
      <c r="G92" s="49"/>
      <c r="H92" s="49"/>
      <c r="I92" s="49"/>
      <c r="J92" s="315"/>
    </row>
    <row r="93" spans="2:10" x14ac:dyDescent="0.35">
      <c r="B93" s="314"/>
      <c r="C93" s="49"/>
      <c r="D93" s="399" t="s">
        <v>424</v>
      </c>
      <c r="E93" s="399"/>
      <c r="F93" s="399"/>
      <c r="G93" s="49"/>
      <c r="H93" s="49"/>
      <c r="I93" s="49"/>
      <c r="J93" s="315"/>
    </row>
    <row r="94" spans="2:10" x14ac:dyDescent="0.35">
      <c r="B94" s="314"/>
      <c r="C94" s="49"/>
      <c r="D94" s="49"/>
      <c r="E94" s="49"/>
      <c r="F94" s="49"/>
      <c r="G94" s="49"/>
      <c r="H94" s="49"/>
      <c r="I94" s="49"/>
      <c r="J94" s="315"/>
    </row>
    <row r="95" spans="2:10" x14ac:dyDescent="0.35">
      <c r="B95" s="314"/>
      <c r="C95" s="49"/>
      <c r="D95" s="49"/>
      <c r="E95" s="49"/>
      <c r="F95" s="49"/>
      <c r="G95" s="49"/>
      <c r="H95" s="49"/>
      <c r="I95" s="49"/>
      <c r="J95" s="315"/>
    </row>
    <row r="96" spans="2:10" x14ac:dyDescent="0.35">
      <c r="B96" s="314"/>
      <c r="C96" s="49"/>
      <c r="D96" s="49"/>
      <c r="E96" s="49"/>
      <c r="F96" s="49"/>
      <c r="G96" s="49"/>
      <c r="H96" s="49"/>
      <c r="I96" s="49"/>
      <c r="J96" s="315"/>
    </row>
    <row r="97" spans="2:10" x14ac:dyDescent="0.35">
      <c r="B97" s="314"/>
      <c r="C97" s="49"/>
      <c r="D97" s="49"/>
      <c r="E97" s="49"/>
      <c r="F97" s="49"/>
      <c r="G97" s="49"/>
      <c r="H97" s="49"/>
      <c r="I97" s="49"/>
      <c r="J97" s="315"/>
    </row>
    <row r="98" spans="2:10" x14ac:dyDescent="0.35">
      <c r="B98" s="314"/>
      <c r="C98" s="49"/>
      <c r="D98" s="49"/>
      <c r="E98" s="49"/>
      <c r="F98" s="49"/>
      <c r="G98" s="49"/>
      <c r="H98" s="49"/>
      <c r="I98" s="49"/>
      <c r="J98" s="315"/>
    </row>
    <row r="99" spans="2:10" x14ac:dyDescent="0.35">
      <c r="B99" s="314"/>
      <c r="C99" s="49"/>
      <c r="D99" s="49"/>
      <c r="E99" s="49"/>
      <c r="F99" s="49"/>
      <c r="G99" s="49"/>
      <c r="H99" s="49"/>
      <c r="I99" s="49"/>
      <c r="J99" s="315"/>
    </row>
    <row r="100" spans="2:10" x14ac:dyDescent="0.35">
      <c r="B100" s="314"/>
      <c r="C100" s="49"/>
      <c r="D100" s="49"/>
      <c r="E100" s="49"/>
      <c r="F100" s="49"/>
      <c r="G100" s="49"/>
      <c r="H100" s="49"/>
      <c r="I100" s="49"/>
      <c r="J100" s="315"/>
    </row>
    <row r="101" spans="2:10" x14ac:dyDescent="0.35">
      <c r="B101" s="314"/>
      <c r="C101" s="49"/>
      <c r="D101" s="49"/>
      <c r="E101" s="49"/>
      <c r="F101" s="49"/>
      <c r="G101" s="49"/>
      <c r="H101" s="49"/>
      <c r="I101" s="49"/>
      <c r="J101" s="315"/>
    </row>
    <row r="102" spans="2:10" x14ac:dyDescent="0.35">
      <c r="B102" s="314"/>
      <c r="C102" s="49"/>
      <c r="D102" s="49"/>
      <c r="E102" s="49"/>
      <c r="F102" s="49"/>
      <c r="G102" s="49"/>
      <c r="H102" s="49"/>
      <c r="I102" s="49"/>
      <c r="J102" s="315"/>
    </row>
    <row r="103" spans="2:10" x14ac:dyDescent="0.35">
      <c r="B103" s="314"/>
      <c r="C103" s="49"/>
      <c r="D103" s="49"/>
      <c r="E103" s="49"/>
      <c r="F103" s="49"/>
      <c r="G103" s="49"/>
      <c r="H103" s="49"/>
      <c r="I103" s="49"/>
      <c r="J103" s="315"/>
    </row>
    <row r="104" spans="2:10" x14ac:dyDescent="0.35">
      <c r="B104" s="314"/>
      <c r="C104" s="49"/>
      <c r="D104" s="49"/>
      <c r="E104" s="49"/>
      <c r="F104" s="49"/>
      <c r="G104" s="49"/>
      <c r="H104" s="49"/>
      <c r="I104" s="49"/>
      <c r="J104" s="315"/>
    </row>
    <row r="105" spans="2:10" x14ac:dyDescent="0.35">
      <c r="B105" s="314"/>
      <c r="C105" s="49"/>
      <c r="D105" s="49"/>
      <c r="E105" s="49"/>
      <c r="F105" s="49"/>
      <c r="G105" s="49"/>
      <c r="H105" s="49"/>
      <c r="I105" s="49"/>
      <c r="J105" s="315"/>
    </row>
    <row r="106" spans="2:10" x14ac:dyDescent="0.35">
      <c r="B106" s="314"/>
      <c r="C106" s="49"/>
      <c r="D106" s="49"/>
      <c r="E106" s="49"/>
      <c r="F106" s="49"/>
      <c r="G106" s="49"/>
      <c r="H106" s="49"/>
      <c r="I106" s="49"/>
      <c r="J106" s="315"/>
    </row>
    <row r="107" spans="2:10" ht="15" thickBot="1" x14ac:dyDescent="0.4">
      <c r="B107" s="318"/>
      <c r="C107" s="319"/>
      <c r="D107" s="319"/>
      <c r="E107" s="319"/>
      <c r="F107" s="319"/>
      <c r="G107" s="319"/>
      <c r="H107" s="319"/>
      <c r="I107" s="319"/>
      <c r="J107" s="325"/>
    </row>
    <row r="108" spans="2:10" x14ac:dyDescent="0.35"/>
    <row r="109" spans="2:10" x14ac:dyDescent="0.35"/>
    <row r="110" spans="2:10" x14ac:dyDescent="0.35"/>
  </sheetData>
  <mergeCells count="6">
    <mergeCell ref="D93:F93"/>
    <mergeCell ref="E10:F10"/>
    <mergeCell ref="E11:F11"/>
    <mergeCell ref="E12:F12"/>
    <mergeCell ref="E13:F13"/>
    <mergeCell ref="D77:F77"/>
  </mergeCells>
  <dataValidations count="4">
    <dataValidation allowBlank="1" showInputMessage="1" showErrorMessage="1" promptTitle="Edible Loss" prompt="Crop left in-field that does not meet buyers' current quality specifications but is still considered edible for human consumption." sqref="C11" xr:uid="{9E491768-01C2-F04C-BF35-E9391E80565A}"/>
    <dataValidation allowBlank="1" showInputMessage="1" showErrorMessage="1" promptTitle="Crop Utilization" prompt="Percent of a crop that was planted, raised to maturity and harvested for its intended or alternative market." sqref="C10" xr:uid="{CE5367E2-D0B3-C04A-AEC6-AF0A7D0C6217}"/>
    <dataValidation allowBlank="1" showInputMessage="1" showErrorMessage="1" promptTitle="Inedible Loss" prompt="Crop that is damaged, diseased, showing signs of decay, or over mature" sqref="C13" xr:uid="{DF44809B-F27A-A34E-9CFF-715E1EA247CB}"/>
    <dataValidation allowBlank="1" showInputMessage="1" showErrorMessage="1" promptTitle="Marketable Loss" prompt="Crop loss that meets buyers’ current quality specifications." sqref="C12" xr:uid="{62065ADE-5AC4-4B45-A3FB-07AF66F27791}"/>
  </dataValidations>
  <hyperlinks>
    <hyperlink ref="D77" location="'Reasons for Loss'!A1" display="To populate these charts, see the Reasons for Loss tab." xr:uid="{FAF21570-EAAF-5E49-B9A2-E339B7DE385A}"/>
    <hyperlink ref="D93" location="'Reasons for Loss'!A1" display="To populate these charts, see the Reasons for Loss tab." xr:uid="{FE32AC78-490B-FA4D-82E1-9003E2C7DD59}"/>
  </hyperlinks>
  <pageMargins left="0.7" right="0.7" top="0.75" bottom="0.75" header="0.3" footer="0.3"/>
  <pageSetup orientation="portrait" horizontalDpi="0" verticalDpi="0"/>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2105EB0F-865A-7447-AFA4-6DC690B0CF5E}">
          <x14:formula1>
            <xm:f>Lists!$J$2:$J$3</xm:f>
          </x14:formula1>
          <xm:sqref>I4 C4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5BA1B-838A-3349-91B8-1BC0142417A7}">
  <dimension ref="A1:L21"/>
  <sheetViews>
    <sheetView showGridLines="0" showRowColHeaders="0" zoomScale="162" workbookViewId="0">
      <selection activeCell="C9" sqref="C9"/>
    </sheetView>
  </sheetViews>
  <sheetFormatPr defaultColWidth="0" defaultRowHeight="14.5" zeroHeight="1" x14ac:dyDescent="0.35"/>
  <cols>
    <col min="1" max="2" width="4.453125" customWidth="1"/>
    <col min="3" max="3" width="20.1796875" customWidth="1"/>
    <col min="4" max="12" width="10.81640625" customWidth="1"/>
    <col min="13" max="16384" width="10.81640625" hidden="1"/>
  </cols>
  <sheetData>
    <row r="1" spans="2:11" ht="15" thickBot="1" x14ac:dyDescent="0.4"/>
    <row r="2" spans="2:11" x14ac:dyDescent="0.35">
      <c r="B2" s="356"/>
      <c r="C2" s="357"/>
      <c r="D2" s="357"/>
      <c r="E2" s="357"/>
      <c r="F2" s="357"/>
      <c r="G2" s="357"/>
      <c r="H2" s="357"/>
      <c r="I2" s="357"/>
      <c r="J2" s="357"/>
      <c r="K2" s="358"/>
    </row>
    <row r="3" spans="2:11" x14ac:dyDescent="0.35">
      <c r="B3" s="359"/>
      <c r="C3" s="49"/>
      <c r="D3" s="49"/>
      <c r="E3" s="49"/>
      <c r="F3" s="49"/>
      <c r="G3" s="49"/>
      <c r="H3" s="49"/>
      <c r="I3" s="49"/>
      <c r="J3" s="49"/>
      <c r="K3" s="360"/>
    </row>
    <row r="4" spans="2:11" x14ac:dyDescent="0.35">
      <c r="B4" s="359"/>
      <c r="C4" s="49"/>
      <c r="D4" s="49"/>
      <c r="E4" s="49"/>
      <c r="F4" s="49"/>
      <c r="G4" s="49"/>
      <c r="H4" s="49"/>
      <c r="I4" s="49"/>
      <c r="J4" s="49"/>
      <c r="K4" s="360"/>
    </row>
    <row r="5" spans="2:11" x14ac:dyDescent="0.35">
      <c r="B5" s="359"/>
      <c r="C5" s="49"/>
      <c r="D5" s="49"/>
      <c r="E5" s="49"/>
      <c r="F5" s="49"/>
      <c r="G5" s="49"/>
      <c r="H5" s="49"/>
      <c r="I5" s="49"/>
      <c r="J5" s="49"/>
      <c r="K5" s="360"/>
    </row>
    <row r="6" spans="2:11" x14ac:dyDescent="0.35">
      <c r="B6" s="359"/>
      <c r="C6" s="49"/>
      <c r="D6" s="49"/>
      <c r="E6" s="49"/>
      <c r="F6" s="49"/>
      <c r="G6" s="49"/>
      <c r="H6" s="49"/>
      <c r="I6" s="49"/>
      <c r="J6" s="49"/>
      <c r="K6" s="360"/>
    </row>
    <row r="7" spans="2:11" x14ac:dyDescent="0.35">
      <c r="B7" s="359"/>
      <c r="C7" s="49"/>
      <c r="D7" s="49"/>
      <c r="E7" s="49"/>
      <c r="F7" s="49"/>
      <c r="G7" s="49"/>
      <c r="H7" s="49"/>
      <c r="I7" s="49"/>
      <c r="J7" s="49"/>
      <c r="K7" s="360"/>
    </row>
    <row r="8" spans="2:11" x14ac:dyDescent="0.35">
      <c r="B8" s="359"/>
      <c r="C8" s="49"/>
      <c r="D8" s="49"/>
      <c r="E8" s="49"/>
      <c r="F8" s="49"/>
      <c r="G8" s="49"/>
      <c r="H8" s="49"/>
      <c r="I8" s="49"/>
      <c r="J8" s="49"/>
      <c r="K8" s="360"/>
    </row>
    <row r="9" spans="2:11" ht="15" thickBot="1" x14ac:dyDescent="0.4">
      <c r="B9" s="359"/>
      <c r="C9" s="350" t="s">
        <v>352</v>
      </c>
      <c r="D9" s="49"/>
      <c r="E9" s="49"/>
      <c r="F9" s="49"/>
      <c r="G9" s="49"/>
      <c r="H9" s="49"/>
      <c r="I9" s="49"/>
      <c r="J9" s="49"/>
      <c r="K9" s="360"/>
    </row>
    <row r="10" spans="2:11" ht="15" thickBot="1" x14ac:dyDescent="0.4">
      <c r="B10" s="359"/>
      <c r="C10" s="378" t="s">
        <v>128</v>
      </c>
      <c r="D10" s="49" t="s">
        <v>372</v>
      </c>
      <c r="E10" s="49"/>
      <c r="F10" s="49"/>
      <c r="G10" s="49"/>
      <c r="H10" s="49"/>
      <c r="I10" s="49"/>
      <c r="J10" s="49"/>
      <c r="K10" s="360"/>
    </row>
    <row r="11" spans="2:11" ht="15" thickBot="1" x14ac:dyDescent="0.4">
      <c r="B11" s="359"/>
      <c r="C11" s="378" t="s">
        <v>338</v>
      </c>
      <c r="D11" s="49" t="s">
        <v>339</v>
      </c>
      <c r="E11" s="49"/>
      <c r="F11" s="49"/>
      <c r="G11" s="49"/>
      <c r="H11" s="49"/>
      <c r="I11" s="49"/>
      <c r="J11" s="49"/>
      <c r="K11" s="360"/>
    </row>
    <row r="12" spans="2:11" ht="15" thickBot="1" x14ac:dyDescent="0.4">
      <c r="B12" s="359"/>
      <c r="C12" s="378" t="s">
        <v>340</v>
      </c>
      <c r="D12" s="49" t="s">
        <v>341</v>
      </c>
      <c r="E12" s="49"/>
      <c r="F12" s="49"/>
      <c r="G12" s="49"/>
      <c r="H12" s="49"/>
      <c r="I12" s="49"/>
      <c r="J12" s="49"/>
      <c r="K12" s="360"/>
    </row>
    <row r="13" spans="2:11" ht="15" thickBot="1" x14ac:dyDescent="0.4">
      <c r="B13" s="359"/>
      <c r="C13" s="378" t="s">
        <v>342</v>
      </c>
      <c r="D13" s="49" t="s">
        <v>343</v>
      </c>
      <c r="E13" s="49"/>
      <c r="F13" s="49"/>
      <c r="G13" s="49"/>
      <c r="H13" s="49"/>
      <c r="I13" s="49"/>
      <c r="J13" s="49"/>
      <c r="K13" s="360"/>
    </row>
    <row r="14" spans="2:11" ht="15" thickBot="1" x14ac:dyDescent="0.4">
      <c r="B14" s="359"/>
      <c r="C14" s="378" t="s">
        <v>353</v>
      </c>
      <c r="D14" s="49" t="s">
        <v>375</v>
      </c>
      <c r="E14" s="49"/>
      <c r="F14" s="49"/>
      <c r="G14" s="49"/>
      <c r="H14" s="49"/>
      <c r="I14" s="49"/>
      <c r="J14" s="49"/>
      <c r="K14" s="360"/>
    </row>
    <row r="15" spans="2:11" ht="15" thickBot="1" x14ac:dyDescent="0.4">
      <c r="B15" s="359"/>
      <c r="C15" s="378" t="s">
        <v>354</v>
      </c>
      <c r="D15" s="49" t="s">
        <v>375</v>
      </c>
      <c r="E15" s="49"/>
      <c r="F15" s="49"/>
      <c r="G15" s="49"/>
      <c r="H15" s="49"/>
      <c r="I15" s="49"/>
      <c r="J15" s="49"/>
      <c r="K15" s="360"/>
    </row>
    <row r="16" spans="2:11" ht="15" thickBot="1" x14ac:dyDescent="0.4">
      <c r="B16" s="359"/>
      <c r="C16" s="378" t="s">
        <v>355</v>
      </c>
      <c r="D16" s="49" t="s">
        <v>375</v>
      </c>
      <c r="E16" s="49"/>
      <c r="F16" s="49"/>
      <c r="G16" s="49"/>
      <c r="H16" s="49"/>
      <c r="I16" s="49"/>
      <c r="J16" s="49"/>
      <c r="K16" s="360"/>
    </row>
    <row r="17" spans="2:11" ht="15" thickBot="1" x14ac:dyDescent="0.4">
      <c r="B17" s="359"/>
      <c r="C17" s="378" t="s">
        <v>356</v>
      </c>
      <c r="D17" s="49" t="s">
        <v>376</v>
      </c>
      <c r="E17" s="49"/>
      <c r="F17" s="49"/>
      <c r="G17" s="49"/>
      <c r="H17" s="49"/>
      <c r="I17" s="49"/>
      <c r="J17" s="49"/>
      <c r="K17" s="360"/>
    </row>
    <row r="18" spans="2:11" ht="15" thickBot="1" x14ac:dyDescent="0.4">
      <c r="B18" s="359"/>
      <c r="C18" s="378" t="s">
        <v>357</v>
      </c>
      <c r="D18" s="49" t="s">
        <v>377</v>
      </c>
      <c r="E18" s="49"/>
      <c r="F18" s="49"/>
      <c r="G18" s="49"/>
      <c r="H18" s="49"/>
      <c r="I18" s="49"/>
      <c r="J18" s="49"/>
      <c r="K18" s="360"/>
    </row>
    <row r="19" spans="2:11" ht="15" thickBot="1" x14ac:dyDescent="0.4">
      <c r="B19" s="359"/>
      <c r="C19" s="378" t="s">
        <v>358</v>
      </c>
      <c r="D19" s="49" t="s">
        <v>359</v>
      </c>
      <c r="E19" s="49"/>
      <c r="F19" s="49"/>
      <c r="G19" s="49"/>
      <c r="H19" s="49"/>
      <c r="I19" s="49"/>
      <c r="J19" s="49"/>
      <c r="K19" s="360"/>
    </row>
    <row r="20" spans="2:11" ht="15" thickBot="1" x14ac:dyDescent="0.4">
      <c r="B20" s="361"/>
      <c r="C20" s="362"/>
      <c r="D20" s="362"/>
      <c r="E20" s="362"/>
      <c r="F20" s="362"/>
      <c r="G20" s="362"/>
      <c r="H20" s="362"/>
      <c r="I20" s="362"/>
      <c r="J20" s="362"/>
      <c r="K20" s="363"/>
    </row>
    <row r="21" spans="2:11" x14ac:dyDescent="0.35"/>
  </sheetData>
  <hyperlinks>
    <hyperlink ref="C11" location="'Metric Table'!A1" display="Metric Table" xr:uid="{BD8563B4-095B-C949-8914-A37EE691E7AB}"/>
    <hyperlink ref="C12" location="'Check your work'!A1" display="Check your work" xr:uid="{F861193C-0401-2941-A856-79C7D8B0C00F}"/>
    <hyperlink ref="C13" location="Glossary!A1" display="Glossary" xr:uid="{11D6B634-72E8-6E44-9160-A4A2BAF9BB4A}"/>
    <hyperlink ref="C14" location="'Add''l Harvest Data'!A1" display="Add'l Harvest Data" xr:uid="{53674C70-E0ED-3243-9601-454A960920AB}"/>
    <hyperlink ref="C15" location="'Add''l Loss Data'!A1" display="Add'l Loss Data" xr:uid="{4D686B45-BFAD-2A48-8C18-1F1AB79780D4}"/>
    <hyperlink ref="C16" location="'Add''l Reasons for Loss'!A1" display="Add'l Reasons for Loss" xr:uid="{A3A31213-42A8-1648-9903-DB9844C69D52}"/>
    <hyperlink ref="C17" location="'Add''l Visual Dashboard'!A1" display="Add'l Visual Dashboard" xr:uid="{69C9DCBB-16C1-A149-B740-F66A6F05B1F0}"/>
    <hyperlink ref="C18" location="'Add''l Metric Table'!A1" display="Add'l Metric Table" xr:uid="{019E2F1C-662B-504D-A578-78BDC10ED6AA}"/>
    <hyperlink ref="C19" location="'Add''l Check your work'!A1" display="Add'l Check your work" xr:uid="{174690C7-4CAC-844A-AF33-A6A77E417F9B}"/>
    <hyperlink ref="C10" location="'Reasons for Loss'!A1" display="Reasons for Loss" xr:uid="{BBB338AA-368D-364E-8F69-CC74FFF32117}"/>
  </hyperlinks>
  <pageMargins left="0.7" right="0.7" top="0.75" bottom="0.75" header="0.3" footer="0.3"/>
  <pageSetup paperSize="9" orientation="landscape" horizontalDpi="0" verticalDpi="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793D8-60EB-BD41-964B-36A454547BBF}">
  <dimension ref="A1:M72"/>
  <sheetViews>
    <sheetView showGridLines="0" showRowColHeaders="0" zoomScale="125" zoomScaleNormal="120" workbookViewId="0">
      <selection activeCell="D12" sqref="D12"/>
    </sheetView>
  </sheetViews>
  <sheetFormatPr defaultColWidth="0" defaultRowHeight="14.5" zeroHeight="1" x14ac:dyDescent="0.35"/>
  <cols>
    <col min="1" max="1" width="7" style="132" customWidth="1"/>
    <col min="2" max="2" width="5.81640625" customWidth="1"/>
    <col min="3" max="3" width="23.453125" style="60" customWidth="1"/>
    <col min="4" max="13" width="10.81640625" customWidth="1"/>
    <col min="14" max="16384" width="10.81640625" hidden="1"/>
  </cols>
  <sheetData>
    <row r="1" spans="1:9" x14ac:dyDescent="0.35">
      <c r="A1" s="366"/>
    </row>
    <row r="2" spans="1:9" x14ac:dyDescent="0.35">
      <c r="A2" s="366"/>
      <c r="B2" s="169"/>
    </row>
    <row r="3" spans="1:9" x14ac:dyDescent="0.35">
      <c r="A3" s="366"/>
      <c r="B3" s="42"/>
    </row>
    <row r="4" spans="1:9" x14ac:dyDescent="0.35">
      <c r="A4" s="253"/>
      <c r="B4" s="42"/>
    </row>
    <row r="5" spans="1:9" x14ac:dyDescent="0.35">
      <c r="A5" s="253"/>
      <c r="B5" s="42"/>
    </row>
    <row r="6" spans="1:9" x14ac:dyDescent="0.35">
      <c r="A6" s="191"/>
      <c r="B6" s="42"/>
    </row>
    <row r="7" spans="1:9" x14ac:dyDescent="0.35">
      <c r="A7" s="183"/>
    </row>
    <row r="8" spans="1:9" ht="15" thickBot="1" x14ac:dyDescent="0.4"/>
    <row r="9" spans="1:9" ht="16" thickBot="1" x14ac:dyDescent="0.4">
      <c r="B9" s="233" t="s">
        <v>337</v>
      </c>
      <c r="C9" s="234"/>
      <c r="D9" s="235"/>
      <c r="E9" s="235"/>
      <c r="F9" s="235"/>
      <c r="G9" s="235"/>
      <c r="H9" s="235"/>
      <c r="I9" s="236"/>
    </row>
    <row r="10" spans="1:9" ht="15" thickTop="1" x14ac:dyDescent="0.35">
      <c r="B10" s="245" t="s">
        <v>128</v>
      </c>
      <c r="C10" s="164"/>
      <c r="D10" s="49"/>
      <c r="E10" s="49"/>
      <c r="F10" s="49"/>
      <c r="G10" s="49"/>
      <c r="H10" s="49"/>
      <c r="I10" s="237"/>
    </row>
    <row r="11" spans="1:9" ht="15" thickBot="1" x14ac:dyDescent="0.4">
      <c r="B11" s="246"/>
      <c r="C11" s="226"/>
      <c r="D11" s="229" t="s">
        <v>297</v>
      </c>
      <c r="E11" s="229" t="s">
        <v>298</v>
      </c>
      <c r="F11" s="229" t="s">
        <v>299</v>
      </c>
      <c r="G11" s="231" t="s">
        <v>378</v>
      </c>
      <c r="H11" s="229"/>
      <c r="I11" s="237"/>
    </row>
    <row r="12" spans="1:9" x14ac:dyDescent="0.35">
      <c r="B12" s="246"/>
      <c r="C12" s="225" t="s">
        <v>295</v>
      </c>
      <c r="D12" s="277"/>
      <c r="E12" s="277"/>
      <c r="F12" s="277"/>
      <c r="G12" s="402"/>
      <c r="H12" s="403"/>
      <c r="I12" s="404"/>
    </row>
    <row r="13" spans="1:9" x14ac:dyDescent="0.35">
      <c r="B13" s="246"/>
      <c r="C13" s="225" t="s">
        <v>296</v>
      </c>
      <c r="D13" s="276"/>
      <c r="E13" s="276"/>
      <c r="F13" s="276"/>
      <c r="G13" s="49"/>
      <c r="H13" s="49"/>
      <c r="I13" s="237"/>
    </row>
    <row r="14" spans="1:9" x14ac:dyDescent="0.35">
      <c r="B14" s="247"/>
      <c r="C14" s="259"/>
      <c r="D14" s="49"/>
      <c r="E14" s="49"/>
      <c r="F14" s="49"/>
      <c r="G14" s="49"/>
      <c r="H14" s="49"/>
      <c r="I14" s="237"/>
    </row>
    <row r="15" spans="1:9" x14ac:dyDescent="0.35">
      <c r="B15" s="245" t="s">
        <v>14</v>
      </c>
      <c r="C15" s="259"/>
      <c r="D15" s="49"/>
      <c r="E15" s="49"/>
      <c r="F15" s="49"/>
      <c r="G15" s="49"/>
      <c r="H15" s="49"/>
      <c r="I15" s="237"/>
    </row>
    <row r="16" spans="1:9" ht="15" thickBot="1" x14ac:dyDescent="0.4">
      <c r="B16" s="246"/>
      <c r="C16" s="157"/>
      <c r="D16" s="229" t="s">
        <v>300</v>
      </c>
      <c r="E16" s="229" t="s">
        <v>301</v>
      </c>
      <c r="F16" s="229" t="s">
        <v>302</v>
      </c>
      <c r="G16" s="49"/>
      <c r="H16" s="49"/>
      <c r="I16" s="237"/>
    </row>
    <row r="17" spans="2:9" x14ac:dyDescent="0.35">
      <c r="B17" s="246"/>
      <c r="C17" s="157" t="s">
        <v>293</v>
      </c>
      <c r="D17" s="277"/>
      <c r="E17" s="277"/>
      <c r="F17" s="277"/>
      <c r="G17" s="49"/>
      <c r="H17" s="49"/>
      <c r="I17" s="237"/>
    </row>
    <row r="18" spans="2:9" x14ac:dyDescent="0.35">
      <c r="B18" s="246"/>
      <c r="C18" s="157" t="s">
        <v>294</v>
      </c>
      <c r="D18" s="276"/>
      <c r="E18" s="276"/>
      <c r="F18" s="276"/>
      <c r="G18" s="49"/>
      <c r="H18" s="49"/>
      <c r="I18" s="237"/>
    </row>
    <row r="19" spans="2:9" x14ac:dyDescent="0.35">
      <c r="B19" s="246"/>
      <c r="C19" s="259"/>
      <c r="D19" s="49"/>
      <c r="E19" s="49"/>
      <c r="F19" s="49"/>
      <c r="G19" s="49"/>
      <c r="H19" s="49"/>
      <c r="I19" s="237"/>
    </row>
    <row r="20" spans="2:9" ht="15" thickBot="1" x14ac:dyDescent="0.4">
      <c r="B20" s="248" t="s">
        <v>247</v>
      </c>
      <c r="C20" s="259"/>
      <c r="D20" s="49"/>
      <c r="E20" s="49"/>
      <c r="F20" s="49"/>
      <c r="G20" s="49"/>
      <c r="H20" s="49"/>
      <c r="I20" s="237"/>
    </row>
    <row r="21" spans="2:9" x14ac:dyDescent="0.35">
      <c r="B21" s="238"/>
      <c r="C21" s="157" t="s">
        <v>334</v>
      </c>
      <c r="D21" s="193"/>
      <c r="E21" s="49"/>
      <c r="F21" s="49"/>
      <c r="G21" s="49"/>
      <c r="H21" s="49"/>
      <c r="I21" s="237"/>
    </row>
    <row r="22" spans="2:9" ht="15" thickBot="1" x14ac:dyDescent="0.4">
      <c r="B22" s="239"/>
      <c r="C22" s="240"/>
      <c r="D22" s="241"/>
      <c r="E22" s="241"/>
      <c r="F22" s="241"/>
      <c r="G22" s="241"/>
      <c r="H22" s="241"/>
      <c r="I22" s="242"/>
    </row>
    <row r="23" spans="2:9" ht="15" thickBot="1" x14ac:dyDescent="0.4"/>
    <row r="24" spans="2:9" ht="16" thickBot="1" x14ac:dyDescent="0.4">
      <c r="B24" s="233" t="s">
        <v>308</v>
      </c>
      <c r="C24" s="234"/>
      <c r="D24" s="235"/>
      <c r="E24" s="235"/>
      <c r="F24" s="235"/>
      <c r="G24" s="235"/>
      <c r="H24" s="235"/>
      <c r="I24" s="236"/>
    </row>
    <row r="25" spans="2:9" ht="15" thickTop="1" x14ac:dyDescent="0.35">
      <c r="B25" s="245" t="s">
        <v>128</v>
      </c>
      <c r="C25" s="164"/>
      <c r="D25" s="49"/>
      <c r="E25" s="49"/>
      <c r="F25" s="49"/>
      <c r="G25" s="49"/>
      <c r="H25" s="49"/>
      <c r="I25" s="237"/>
    </row>
    <row r="26" spans="2:9" ht="15" thickBot="1" x14ac:dyDescent="0.4">
      <c r="B26" s="246"/>
      <c r="C26" s="164"/>
      <c r="D26" s="229" t="s">
        <v>297</v>
      </c>
      <c r="E26" s="229" t="s">
        <v>298</v>
      </c>
      <c r="F26" s="229" t="s">
        <v>299</v>
      </c>
      <c r="G26" s="231" t="s">
        <v>378</v>
      </c>
      <c r="H26" s="49"/>
      <c r="I26" s="237"/>
    </row>
    <row r="27" spans="2:9" x14ac:dyDescent="0.35">
      <c r="B27" s="246"/>
      <c r="C27" s="122" t="s">
        <v>304</v>
      </c>
      <c r="D27" s="276"/>
      <c r="E27" s="276"/>
      <c r="F27" s="276"/>
      <c r="G27" s="402"/>
      <c r="H27" s="403"/>
      <c r="I27" s="404"/>
    </row>
    <row r="28" spans="2:9" x14ac:dyDescent="0.35">
      <c r="B28" s="246"/>
      <c r="C28" s="122" t="s">
        <v>296</v>
      </c>
      <c r="D28" s="276"/>
      <c r="E28" s="276"/>
      <c r="F28" s="276"/>
      <c r="G28" s="49"/>
      <c r="H28" s="49"/>
      <c r="I28" s="237"/>
    </row>
    <row r="29" spans="2:9" x14ac:dyDescent="0.35">
      <c r="B29" s="247"/>
      <c r="C29" s="164"/>
      <c r="D29" s="49"/>
      <c r="E29" s="49"/>
      <c r="F29" s="49"/>
      <c r="G29" s="49"/>
      <c r="H29" s="49"/>
      <c r="I29" s="237"/>
    </row>
    <row r="30" spans="2:9" x14ac:dyDescent="0.35">
      <c r="B30" s="245" t="s">
        <v>14</v>
      </c>
      <c r="C30" s="164"/>
      <c r="D30" s="49"/>
      <c r="E30" s="49"/>
      <c r="F30" s="49"/>
      <c r="G30" s="49"/>
      <c r="H30" s="49"/>
      <c r="I30" s="237"/>
    </row>
    <row r="31" spans="2:9" ht="15" thickBot="1" x14ac:dyDescent="0.4">
      <c r="B31" s="246"/>
      <c r="C31" s="164"/>
      <c r="D31" s="229" t="s">
        <v>300</v>
      </c>
      <c r="E31" s="229" t="s">
        <v>301</v>
      </c>
      <c r="F31" s="229" t="s">
        <v>302</v>
      </c>
      <c r="G31" s="49"/>
      <c r="H31" s="49"/>
      <c r="I31" s="237"/>
    </row>
    <row r="32" spans="2:9" x14ac:dyDescent="0.35">
      <c r="B32" s="246"/>
      <c r="C32" s="122" t="s">
        <v>293</v>
      </c>
      <c r="D32" s="277"/>
      <c r="E32" s="277"/>
      <c r="F32" s="277"/>
      <c r="G32" s="49"/>
      <c r="H32" s="49"/>
      <c r="I32" s="237"/>
    </row>
    <row r="33" spans="2:9" x14ac:dyDescent="0.35">
      <c r="B33" s="246"/>
      <c r="C33" s="122" t="s">
        <v>294</v>
      </c>
      <c r="D33" s="276"/>
      <c r="E33" s="276"/>
      <c r="F33" s="276"/>
      <c r="G33" s="49"/>
      <c r="H33" s="49"/>
      <c r="I33" s="237"/>
    </row>
    <row r="34" spans="2:9" x14ac:dyDescent="0.35">
      <c r="B34" s="246"/>
      <c r="C34" s="164"/>
      <c r="D34" s="49"/>
      <c r="E34" s="49"/>
      <c r="F34" s="49"/>
      <c r="G34" s="49"/>
      <c r="H34" s="49"/>
      <c r="I34" s="237"/>
    </row>
    <row r="35" spans="2:9" ht="15" thickBot="1" x14ac:dyDescent="0.4">
      <c r="B35" s="245" t="s">
        <v>305</v>
      </c>
      <c r="C35" s="164"/>
      <c r="D35" s="49"/>
      <c r="E35" s="49"/>
      <c r="F35" s="49"/>
      <c r="G35" s="49"/>
      <c r="H35" s="49"/>
      <c r="I35" s="237"/>
    </row>
    <row r="36" spans="2:9" x14ac:dyDescent="0.35">
      <c r="B36" s="243"/>
      <c r="C36" s="157" t="s">
        <v>330</v>
      </c>
      <c r="D36" s="194"/>
      <c r="E36" s="224" t="s">
        <v>331</v>
      </c>
      <c r="F36" s="49"/>
      <c r="G36" s="49"/>
      <c r="H36" s="49"/>
      <c r="I36" s="237"/>
    </row>
    <row r="37" spans="2:9" x14ac:dyDescent="0.35">
      <c r="B37" s="238"/>
      <c r="C37" s="157" t="s">
        <v>333</v>
      </c>
      <c r="D37" s="195"/>
      <c r="E37" s="224" t="s">
        <v>332</v>
      </c>
      <c r="F37" s="49"/>
      <c r="G37" s="49"/>
      <c r="H37" s="49"/>
      <c r="I37" s="237"/>
    </row>
    <row r="38" spans="2:9" ht="15" thickBot="1" x14ac:dyDescent="0.4">
      <c r="B38" s="239"/>
      <c r="C38" s="240"/>
      <c r="D38" s="241"/>
      <c r="E38" s="241"/>
      <c r="F38" s="241"/>
      <c r="G38" s="241"/>
      <c r="H38" s="241"/>
      <c r="I38" s="242"/>
    </row>
    <row r="39" spans="2:9" ht="15" thickBot="1" x14ac:dyDescent="0.4"/>
    <row r="40" spans="2:9" ht="16" thickBot="1" x14ac:dyDescent="0.4">
      <c r="B40" s="233" t="s">
        <v>309</v>
      </c>
      <c r="C40" s="234"/>
      <c r="D40" s="235"/>
      <c r="E40" s="235"/>
      <c r="F40" s="235"/>
      <c r="G40" s="235"/>
      <c r="H40" s="235"/>
      <c r="I40" s="236"/>
    </row>
    <row r="41" spans="2:9" ht="15" thickTop="1" x14ac:dyDescent="0.35">
      <c r="B41" s="245" t="s">
        <v>128</v>
      </c>
      <c r="C41" s="164"/>
      <c r="D41" s="49"/>
      <c r="E41" s="49"/>
      <c r="F41" s="49"/>
      <c r="G41" s="49"/>
      <c r="H41" s="49"/>
      <c r="I41" s="237"/>
    </row>
    <row r="42" spans="2:9" ht="15" thickBot="1" x14ac:dyDescent="0.4">
      <c r="B42" s="246"/>
      <c r="C42" s="164"/>
      <c r="D42" s="229" t="s">
        <v>297</v>
      </c>
      <c r="E42" s="229" t="s">
        <v>298</v>
      </c>
      <c r="F42" s="229" t="s">
        <v>299</v>
      </c>
      <c r="G42" s="231" t="s">
        <v>378</v>
      </c>
      <c r="H42" s="49"/>
      <c r="I42" s="237"/>
    </row>
    <row r="43" spans="2:9" x14ac:dyDescent="0.35">
      <c r="B43" s="246"/>
      <c r="C43" s="122" t="s">
        <v>304</v>
      </c>
      <c r="D43" s="277"/>
      <c r="E43" s="277"/>
      <c r="F43" s="277"/>
      <c r="G43" s="402"/>
      <c r="H43" s="403"/>
      <c r="I43" s="404"/>
    </row>
    <row r="44" spans="2:9" x14ac:dyDescent="0.35">
      <c r="B44" s="246"/>
      <c r="C44" s="122" t="s">
        <v>296</v>
      </c>
      <c r="D44" s="276"/>
      <c r="E44" s="276"/>
      <c r="F44" s="276"/>
      <c r="G44" s="49"/>
      <c r="H44" s="49"/>
      <c r="I44" s="237"/>
    </row>
    <row r="45" spans="2:9" x14ac:dyDescent="0.35">
      <c r="B45" s="247"/>
      <c r="C45" s="164"/>
      <c r="D45" s="49"/>
      <c r="E45" s="49"/>
      <c r="F45" s="49"/>
      <c r="G45" s="49"/>
      <c r="H45" s="49"/>
      <c r="I45" s="237"/>
    </row>
    <row r="46" spans="2:9" x14ac:dyDescent="0.35">
      <c r="B46" s="245" t="s">
        <v>14</v>
      </c>
      <c r="C46" s="164"/>
      <c r="D46" s="49"/>
      <c r="E46" s="49"/>
      <c r="F46" s="49"/>
      <c r="G46" s="49"/>
      <c r="H46" s="49"/>
      <c r="I46" s="237"/>
    </row>
    <row r="47" spans="2:9" ht="15" thickBot="1" x14ac:dyDescent="0.4">
      <c r="B47" s="246"/>
      <c r="C47" s="164"/>
      <c r="D47" s="229" t="s">
        <v>300</v>
      </c>
      <c r="E47" s="229" t="s">
        <v>301</v>
      </c>
      <c r="F47" s="229" t="s">
        <v>302</v>
      </c>
      <c r="G47" s="49"/>
      <c r="H47" s="49"/>
      <c r="I47" s="237"/>
    </row>
    <row r="48" spans="2:9" x14ac:dyDescent="0.35">
      <c r="B48" s="246"/>
      <c r="C48" s="122" t="s">
        <v>293</v>
      </c>
      <c r="D48" s="277"/>
      <c r="E48" s="277"/>
      <c r="F48" s="277"/>
      <c r="G48" s="49"/>
      <c r="H48" s="49"/>
      <c r="I48" s="237"/>
    </row>
    <row r="49" spans="2:9" x14ac:dyDescent="0.35">
      <c r="B49" s="246"/>
      <c r="C49" s="122" t="s">
        <v>294</v>
      </c>
      <c r="D49" s="276"/>
      <c r="E49" s="276"/>
      <c r="F49" s="276"/>
      <c r="G49" s="49"/>
      <c r="H49" s="49"/>
      <c r="I49" s="237"/>
    </row>
    <row r="50" spans="2:9" x14ac:dyDescent="0.35">
      <c r="B50" s="246"/>
      <c r="C50" s="164"/>
      <c r="D50" s="49"/>
      <c r="E50" s="49"/>
      <c r="F50" s="49"/>
      <c r="G50" s="49"/>
      <c r="H50" s="49"/>
      <c r="I50" s="237"/>
    </row>
    <row r="51" spans="2:9" ht="15" thickBot="1" x14ac:dyDescent="0.4">
      <c r="B51" s="245" t="s">
        <v>305</v>
      </c>
      <c r="C51" s="164"/>
      <c r="D51" s="49"/>
      <c r="E51" s="49"/>
      <c r="F51" s="49"/>
      <c r="G51" s="49"/>
      <c r="H51" s="49"/>
      <c r="I51" s="237"/>
    </row>
    <row r="52" spans="2:9" x14ac:dyDescent="0.35">
      <c r="B52" s="238"/>
      <c r="C52" s="157" t="s">
        <v>330</v>
      </c>
      <c r="D52" s="196"/>
      <c r="E52" s="224" t="s">
        <v>331</v>
      </c>
      <c r="F52" s="49"/>
      <c r="G52" s="49"/>
      <c r="H52" s="49"/>
      <c r="I52" s="237"/>
    </row>
    <row r="53" spans="2:9" x14ac:dyDescent="0.35">
      <c r="B53" s="238"/>
      <c r="C53" s="157" t="s">
        <v>333</v>
      </c>
      <c r="D53" s="197"/>
      <c r="E53" s="224" t="s">
        <v>332</v>
      </c>
      <c r="F53" s="49"/>
      <c r="G53" s="49"/>
      <c r="H53" s="49"/>
      <c r="I53" s="237"/>
    </row>
    <row r="54" spans="2:9" ht="15" thickBot="1" x14ac:dyDescent="0.4">
      <c r="B54" s="239"/>
      <c r="C54" s="240"/>
      <c r="D54" s="241"/>
      <c r="E54" s="241"/>
      <c r="F54" s="241"/>
      <c r="G54" s="241"/>
      <c r="H54" s="241"/>
      <c r="I54" s="242"/>
    </row>
    <row r="55" spans="2:9" ht="15" thickBot="1" x14ac:dyDescent="0.4"/>
    <row r="56" spans="2:9" ht="16" thickBot="1" x14ac:dyDescent="0.4">
      <c r="B56" s="233" t="s">
        <v>310</v>
      </c>
      <c r="C56" s="234"/>
      <c r="D56" s="235"/>
      <c r="E56" s="235"/>
      <c r="F56" s="235"/>
      <c r="G56" s="235"/>
      <c r="H56" s="235"/>
      <c r="I56" s="236"/>
    </row>
    <row r="57" spans="2:9" ht="15" thickTop="1" x14ac:dyDescent="0.35">
      <c r="B57" s="245" t="s">
        <v>128</v>
      </c>
      <c r="C57" s="164"/>
      <c r="D57" s="49"/>
      <c r="E57" s="49"/>
      <c r="F57" s="49"/>
      <c r="G57" s="49"/>
      <c r="H57" s="49"/>
      <c r="I57" s="237"/>
    </row>
    <row r="58" spans="2:9" ht="15" thickBot="1" x14ac:dyDescent="0.4">
      <c r="B58" s="246"/>
      <c r="C58" s="164"/>
      <c r="D58" s="229" t="s">
        <v>297</v>
      </c>
      <c r="E58" s="229" t="s">
        <v>298</v>
      </c>
      <c r="F58" s="229" t="s">
        <v>299</v>
      </c>
      <c r="G58" s="231" t="s">
        <v>378</v>
      </c>
      <c r="H58" s="49"/>
      <c r="I58" s="237"/>
    </row>
    <row r="59" spans="2:9" x14ac:dyDescent="0.35">
      <c r="B59" s="246"/>
      <c r="C59" s="122" t="s">
        <v>304</v>
      </c>
      <c r="D59" s="277"/>
      <c r="E59" s="277"/>
      <c r="F59" s="277"/>
      <c r="G59" s="402"/>
      <c r="H59" s="403"/>
      <c r="I59" s="404"/>
    </row>
    <row r="60" spans="2:9" x14ac:dyDescent="0.35">
      <c r="B60" s="246"/>
      <c r="C60" s="122" t="s">
        <v>296</v>
      </c>
      <c r="D60" s="276"/>
      <c r="E60" s="276"/>
      <c r="F60" s="276"/>
      <c r="G60" s="49"/>
      <c r="H60" s="49"/>
      <c r="I60" s="237"/>
    </row>
    <row r="61" spans="2:9" x14ac:dyDescent="0.35">
      <c r="B61" s="247"/>
      <c r="C61" s="164"/>
      <c r="D61" s="49"/>
      <c r="E61" s="49"/>
      <c r="F61" s="49"/>
      <c r="G61" s="49"/>
      <c r="H61" s="49"/>
      <c r="I61" s="237"/>
    </row>
    <row r="62" spans="2:9" x14ac:dyDescent="0.35">
      <c r="B62" s="245" t="s">
        <v>14</v>
      </c>
      <c r="C62" s="164"/>
      <c r="D62" s="49"/>
      <c r="E62" s="49"/>
      <c r="F62" s="49"/>
      <c r="G62" s="49"/>
      <c r="H62" s="49"/>
      <c r="I62" s="237"/>
    </row>
    <row r="63" spans="2:9" ht="15" thickBot="1" x14ac:dyDescent="0.4">
      <c r="B63" s="246"/>
      <c r="C63" s="164"/>
      <c r="D63" s="229" t="s">
        <v>300</v>
      </c>
      <c r="E63" s="229" t="s">
        <v>301</v>
      </c>
      <c r="F63" s="229" t="s">
        <v>302</v>
      </c>
      <c r="G63" s="49"/>
      <c r="H63" s="49"/>
      <c r="I63" s="237"/>
    </row>
    <row r="64" spans="2:9" x14ac:dyDescent="0.35">
      <c r="B64" s="246"/>
      <c r="C64" s="122" t="s">
        <v>293</v>
      </c>
      <c r="D64" s="277"/>
      <c r="E64" s="277"/>
      <c r="F64" s="277"/>
      <c r="G64" s="49"/>
      <c r="H64" s="49"/>
      <c r="I64" s="237"/>
    </row>
    <row r="65" spans="2:9" x14ac:dyDescent="0.35">
      <c r="B65" s="246"/>
      <c r="C65" s="122" t="s">
        <v>294</v>
      </c>
      <c r="D65" s="276"/>
      <c r="E65" s="276"/>
      <c r="F65" s="276"/>
      <c r="G65" s="49"/>
      <c r="H65" s="49"/>
      <c r="I65" s="237"/>
    </row>
    <row r="66" spans="2:9" x14ac:dyDescent="0.35">
      <c r="B66" s="246"/>
      <c r="C66" s="164"/>
      <c r="D66" s="49"/>
      <c r="E66" s="49"/>
      <c r="F66" s="49"/>
      <c r="G66" s="49"/>
      <c r="H66" s="49"/>
      <c r="I66" s="237"/>
    </row>
    <row r="67" spans="2:9" ht="15" thickBot="1" x14ac:dyDescent="0.4">
      <c r="B67" s="245" t="s">
        <v>305</v>
      </c>
      <c r="C67" s="164"/>
      <c r="D67" s="49"/>
      <c r="E67" s="49"/>
      <c r="F67" s="49"/>
      <c r="G67" s="49"/>
      <c r="H67" s="49"/>
      <c r="I67" s="237"/>
    </row>
    <row r="68" spans="2:9" x14ac:dyDescent="0.35">
      <c r="B68" s="238"/>
      <c r="C68" s="157" t="s">
        <v>330</v>
      </c>
      <c r="D68" s="196"/>
      <c r="E68" s="224" t="s">
        <v>331</v>
      </c>
      <c r="F68" s="49"/>
      <c r="G68" s="49"/>
      <c r="H68" s="49"/>
      <c r="I68" s="237"/>
    </row>
    <row r="69" spans="2:9" x14ac:dyDescent="0.35">
      <c r="B69" s="238"/>
      <c r="C69" s="157" t="s">
        <v>333</v>
      </c>
      <c r="D69" s="197"/>
      <c r="E69" s="224" t="s">
        <v>332</v>
      </c>
      <c r="F69" s="49"/>
      <c r="G69" s="49"/>
      <c r="H69" s="49"/>
      <c r="I69" s="237"/>
    </row>
    <row r="70" spans="2:9" ht="15" thickBot="1" x14ac:dyDescent="0.4">
      <c r="B70" s="239"/>
      <c r="C70" s="240"/>
      <c r="D70" s="241"/>
      <c r="E70" s="241"/>
      <c r="F70" s="241"/>
      <c r="G70" s="241"/>
      <c r="H70" s="241"/>
      <c r="I70" s="242"/>
    </row>
    <row r="71" spans="2:9" x14ac:dyDescent="0.35"/>
    <row r="72" spans="2:9" x14ac:dyDescent="0.35"/>
  </sheetData>
  <mergeCells count="4">
    <mergeCell ref="G27:I27"/>
    <mergeCell ref="G43:I43"/>
    <mergeCell ref="G59:I59"/>
    <mergeCell ref="G12:I12"/>
  </mergeCells>
  <phoneticPr fontId="18" type="noConversion"/>
  <dataValidations count="6">
    <dataValidation type="list" allowBlank="1" showInputMessage="1" showErrorMessage="1" sqref="D27:F27" xr:uid="{10CCF12C-3772-45EB-8A22-DD1303B98D94}">
      <formula1>Packinghouse_Loss</formula1>
    </dataValidation>
    <dataValidation allowBlank="1" showErrorMessage="1" promptTitle="Acres Planted" prompt="Total amount (in acres) of managed area out into production for crop(s) of interest" sqref="B30 B46 B62 B15" xr:uid="{60E2DD82-D623-0C42-990D-98F884A82415}"/>
    <dataValidation type="list" allowBlank="1" showInputMessage="1" showErrorMessage="1" sqref="D43:F43" xr:uid="{1A3D94F0-3443-994E-B34A-F574F4E42049}">
      <formula1>Processing_Loss</formula1>
    </dataValidation>
    <dataValidation type="list" allowBlank="1" showInputMessage="1" showErrorMessage="1" sqref="D59:F59" xr:uid="{EE7C7EF9-1521-6D45-A98E-C12B5842FF7C}">
      <formula1>Storage_Loss</formula1>
    </dataValidation>
    <dataValidation type="list" allowBlank="1" showInputMessage="1" showErrorMessage="1" sqref="D12:F12" xr:uid="{1703A43D-364D-144A-8884-8652BE11550F}">
      <formula1>In_Field_Loss</formula1>
    </dataValidation>
    <dataValidation allowBlank="1" showInputMessage="1" showErrorMessage="1" promptTitle="Moisture Content %" prompt="The amount of water in the product often reported as a percentage." sqref="B20 C21" xr:uid="{6D62BAF4-61B2-EE4D-9F2E-F2952CB951C9}"/>
  </dataValidations>
  <pageMargins left="0.7" right="0.7" top="0.75" bottom="0.75" header="0.3" footer="0.3"/>
  <pageSetup paperSize="9" orientation="landscape" horizontalDpi="0" verticalDpi="0"/>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317AB366-7A21-7E48-A2F9-9140140351C7}">
          <x14:formula1>
            <xm:f>Lists!$A$2:$A$11</xm:f>
          </x14:formula1>
          <xm:sqref>D32:F32 D48:F48 D64:F64 D17:F17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pageSetUpPr fitToPage="1"/>
  </sheetPr>
  <dimension ref="A1:R74"/>
  <sheetViews>
    <sheetView showGridLines="0" showRowColHeaders="0" zoomScale="125" zoomScaleNormal="120" workbookViewId="0">
      <selection activeCell="D14" sqref="D14:D16"/>
    </sheetView>
  </sheetViews>
  <sheetFormatPr defaultColWidth="8.7265625" defaultRowHeight="14.5" zeroHeight="1" x14ac:dyDescent="0.35"/>
  <cols>
    <col min="2" max="2" width="13.453125" style="8" customWidth="1"/>
    <col min="3" max="3" width="45.453125" customWidth="1"/>
    <col min="4" max="4" width="21.453125" customWidth="1"/>
    <col min="5" max="5" width="21.81640625" customWidth="1"/>
    <col min="6" max="6" width="25.7265625" style="29" customWidth="1"/>
    <col min="7" max="7" width="25.7265625" customWidth="1"/>
    <col min="8" max="9" width="21.453125" customWidth="1"/>
    <col min="10" max="10" width="8.7265625" customWidth="1"/>
    <col min="11" max="11" width="21.1796875" customWidth="1"/>
    <col min="12" max="12" width="22.26953125" customWidth="1"/>
    <col min="14" max="14" width="7.1796875" customWidth="1"/>
    <col min="15" max="15" width="9.81640625" customWidth="1"/>
    <col min="17" max="17" width="18.1796875" customWidth="1"/>
  </cols>
  <sheetData>
    <row r="1" spans="1:18" x14ac:dyDescent="0.35"/>
    <row r="2" spans="1:18" x14ac:dyDescent="0.35"/>
    <row r="3" spans="1:18" x14ac:dyDescent="0.35"/>
    <row r="4" spans="1:18" x14ac:dyDescent="0.35"/>
    <row r="5" spans="1:18" x14ac:dyDescent="0.35"/>
    <row r="6" spans="1:18" x14ac:dyDescent="0.35">
      <c r="B6" s="348" t="s">
        <v>405</v>
      </c>
    </row>
    <row r="7" spans="1:18" x14ac:dyDescent="0.35"/>
    <row r="8" spans="1:18" x14ac:dyDescent="0.35">
      <c r="A8" s="49"/>
      <c r="B8" s="106"/>
      <c r="E8" s="49"/>
      <c r="F8" s="107"/>
      <c r="G8" s="49"/>
      <c r="H8" s="166"/>
      <c r="I8" s="166"/>
      <c r="J8" s="49"/>
    </row>
    <row r="9" spans="1:18" x14ac:dyDescent="0.35">
      <c r="A9" s="49"/>
      <c r="B9" s="106"/>
      <c r="C9" s="122"/>
      <c r="D9" s="122"/>
      <c r="E9" s="49"/>
      <c r="F9" s="107"/>
      <c r="G9" s="49"/>
      <c r="H9" s="166"/>
      <c r="I9" s="166"/>
      <c r="J9" s="49"/>
    </row>
    <row r="10" spans="1:18" x14ac:dyDescent="0.35">
      <c r="A10" s="111"/>
      <c r="B10" s="100"/>
      <c r="C10" s="380" t="str">
        <f>_xlfn.CONCAT('1. Harvest Data'!E9," ",'1. Harvest Data'!E10)</f>
        <v xml:space="preserve"> </v>
      </c>
      <c r="D10" s="288" t="str">
        <f>IF('3. Visual Dashboard'!$C$4="container","CONTAINERS/ACRE","LBS/ACRE")</f>
        <v>LBS/ACRE</v>
      </c>
      <c r="E10" s="288" t="str">
        <f>IF('3. Visual Dashboard'!$C$4="container","CONTAINERS","LBS")</f>
        <v>LBS</v>
      </c>
      <c r="F10" s="288"/>
      <c r="G10" s="289"/>
      <c r="H10" s="288" t="str">
        <f>IF('3. Visual Dashboard'!$C$4="container","CONTAINERS/ACRE","LBS/ACRE")</f>
        <v>LBS/ACRE</v>
      </c>
      <c r="I10" s="288" t="str">
        <f>IF('3. Visual Dashboard'!$C$4="container","CONTAINERS","LBS")</f>
        <v>LBS</v>
      </c>
      <c r="J10" s="164"/>
    </row>
    <row r="11" spans="1:18" x14ac:dyDescent="0.35">
      <c r="B11" s="100"/>
      <c r="C11" s="125" t="s">
        <v>127</v>
      </c>
      <c r="D11" s="84" t="s">
        <v>374</v>
      </c>
      <c r="E11" s="84" t="s">
        <v>287</v>
      </c>
      <c r="F11" s="84" t="s">
        <v>267</v>
      </c>
      <c r="G11" s="125" t="s">
        <v>268</v>
      </c>
      <c r="H11" s="84" t="s">
        <v>374</v>
      </c>
      <c r="I11" s="84" t="s">
        <v>287</v>
      </c>
      <c r="J11" s="164"/>
    </row>
    <row r="12" spans="1:18" x14ac:dyDescent="0.35">
      <c r="A12" s="111"/>
      <c r="B12" s="100"/>
      <c r="C12" s="82"/>
      <c r="D12" s="406"/>
      <c r="E12" s="406"/>
      <c r="F12" s="101"/>
      <c r="G12" s="102"/>
      <c r="H12" s="407" t="s">
        <v>264</v>
      </c>
      <c r="I12" s="407"/>
      <c r="J12" s="164"/>
    </row>
    <row r="13" spans="1:18" x14ac:dyDescent="0.35">
      <c r="A13" s="112"/>
      <c r="B13" s="68"/>
      <c r="C13" s="50" t="s">
        <v>129</v>
      </c>
      <c r="D13" s="54" t="str">
        <f>IFERROR(E13/'1. Harvest Data'!E18,"")</f>
        <v/>
      </c>
      <c r="E13" s="54" t="str">
        <f>IFERROR(IF('3. Visual Dashboard'!C4="container",('Check your work'!D4*'Check your work'!D6)/'1. Harvest Data'!E14,'Check your work'!D4*'Check your work'!D6),"")</f>
        <v/>
      </c>
      <c r="F13" s="405" t="str">
        <f>CONCATENATE('Reasons for Loss'!D12,CHAR(10),'Reasons for Loss'!E12,CHAR(10),'Reasons for Loss'!F12)</f>
        <v xml:space="preserve">
</v>
      </c>
      <c r="G13" s="405" t="str">
        <f>CONCATENATE('Reasons for Loss'!D17,CHAR(10),'Reasons for Loss'!E17,CHAR(10),'Reasons for Loss'!F17)</f>
        <v xml:space="preserve">
</v>
      </c>
      <c r="H13" s="99"/>
      <c r="I13" s="85"/>
      <c r="J13" s="49"/>
    </row>
    <row r="14" spans="1:18" ht="17.149999999999999" customHeight="1" x14ac:dyDescent="0.35">
      <c r="A14" s="112"/>
      <c r="B14" s="68"/>
      <c r="C14" s="50" t="s">
        <v>130</v>
      </c>
      <c r="D14" s="52" t="str">
        <f>IFERROR(IF('3. Visual Dashboard'!C4="container",((Lists!Q3*'2. Loss Data'!G23)/('2. Loss Data'!D11*'2. Loss Data'!D14*'2. Loss Data'!D12))/'1. Harvest Data'!E14,(Lists!Q3*'2. Loss Data'!G23)/('2. Loss Data'!D11*'2. Loss Data'!D14*'2. Loss Data'!D12)),"")</f>
        <v/>
      </c>
      <c r="E14" s="126" t="str">
        <f>IFERROR(D14*'1. Harvest Data'!E18,"")</f>
        <v/>
      </c>
      <c r="F14" s="405"/>
      <c r="G14" s="405"/>
      <c r="H14" s="99"/>
      <c r="I14" s="86"/>
      <c r="J14" s="49"/>
    </row>
    <row r="15" spans="1:18" ht="17.149999999999999" customHeight="1" x14ac:dyDescent="0.35">
      <c r="A15" s="112"/>
      <c r="B15" s="68"/>
      <c r="C15" s="50" t="s">
        <v>230</v>
      </c>
      <c r="D15" s="53" t="str">
        <f>IFERROR(IF('3. Visual Dashboard'!C4="container",((Lists!Q3*'2. Loss Data'!G24)/('2. Loss Data'!D11*'2. Loss Data'!D14*'2. Loss Data'!D12))/'1. Harvest Data'!E14,(Lists!Q3*'2. Loss Data'!G24)/('2. Loss Data'!D11*'2. Loss Data'!D14*'2. Loss Data'!D12)),"")</f>
        <v/>
      </c>
      <c r="E15" s="127" t="str">
        <f>IFERROR(D15*'1. Harvest Data'!E18,"")</f>
        <v/>
      </c>
      <c r="F15" s="405"/>
      <c r="G15" s="405"/>
      <c r="H15" s="99"/>
      <c r="I15" s="87"/>
      <c r="J15" s="49"/>
    </row>
    <row r="16" spans="1:18" x14ac:dyDescent="0.35">
      <c r="A16" s="112"/>
      <c r="B16" s="68"/>
      <c r="C16" s="50" t="s">
        <v>257</v>
      </c>
      <c r="D16" s="53" t="str">
        <f>IFERROR(IF('3. Visual Dashboard'!C4="container",((Lists!Q3*'2. Loss Data'!G25)/('2. Loss Data'!D11*'2. Loss Data'!D14*'2. Loss Data'!D12))/'1. Harvest Data'!E14,(Lists!Q3*'2. Loss Data'!G25/('2. Loss Data'!D11*'2. Loss Data'!D14*'2. Loss Data'!D12))),"")</f>
        <v/>
      </c>
      <c r="E16" s="128" t="str">
        <f>IFERROR(D16*'1. Harvest Data'!E18,"")</f>
        <v/>
      </c>
      <c r="F16" s="103"/>
      <c r="G16" s="104"/>
      <c r="H16" s="99"/>
      <c r="I16" s="87"/>
      <c r="J16" s="49"/>
      <c r="Q16" s="71"/>
      <c r="R16" s="72"/>
    </row>
    <row r="17" spans="1:11" ht="17.149999999999999" customHeight="1" x14ac:dyDescent="0.35">
      <c r="A17" s="112"/>
      <c r="B17" s="68"/>
      <c r="C17" s="50" t="s">
        <v>131</v>
      </c>
      <c r="D17" s="54" t="str">
        <f>IFERROR(E17/'1. Harvest Data'!E18,"")</f>
        <v/>
      </c>
      <c r="E17" s="54">
        <f>IFERROR(IF('3. Visual Dashboard'!C4="container",(SUM('Check your work'!I37:I39))/'1. Harvest Data'!E14,SUM('Check your work'!I37:I39)),"")</f>
        <v>0</v>
      </c>
      <c r="F17" s="103"/>
      <c r="G17" s="105"/>
      <c r="H17" s="123" t="str">
        <f>IFERROR(I17/'1. Harvest Data'!E18,"")</f>
        <v/>
      </c>
      <c r="I17" s="124">
        <f>IFERROR(IF('3. Visual Dashboard'!C4="container",(SUM('Check your work'!I43:I45))/'1. Harvest Data'!E14,SUM('Check your work'!I43:I45)),"")</f>
        <v>0</v>
      </c>
      <c r="J17" s="49"/>
    </row>
    <row r="18" spans="1:11" ht="31.5" x14ac:dyDescent="0.35">
      <c r="A18" s="112"/>
      <c r="B18" s="68"/>
      <c r="C18" s="50" t="s">
        <v>16</v>
      </c>
      <c r="D18" s="54" t="str">
        <f>IFERROR(E18/'1. Harvest Data'!E18,"")</f>
        <v/>
      </c>
      <c r="E18" s="54">
        <f>IFERROR(IF('3. Visual Dashboard'!C4="container",('Check your work'!D10-'Check your work'!D11)/'1. Harvest Data'!E14,'Check your work'!D10-'Check your work'!D11),"")</f>
        <v>0</v>
      </c>
      <c r="F18" s="98" t="str">
        <f>CONCATENATE('Reasons for Loss'!D27,CHAR(10),'Reasons for Loss'!E27,CHAR(10),'Reasons for Loss'!F27)</f>
        <v xml:space="preserve">
</v>
      </c>
      <c r="G18" s="98" t="str">
        <f>CONCATENATE('Reasons for Loss'!D32,CHAR(10),'Reasons for Loss'!E32,CHAR(10),'Reasons for Loss'!F32)</f>
        <v xml:space="preserve">
</v>
      </c>
      <c r="H18" s="124" t="str">
        <f>IFERROR(I18/'1. Harvest Data'!E18,"-")</f>
        <v>-</v>
      </c>
      <c r="I18" s="124" t="str">
        <f>IFERROR(IF('3. Visual Dashboard'!C4="container",'Check your work'!D13/'1. Harvest Data'!E14,'Check your work'!D13),"")</f>
        <v>-</v>
      </c>
      <c r="J18" s="49"/>
    </row>
    <row r="19" spans="1:11" ht="31.5" x14ac:dyDescent="0.35">
      <c r="A19" s="112"/>
      <c r="B19" s="68"/>
      <c r="C19" s="50" t="s">
        <v>132</v>
      </c>
      <c r="D19" s="54" t="str">
        <f>IFERROR(E19/'1. Harvest Data'!E18,"")</f>
        <v/>
      </c>
      <c r="E19" s="55">
        <f>IFERROR(IF('3. Visual Dashboard'!C4="container",('Check your work'!D19-'Check your work'!D20)/'1. Harvest Data'!E14,'Check your work'!D19-'Check your work'!D20),"")</f>
        <v>0</v>
      </c>
      <c r="F19" s="98" t="str">
        <f>CONCATENATE('Reasons for Loss'!D43,CHAR(10),'Reasons for Loss'!E43,CHAR(10),'Reasons for Loss'!F43)</f>
        <v xml:space="preserve">
</v>
      </c>
      <c r="G19" s="98" t="str">
        <f>CONCATENATE('Reasons for Loss'!D48,CHAR(10),'Reasons for Loss'!E48,CHAR(10),'Reasons for Loss'!F48)</f>
        <v xml:space="preserve">
</v>
      </c>
      <c r="H19" s="124" t="str">
        <f>IFERROR(I19/'1. Harvest Data'!E18,"-")</f>
        <v>-</v>
      </c>
      <c r="I19" s="124" t="str">
        <f>IFERROR(IF('3. Visual Dashboard'!C4="container",'Check your work'!D22/'1. Harvest Data'!E14,'Check your work'!D22),"")</f>
        <v>-</v>
      </c>
      <c r="J19" s="49"/>
    </row>
    <row r="20" spans="1:11" ht="31.5" x14ac:dyDescent="0.35">
      <c r="A20" s="112"/>
      <c r="B20" s="68"/>
      <c r="C20" s="50" t="s">
        <v>133</v>
      </c>
      <c r="D20" s="54" t="str">
        <f>IFERROR(E20/'1. Harvest Data'!E18,"")</f>
        <v/>
      </c>
      <c r="E20" s="55">
        <f>IFERROR(IF('3. Visual Dashboard'!C4="container",('Check your work'!D28-'Check your work'!D29)/'1. Harvest Data'!E14,'Check your work'!D28-'Check your work'!D29),"")</f>
        <v>0</v>
      </c>
      <c r="F20" s="98" t="str">
        <f>CONCATENATE('Reasons for Loss'!D59,CHAR(10),'Reasons for Loss'!E59,CHAR(10),'Reasons for Loss'!F59)</f>
        <v xml:space="preserve">
</v>
      </c>
      <c r="G20" s="98" t="str">
        <f>CONCATENATE('Reasons for Loss'!D64,CHAR(10),'Reasons for Loss'!E64,CHAR(10),'Reasons for Loss'!F64)</f>
        <v xml:space="preserve">
</v>
      </c>
      <c r="H20" s="124" t="str">
        <f>IFERROR(I20/'1. Harvest Data'!E18,"-")</f>
        <v>-</v>
      </c>
      <c r="I20" s="124" t="str">
        <f>IFERROR(IF('3. Visual Dashboard'!C4="container",'Check your work'!D31/'1. Harvest Data'!E14,'Check your work'!D31),"")</f>
        <v>-</v>
      </c>
      <c r="J20" s="49"/>
    </row>
    <row r="21" spans="1:11" x14ac:dyDescent="0.35">
      <c r="A21" s="112"/>
      <c r="B21" s="68"/>
      <c r="C21" s="50" t="s">
        <v>134</v>
      </c>
      <c r="D21" s="54" t="str">
        <f>IFERROR(E21/'1. Harvest Data'!E18,"")</f>
        <v/>
      </c>
      <c r="E21" s="54">
        <f>IFERROR(IF('3. Visual Dashboard'!C4="container",'1. Harvest Data'!E15/'1. Harvest Data'!E14,'1. Harvest Data'!E15),"")</f>
        <v>0</v>
      </c>
      <c r="F21" s="96"/>
      <c r="G21" s="45"/>
      <c r="H21" s="45"/>
      <c r="I21" s="45"/>
      <c r="J21" s="49"/>
    </row>
    <row r="22" spans="1:11" ht="18" customHeight="1" x14ac:dyDescent="0.35">
      <c r="A22" s="112"/>
      <c r="B22" s="106"/>
      <c r="C22" s="49"/>
      <c r="D22" s="49"/>
      <c r="E22" s="49"/>
      <c r="F22" s="107"/>
      <c r="G22" s="49"/>
      <c r="H22" s="49"/>
      <c r="I22" s="49"/>
      <c r="J22" s="49"/>
    </row>
    <row r="23" spans="1:11" ht="43.5" x14ac:dyDescent="0.35">
      <c r="A23" s="112"/>
      <c r="B23" s="106"/>
      <c r="C23" s="49"/>
      <c r="D23" s="49"/>
      <c r="E23" s="84" t="s">
        <v>421</v>
      </c>
      <c r="F23" s="97"/>
      <c r="G23" s="45"/>
      <c r="H23" s="84"/>
      <c r="I23" s="83" t="s">
        <v>286</v>
      </c>
      <c r="J23" s="49"/>
    </row>
    <row r="24" spans="1:11" x14ac:dyDescent="0.35">
      <c r="A24" s="112"/>
      <c r="B24" s="106"/>
      <c r="C24" s="108" t="s">
        <v>179</v>
      </c>
      <c r="D24" s="49"/>
      <c r="E24" s="95" t="str">
        <f>IFERROR(IF('3. Visual Dashboard'!C4="container",1-SUM(E13:E21)/('Check your work'!D5/'1. Harvest Data'!E14+SUM(E13:E21)),1-SUM(E13:E21)/('Check your work'!D5+SUM(E13:E21))),"")</f>
        <v/>
      </c>
      <c r="F24" s="107"/>
      <c r="G24" s="49"/>
      <c r="H24" s="84"/>
      <c r="I24" s="95" t="str">
        <f>IFERROR(IF('3. Visual Dashboard'!C4="container",1-SUM(E13:E16,IF(I17&gt;0,I17,E17),IF(I18="-",E18,I18),IF(I19="-",E19,I19),IF(I20="-",E20,I20),E21)/('Check your work'!D5/'1. Harvest Data'!E14+SUM(E13:E16,IF(I17&gt;0,I17,E17),IF(I18="-",E18,I18),IF(I19="-",E19,I19),IF(I20="-",E20,I20),E21)),1-SUM(E13:E16,IF(I17&gt;0,I17,E17),IF(I18="-",E18,I18),IF(I19="-",E19,I19),IF(I20="-",E20,I20),E21)/('Check your work'!D5+SUM(E13:E16,IF(I17&gt;0,I17,E17),IF(I18="-",E18,I18),IF(I19="-",E19,I19),IF(I20="-",E20,I20),E21))),"")</f>
        <v/>
      </c>
      <c r="J24" s="49"/>
    </row>
    <row r="25" spans="1:11" x14ac:dyDescent="0.35">
      <c r="A25" s="112"/>
      <c r="B25" s="106"/>
      <c r="C25" s="108" t="s">
        <v>169</v>
      </c>
      <c r="D25" s="49"/>
      <c r="E25" s="62" t="str">
        <f>IFERROR(IF('3. Visual Dashboard'!C4="container",(E14)/('Check your work'!D5/'1. Harvest Data'!E14+E14+E15+E16+E21),(E14)/('Check your work'!D5+E14+E15+E16+E21)),"")</f>
        <v/>
      </c>
      <c r="F25" s="349"/>
      <c r="G25" s="49"/>
      <c r="H25" s="84"/>
      <c r="I25" s="84"/>
      <c r="J25" s="49"/>
    </row>
    <row r="26" spans="1:11" x14ac:dyDescent="0.35">
      <c r="A26" s="112"/>
      <c r="B26" s="106"/>
      <c r="C26" s="108" t="s">
        <v>406</v>
      </c>
      <c r="D26" s="49"/>
      <c r="E26" s="62" t="str">
        <f>IFERROR(IF('3. Visual Dashboard'!C4="container",(E15)/('Check your work'!D5/'1. Harvest Data'!E14+E14+E15+E16+E21),(E15)/('Check your work'!D5+E14+E15+E16+E21)),"")</f>
        <v/>
      </c>
      <c r="F26" s="107"/>
      <c r="G26" s="49"/>
      <c r="H26" s="84"/>
      <c r="I26" s="84"/>
      <c r="J26" s="49"/>
    </row>
    <row r="27" spans="1:11" x14ac:dyDescent="0.35">
      <c r="A27" s="112"/>
      <c r="B27" s="106"/>
      <c r="C27" s="108" t="s">
        <v>259</v>
      </c>
      <c r="D27" s="49"/>
      <c r="E27" s="62" t="str">
        <f>IFERROR(IF('3. Visual Dashboard'!C4="container",E16/('Check your work'!D5/'1. Harvest Data'!E14+E14+E15+E16+E21),E16/('Check your work'!D5+E14+E15+E16+E21)),"")</f>
        <v/>
      </c>
      <c r="F27" s="107"/>
      <c r="G27" s="49"/>
      <c r="H27" s="84"/>
      <c r="I27" s="84"/>
      <c r="J27" s="49"/>
    </row>
    <row r="28" spans="1:11" x14ac:dyDescent="0.35">
      <c r="A28" s="49"/>
      <c r="B28" s="106"/>
      <c r="F28" s="107"/>
      <c r="G28" s="49"/>
      <c r="H28" s="49"/>
      <c r="I28" s="49"/>
      <c r="J28" s="49"/>
      <c r="K28" s="49"/>
    </row>
    <row r="29" spans="1:11" x14ac:dyDescent="0.35">
      <c r="E29" s="56"/>
      <c r="H29" s="56"/>
      <c r="I29" s="56"/>
    </row>
    <row r="30" spans="1:11" x14ac:dyDescent="0.35"/>
    <row r="31" spans="1:11" x14ac:dyDescent="0.35"/>
    <row r="32" spans="1:11" x14ac:dyDescent="0.35"/>
    <row r="33" spans="1:18" ht="17.149999999999999" customHeight="1" x14ac:dyDescent="0.35"/>
    <row r="34" spans="1:18" ht="17.149999999999999" customHeight="1" x14ac:dyDescent="0.35"/>
    <row r="35" spans="1:18" ht="17.149999999999999" customHeight="1" x14ac:dyDescent="0.35"/>
    <row r="36" spans="1:18" ht="17.149999999999999" customHeight="1" x14ac:dyDescent="0.35"/>
    <row r="37" spans="1:18" ht="17.149999999999999" customHeight="1" x14ac:dyDescent="0.35"/>
    <row r="38" spans="1:18" x14ac:dyDescent="0.35"/>
    <row r="39" spans="1:18" x14ac:dyDescent="0.35"/>
    <row r="40" spans="1:18" x14ac:dyDescent="0.35"/>
    <row r="41" spans="1:18" ht="17.149999999999999" customHeight="1" x14ac:dyDescent="0.35"/>
    <row r="42" spans="1:18" x14ac:dyDescent="0.35"/>
    <row r="43" spans="1:18" s="29" customFormat="1" x14ac:dyDescent="0.35">
      <c r="A43"/>
      <c r="B43" s="8"/>
      <c r="C43"/>
      <c r="K43" s="67"/>
      <c r="L43" s="66"/>
    </row>
    <row r="44" spans="1:18" x14ac:dyDescent="0.35">
      <c r="K44" s="67"/>
      <c r="L44" s="66"/>
    </row>
    <row r="45" spans="1:18" x14ac:dyDescent="0.35">
      <c r="K45" s="67"/>
      <c r="L45" s="66"/>
    </row>
    <row r="46" spans="1:18" x14ac:dyDescent="0.35"/>
    <row r="47" spans="1:18" x14ac:dyDescent="0.35">
      <c r="Q47" s="75"/>
      <c r="R47" s="75"/>
    </row>
    <row r="48" spans="1:18" x14ac:dyDescent="0.35"/>
    <row r="49" spans="5:12" x14ac:dyDescent="0.35">
      <c r="E49" s="56"/>
      <c r="H49" s="56"/>
      <c r="I49" s="56"/>
    </row>
    <row r="50" spans="5:12" x14ac:dyDescent="0.35"/>
    <row r="51" spans="5:12" ht="36" customHeight="1" x14ac:dyDescent="0.35"/>
    <row r="52" spans="5:12" x14ac:dyDescent="0.35"/>
    <row r="53" spans="5:12" ht="17.149999999999999" customHeight="1" x14ac:dyDescent="0.35"/>
    <row r="54" spans="5:12" ht="17.149999999999999" customHeight="1" x14ac:dyDescent="0.35"/>
    <row r="55" spans="5:12" ht="17.149999999999999" customHeight="1" x14ac:dyDescent="0.35"/>
    <row r="56" spans="5:12" ht="17.149999999999999" customHeight="1" x14ac:dyDescent="0.35"/>
    <row r="57" spans="5:12" ht="17.149999999999999" customHeight="1" x14ac:dyDescent="0.35"/>
    <row r="58" spans="5:12" x14ac:dyDescent="0.35"/>
    <row r="59" spans="5:12" x14ac:dyDescent="0.35"/>
    <row r="60" spans="5:12" x14ac:dyDescent="0.35"/>
    <row r="61" spans="5:12" ht="17.149999999999999" customHeight="1" x14ac:dyDescent="0.35"/>
    <row r="62" spans="5:12" x14ac:dyDescent="0.35"/>
    <row r="63" spans="5:12" x14ac:dyDescent="0.35">
      <c r="K63" s="67"/>
      <c r="L63" s="66"/>
    </row>
    <row r="64" spans="5:12" x14ac:dyDescent="0.35">
      <c r="K64" s="67"/>
      <c r="L64" s="66"/>
    </row>
    <row r="65" x14ac:dyDescent="0.35"/>
    <row r="66" x14ac:dyDescent="0.35"/>
    <row r="67" x14ac:dyDescent="0.35"/>
    <row r="68" x14ac:dyDescent="0.35"/>
    <row r="69" x14ac:dyDescent="0.35"/>
    <row r="70" x14ac:dyDescent="0.35"/>
    <row r="71" x14ac:dyDescent="0.35"/>
    <row r="72" x14ac:dyDescent="0.35"/>
    <row r="73" x14ac:dyDescent="0.35"/>
    <row r="74" x14ac:dyDescent="0.35"/>
  </sheetData>
  <mergeCells count="4">
    <mergeCell ref="F13:F15"/>
    <mergeCell ref="G13:G15"/>
    <mergeCell ref="D12:E12"/>
    <mergeCell ref="H12:I12"/>
  </mergeCells>
  <dataValidations disablePrompts="1" count="4">
    <dataValidation allowBlank="1" showInputMessage="1" showErrorMessage="1" promptTitle="Crop Utilization" prompt="Percent of a crop that was planted, raised to maturity and harvested for its intended or alternative market." sqref="C24" xr:uid="{6198F218-CA56-446E-8AD0-90FD9D7453E8}"/>
    <dataValidation allowBlank="1" showInputMessage="1" showErrorMessage="1" promptTitle="Edible Loss" prompt="Crop left in-field that does not meet buyers' current quality specifications but is still considered edible for human consumption." sqref="C26" xr:uid="{5429BECC-34F5-483A-9D0E-7825A960BC35}"/>
    <dataValidation allowBlank="1" showInputMessage="1" showErrorMessage="1" promptTitle="Marketable Loss" prompt="Crop loss that meets buyers’ current quality specifications." sqref="C25" xr:uid="{2B93B6A7-30C2-44F8-92DE-619A8B19AB00}"/>
    <dataValidation allowBlank="1" showInputMessage="1" showErrorMessage="1" promptTitle="Inedible Loss" prompt="Crop that is damaged, diseased, showing signs of decay, or over mature" sqref="C27" xr:uid="{56D8AEF2-244A-194C-847E-BF2C68D011D7}"/>
  </dataValidations>
  <pageMargins left="0.7" right="0.7" top="0.75" bottom="0.75" header="0.3" footer="0.3"/>
  <pageSetup scale="67" orientation="landscape"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BFC43-CF93-7F47-91AE-21AD0476B349}">
  <dimension ref="A1:T58"/>
  <sheetViews>
    <sheetView showGridLines="0" showRowColHeaders="0" zoomScale="125" workbookViewId="0"/>
  </sheetViews>
  <sheetFormatPr defaultColWidth="0" defaultRowHeight="14.5" x14ac:dyDescent="0.35"/>
  <cols>
    <col min="1" max="1" width="10.81640625" customWidth="1"/>
    <col min="2" max="2" width="10.81640625" style="130" customWidth="1"/>
    <col min="3" max="3" width="42.1796875" customWidth="1"/>
    <col min="4" max="10" width="10.81640625" customWidth="1"/>
    <col min="11" max="11" width="10.81640625" hidden="1" customWidth="1"/>
    <col min="12" max="20" width="0" hidden="1" customWidth="1"/>
    <col min="21" max="16384" width="10.81640625" hidden="1"/>
  </cols>
  <sheetData>
    <row r="1" spans="2:4" ht="15" thickBot="1" x14ac:dyDescent="0.4">
      <c r="B1" s="130" t="s">
        <v>303</v>
      </c>
    </row>
    <row r="2" spans="2:4" ht="15" thickBot="1" x14ac:dyDescent="0.4">
      <c r="C2" s="18" t="s">
        <v>180</v>
      </c>
      <c r="D2" s="14">
        <f>'1. Harvest Data'!E13*'1. Harvest Data'!E18</f>
        <v>0</v>
      </c>
    </row>
    <row r="3" spans="2:4" ht="15" thickBot="1" x14ac:dyDescent="0.4">
      <c r="C3" s="18"/>
      <c r="D3" s="18"/>
    </row>
    <row r="4" spans="2:4" ht="15" thickBot="1" x14ac:dyDescent="0.4">
      <c r="C4" s="139" t="s">
        <v>270</v>
      </c>
      <c r="D4" s="14">
        <f>'1. Harvest Data'!E17-'1. Harvest Data'!E18-'1. Harvest Data'!E19</f>
        <v>0</v>
      </c>
    </row>
    <row r="5" spans="2:4" ht="15" thickBot="1" x14ac:dyDescent="0.4">
      <c r="C5" s="142" t="s">
        <v>193</v>
      </c>
      <c r="D5" s="14">
        <f>'Check your work'!D2</f>
        <v>0</v>
      </c>
    </row>
    <row r="6" spans="2:4" ht="15" thickBot="1" x14ac:dyDescent="0.4">
      <c r="C6" s="139" t="s">
        <v>194</v>
      </c>
      <c r="D6" s="14" t="str">
        <f>IFERROR('Check your work'!D2/'1. Harvest Data'!E18,"")</f>
        <v/>
      </c>
    </row>
    <row r="9" spans="2:4" ht="15" thickBot="1" x14ac:dyDescent="0.4">
      <c r="B9" s="130" t="s">
        <v>147</v>
      </c>
    </row>
    <row r="10" spans="2:4" ht="15" thickBot="1" x14ac:dyDescent="0.4">
      <c r="C10" s="18" t="s">
        <v>209</v>
      </c>
      <c r="D10" s="148">
        <f>IF('2. Loss Data'!E37="containers",'2. Loss Data'!E38*'1. Harvest Data'!E14,'2. Loss Data'!E38)</f>
        <v>0</v>
      </c>
    </row>
    <row r="11" spans="2:4" ht="15" thickBot="1" x14ac:dyDescent="0.4">
      <c r="C11" s="18" t="s">
        <v>210</v>
      </c>
      <c r="D11" s="148">
        <f>IF('2. Loss Data'!E37="containers",'2. Loss Data'!E39*'1. Harvest Data'!$E$14,'2. Loss Data'!E39)</f>
        <v>0</v>
      </c>
    </row>
    <row r="12" spans="2:4" ht="15" thickBot="1" x14ac:dyDescent="0.4">
      <c r="C12" s="18" t="s">
        <v>260</v>
      </c>
      <c r="D12" s="148">
        <f>D10-D11</f>
        <v>0</v>
      </c>
    </row>
    <row r="13" spans="2:4" ht="15" thickBot="1" x14ac:dyDescent="0.4">
      <c r="C13" s="18" t="s">
        <v>261</v>
      </c>
      <c r="D13" s="148" t="str">
        <f>IF(AND('Reasons for Loss'!D36&gt;0, 'Reasons for Loss'!D37&gt;0),D10*((1-'Reasons for Loss'!D36)/(1-'Reasons for Loss'!D37))-D11,"-")</f>
        <v>-</v>
      </c>
    </row>
    <row r="14" spans="2:4" ht="15" thickBot="1" x14ac:dyDescent="0.4">
      <c r="C14" s="18" t="s">
        <v>262</v>
      </c>
      <c r="D14" s="148" t="str">
        <f>IFERROR(D12/'1. Harvest Data'!E18,"-")</f>
        <v>-</v>
      </c>
    </row>
    <row r="15" spans="2:4" ht="15" thickBot="1" x14ac:dyDescent="0.4">
      <c r="C15" s="18" t="s">
        <v>263</v>
      </c>
      <c r="D15" s="148" t="str">
        <f>IFERROR(D13/'1. Harvest Data'!E18,"-")</f>
        <v>-</v>
      </c>
    </row>
    <row r="18" spans="2:4" ht="15" thickBot="1" x14ac:dyDescent="0.4">
      <c r="B18" s="130" t="s">
        <v>148</v>
      </c>
    </row>
    <row r="19" spans="2:4" ht="15" thickBot="1" x14ac:dyDescent="0.4">
      <c r="C19" s="145" t="s">
        <v>205</v>
      </c>
      <c r="D19" s="148">
        <f>IF('2. Loss Data'!E44="containers",'2. Loss Data'!E45*'1. Harvest Data'!E14,'2. Loss Data'!E45)</f>
        <v>0</v>
      </c>
    </row>
    <row r="20" spans="2:4" ht="15" thickBot="1" x14ac:dyDescent="0.4">
      <c r="C20" s="145" t="s">
        <v>237</v>
      </c>
      <c r="D20" s="148">
        <f>IF('2. Loss Data'!E44="containers",'2. Loss Data'!E46*'1. Harvest Data'!$E$14,'2. Loss Data'!E46)</f>
        <v>0</v>
      </c>
    </row>
    <row r="21" spans="2:4" ht="15" thickBot="1" x14ac:dyDescent="0.4">
      <c r="C21" s="144" t="s">
        <v>260</v>
      </c>
      <c r="D21" s="148">
        <f>D19-D20</f>
        <v>0</v>
      </c>
    </row>
    <row r="22" spans="2:4" ht="29.5" thickBot="1" x14ac:dyDescent="0.4">
      <c r="C22" s="145" t="s">
        <v>261</v>
      </c>
      <c r="D22" s="148" t="str">
        <f>IF(AND('Reasons for Loss'!D52&gt;0, 'Reasons for Loss'!D53&gt;0),D19*((1-'Reasons for Loss'!D52)/(1-'Reasons for Loss'!D53))-D20,"-")</f>
        <v>-</v>
      </c>
    </row>
    <row r="23" spans="2:4" ht="15" thickBot="1" x14ac:dyDescent="0.4">
      <c r="C23" s="146" t="s">
        <v>262</v>
      </c>
      <c r="D23" s="148" t="str">
        <f>IFERROR(D21/'1. Harvest Data'!E18,"-")</f>
        <v>-</v>
      </c>
    </row>
    <row r="24" spans="2:4" ht="29.5" thickBot="1" x14ac:dyDescent="0.4">
      <c r="C24" s="146" t="s">
        <v>263</v>
      </c>
      <c r="D24" s="148" t="str">
        <f>IFERROR(D22/'1. Harvest Data'!E18,"-")</f>
        <v>-</v>
      </c>
    </row>
    <row r="27" spans="2:4" ht="15" thickBot="1" x14ac:dyDescent="0.4">
      <c r="B27" s="130" t="s">
        <v>149</v>
      </c>
    </row>
    <row r="28" spans="2:4" ht="15" thickBot="1" x14ac:dyDescent="0.4">
      <c r="C28" s="145" t="s">
        <v>204</v>
      </c>
      <c r="D28" s="148">
        <f>IF('2. Loss Data'!E51="containers",'2. Loss Data'!E52*'1. Harvest Data'!E14,'2. Loss Data'!E52)</f>
        <v>0</v>
      </c>
    </row>
    <row r="29" spans="2:4" ht="15" thickBot="1" x14ac:dyDescent="0.4">
      <c r="C29" s="145" t="s">
        <v>240</v>
      </c>
      <c r="D29" s="148">
        <f>IF('2. Loss Data'!E51="containers",'2. Loss Data'!E53*'1. Harvest Data'!$E$14,'2. Loss Data'!E53)</f>
        <v>0</v>
      </c>
    </row>
    <row r="30" spans="2:4" ht="15" thickBot="1" x14ac:dyDescent="0.4">
      <c r="C30" s="144" t="s">
        <v>260</v>
      </c>
      <c r="D30" s="148">
        <f>D28-D29</f>
        <v>0</v>
      </c>
    </row>
    <row r="31" spans="2:4" ht="29.5" thickBot="1" x14ac:dyDescent="0.4">
      <c r="C31" s="145" t="s">
        <v>261</v>
      </c>
      <c r="D31" s="148" t="str">
        <f>IF(AND('Reasons for Loss'!D68&gt;0, 'Reasons for Loss'!D69&gt;0),D28*((1-'Reasons for Loss'!D68)/(1-'Reasons for Loss'!D69))-D29,"-")</f>
        <v>-</v>
      </c>
    </row>
    <row r="32" spans="2:4" ht="15" thickBot="1" x14ac:dyDescent="0.4">
      <c r="C32" s="146" t="s">
        <v>262</v>
      </c>
      <c r="D32" s="148" t="str">
        <f>IFERROR(D30/'1. Harvest Data'!E18,"-")</f>
        <v>-</v>
      </c>
    </row>
    <row r="33" spans="2:12" ht="29.5" thickBot="1" x14ac:dyDescent="0.4">
      <c r="C33" s="146" t="s">
        <v>263</v>
      </c>
      <c r="D33" s="148" t="str">
        <f>IFERROR(D31/'1. Harvest Data'!E18,"-")</f>
        <v>-</v>
      </c>
    </row>
    <row r="35" spans="2:12" x14ac:dyDescent="0.35">
      <c r="B35" s="130" t="s">
        <v>306</v>
      </c>
    </row>
    <row r="36" spans="2:12" ht="58.5" thickBot="1" x14ac:dyDescent="0.4">
      <c r="B36" s="142" t="s">
        <v>233</v>
      </c>
      <c r="C36" s="18"/>
      <c r="D36" s="36" t="s">
        <v>181</v>
      </c>
      <c r="E36" s="36" t="s">
        <v>241</v>
      </c>
      <c r="F36" s="36" t="s">
        <v>260</v>
      </c>
      <c r="G36" s="36" t="s">
        <v>235</v>
      </c>
      <c r="H36" s="36" t="s">
        <v>236</v>
      </c>
      <c r="I36" s="36" t="s">
        <v>243</v>
      </c>
      <c r="J36" s="36"/>
    </row>
    <row r="37" spans="2:12" ht="15" thickBot="1" x14ac:dyDescent="0.4">
      <c r="B37" s="142">
        <v>1</v>
      </c>
      <c r="C37" s="170" t="str">
        <f>'2. Loss Data'!J42</f>
        <v>Harvest</v>
      </c>
      <c r="D37" s="38" t="str">
        <f>VLOOKUP('2. Loss Data'!$J42,Backend!$C$5:$I$8,2,FALSE)</f>
        <v>-</v>
      </c>
      <c r="E37" s="38">
        <f>VLOOKUP('2. Loss Data'!$J42,Backend!$C$5:$I$8,3,FALSE)</f>
        <v>0</v>
      </c>
      <c r="F37" s="38" t="str">
        <f>VLOOKUP('2. Loss Data'!$J42,Backend!$C$5:$I$8,4,FALSE)</f>
        <v>-</v>
      </c>
      <c r="G37" s="90" t="str">
        <f>VLOOKUP('2. Loss Data'!$J42,Backend!$C$5:$I$8,6,FALSE)</f>
        <v>-</v>
      </c>
      <c r="H37" s="90">
        <f>VLOOKUP('2. Loss Data'!$J42,Backend!$C$5:$I$8,7,FALSE)</f>
        <v>0</v>
      </c>
      <c r="I37" s="38" t="str">
        <f>IFERROR(IF(D38=0,"",E37-D38),"")</f>
        <v/>
      </c>
    </row>
    <row r="38" spans="2:12" ht="15" thickBot="1" x14ac:dyDescent="0.4">
      <c r="B38" s="142">
        <v>2</v>
      </c>
      <c r="C38" s="170">
        <f>'2. Loss Data'!J43</f>
        <v>0</v>
      </c>
      <c r="D38" s="38" t="str">
        <f>IFERROR(VLOOKUP('2. Loss Data'!$J43,Backend!$C$5:$I$8,2,FALSE),"")</f>
        <v/>
      </c>
      <c r="E38" s="38" t="str">
        <f>IFERROR(VLOOKUP('2. Loss Data'!$J43,Backend!$C$5:$I$8,3,FALSE),"")</f>
        <v/>
      </c>
      <c r="F38" s="38" t="str">
        <f>IFERROR(VLOOKUP('2. Loss Data'!$J43,Backend!$C$5:$I$8,4,FALSE),"")</f>
        <v/>
      </c>
      <c r="G38" s="90" t="str">
        <f>IFERROR(VLOOKUP('2. Loss Data'!$J43,Backend!$C$5:$I$8,6,FALSE),"")</f>
        <v/>
      </c>
      <c r="H38" s="90" t="str">
        <f>IFERROR(VLOOKUP('2. Loss Data'!$J43,Backend!$C$5:$I$8,7,FALSE),"")</f>
        <v/>
      </c>
      <c r="I38" s="38" t="str">
        <f>IFERROR(IF(D39=0,"",E38-D39),"")</f>
        <v/>
      </c>
    </row>
    <row r="39" spans="2:12" ht="15" thickBot="1" x14ac:dyDescent="0.4">
      <c r="B39" s="142">
        <v>3</v>
      </c>
      <c r="C39" s="170">
        <f>'2. Loss Data'!J44</f>
        <v>0</v>
      </c>
      <c r="D39" s="38" t="str">
        <f>IFERROR(VLOOKUP('2. Loss Data'!$J44,Backend!$C$5:$I$8,2,FALSE),"")</f>
        <v/>
      </c>
      <c r="E39" s="38" t="str">
        <f>IFERROR(VLOOKUP('2. Loss Data'!$J44,Backend!$C$5:$I$8,3,FALSE),"")</f>
        <v/>
      </c>
      <c r="F39" s="38" t="str">
        <f>IFERROR(VLOOKUP('2. Loss Data'!$J44,Backend!$C$5:$I$8,4,FALSE),"")</f>
        <v/>
      </c>
      <c r="G39" s="90" t="str">
        <f>IFERROR(VLOOKUP('2. Loss Data'!$J44,Backend!$C$5:$I$8,6,FALSE),"")</f>
        <v/>
      </c>
      <c r="H39" s="90" t="str">
        <f>IFERROR(VLOOKUP('2. Loss Data'!$J44,Backend!$C$5:$I$8,7,FALSE),"")</f>
        <v/>
      </c>
      <c r="I39" s="38" t="str">
        <f>IFERROR(IF(D40=0,"",E39-D40),"")</f>
        <v/>
      </c>
    </row>
    <row r="40" spans="2:12" ht="15" thickBot="1" x14ac:dyDescent="0.4">
      <c r="B40" s="142">
        <v>4</v>
      </c>
      <c r="C40" s="170">
        <f>'2. Loss Data'!J45</f>
        <v>0</v>
      </c>
      <c r="D40" s="38" t="str">
        <f>IFERROR(VLOOKUP('2. Loss Data'!$J45,Backend!$C$5:$I$8,2,FALSE),"")</f>
        <v/>
      </c>
      <c r="E40" s="38" t="str">
        <f>IFERROR(VLOOKUP('2. Loss Data'!$J45,Backend!$C$5:$I$8,3,FALSE),"")</f>
        <v/>
      </c>
      <c r="F40" s="38" t="str">
        <f>IFERROR(VLOOKUP('2. Loss Data'!$J45,Backend!$C$5:$I$8,4,FALSE),"")</f>
        <v/>
      </c>
      <c r="G40" s="90" t="str">
        <f>IFERROR(VLOOKUP('2. Loss Data'!$J45,Backend!$C$5:$I$8,6,FALSE),"")</f>
        <v/>
      </c>
      <c r="H40" s="90" t="str">
        <f>IFERROR(VLOOKUP('2. Loss Data'!$J45,Backend!$C$5:$I$8,7,FALSE),"")</f>
        <v/>
      </c>
      <c r="I40" s="78"/>
    </row>
    <row r="41" spans="2:12" x14ac:dyDescent="0.35">
      <c r="B41" s="29"/>
      <c r="C41" s="29"/>
      <c r="D41" s="29"/>
      <c r="E41" s="29"/>
      <c r="F41" s="29"/>
      <c r="G41" s="91"/>
      <c r="H41" s="91"/>
      <c r="I41" s="29"/>
      <c r="J41" s="29"/>
      <c r="K41" s="29"/>
    </row>
    <row r="42" spans="2:12" ht="102" thickBot="1" x14ac:dyDescent="0.4">
      <c r="E42" s="36" t="s">
        <v>244</v>
      </c>
      <c r="F42" s="36" t="s">
        <v>245</v>
      </c>
      <c r="G42" s="92" t="s">
        <v>235</v>
      </c>
      <c r="H42" s="92" t="s">
        <v>236</v>
      </c>
      <c r="I42" s="15" t="s">
        <v>261</v>
      </c>
      <c r="L42" s="29"/>
    </row>
    <row r="43" spans="2:12" ht="15" thickBot="1" x14ac:dyDescent="0.4">
      <c r="E43" s="38">
        <f>E37</f>
        <v>0</v>
      </c>
      <c r="F43" s="38" t="str">
        <f>D38</f>
        <v/>
      </c>
      <c r="G43" s="90">
        <f>H37</f>
        <v>0</v>
      </c>
      <c r="H43" s="90" t="str">
        <f>G38</f>
        <v/>
      </c>
      <c r="I43" s="38" t="str">
        <f>IFERROR(IF(OR(G43=0,H43=0),"n/a",E43*((1-G43)/(1-H43))-F43),"n/a")</f>
        <v>n/a</v>
      </c>
      <c r="L43" s="29"/>
    </row>
    <row r="44" spans="2:12" ht="15" thickBot="1" x14ac:dyDescent="0.4">
      <c r="E44" s="38" t="str">
        <f>IF(D39=0,"",E38)</f>
        <v/>
      </c>
      <c r="F44" s="38" t="str">
        <f>D39</f>
        <v/>
      </c>
      <c r="G44" s="90" t="str">
        <f>H38</f>
        <v/>
      </c>
      <c r="H44" s="90" t="str">
        <f>G39</f>
        <v/>
      </c>
      <c r="I44" s="38" t="str">
        <f>IFERROR(IF(OR(G44=0,H44=0),"n/a",E44*((1-G44)/(1-H44))-F44),"n/a")</f>
        <v>n/a</v>
      </c>
    </row>
    <row r="45" spans="2:12" ht="15" thickBot="1" x14ac:dyDescent="0.4">
      <c r="E45" s="38" t="str">
        <f>IF(D40=0,"",E39)</f>
        <v/>
      </c>
      <c r="F45" s="38" t="str">
        <f>D40</f>
        <v/>
      </c>
      <c r="G45" s="90" t="str">
        <f>H39</f>
        <v/>
      </c>
      <c r="H45" s="90" t="str">
        <f>G40</f>
        <v/>
      </c>
      <c r="I45" s="38" t="str">
        <f>IFERROR(IF(OR(G45=0,H45=0),"n/a",E45*((1-G45)/(1-H45))-F45),"n/a")</f>
        <v>n/a</v>
      </c>
    </row>
    <row r="46" spans="2:12" x14ac:dyDescent="0.35">
      <c r="B46" s="253"/>
    </row>
    <row r="48" spans="2:12" x14ac:dyDescent="0.35">
      <c r="B48" s="19" t="s">
        <v>272</v>
      </c>
      <c r="E48" s="41"/>
      <c r="F48" s="41"/>
      <c r="G48" s="41"/>
    </row>
    <row r="49" spans="3:20" ht="15" thickBot="1" x14ac:dyDescent="0.4">
      <c r="C49" s="2"/>
      <c r="D49" s="6" t="s">
        <v>170</v>
      </c>
      <c r="E49" s="6" t="s">
        <v>171</v>
      </c>
      <c r="F49" s="6" t="s">
        <v>172</v>
      </c>
      <c r="G49" s="6" t="s">
        <v>173</v>
      </c>
    </row>
    <row r="50" spans="3:20" ht="15" thickBot="1" x14ac:dyDescent="0.4">
      <c r="C50" s="8">
        <f>'1. Harvest Data'!E9</f>
        <v>0</v>
      </c>
      <c r="D50" s="73" t="e">
        <f>('Metric Table'!D14+'Metric Table'!D15)*(0.5*'1. Harvest Data'!E28)-(('Metric Table'!D14+'Metric Table'!D15)*('1. Harvest Data'!E27))</f>
        <v>#VALUE!</v>
      </c>
      <c r="E50" s="73" t="e">
        <f>('Metric Table'!D14+'Metric Table'!D15)*'1. Harvest Data'!E29-('Metric Table'!D14+'Metric Table'!D15)*('1. Harvest Data'!E27)</f>
        <v>#VALUE!</v>
      </c>
      <c r="F50" s="73" t="e">
        <f>(('Metric Table'!D14*'1. Harvest Data'!E28)+('Metric Table'!D15)*(0.5*'1. Harvest Data'!E28))-(('Metric Table'!D14+'Metric Table'!D15)*('1. Harvest Data'!E27))</f>
        <v>#VALUE!</v>
      </c>
      <c r="G50" s="73" t="e">
        <f>(('Metric Table'!D14*'1. Harvest Data'!E28)+('Metric Table'!D15)*'1. Harvest Data'!E29)-(('Metric Table'!D14+'Metric Table'!D15)*('1. Harvest Data'!E27))</f>
        <v>#VALUE!</v>
      </c>
      <c r="H50" s="204" t="s">
        <v>364</v>
      </c>
    </row>
    <row r="51" spans="3:20" x14ac:dyDescent="0.35">
      <c r="O51" s="78"/>
      <c r="P51" s="78"/>
    </row>
    <row r="52" spans="3:20" ht="15" thickBot="1" x14ac:dyDescent="0.4">
      <c r="C52" t="s">
        <v>397</v>
      </c>
      <c r="D52" s="6" t="s">
        <v>170</v>
      </c>
      <c r="E52" s="6" t="s">
        <v>171</v>
      </c>
      <c r="F52" s="6" t="s">
        <v>172</v>
      </c>
      <c r="G52" s="6" t="s">
        <v>173</v>
      </c>
      <c r="O52" s="78"/>
      <c r="P52" s="78"/>
    </row>
    <row r="53" spans="3:20" ht="15" thickBot="1" x14ac:dyDescent="0.4">
      <c r="C53" s="18">
        <f>C50</f>
        <v>0</v>
      </c>
      <c r="D53" s="326" t="e">
        <f>IF(D50&gt;=0,D50,"")</f>
        <v>#VALUE!</v>
      </c>
      <c r="E53" s="326" t="e">
        <f t="shared" ref="E53:G53" si="0">IF(E50&gt;=0,E50,"")</f>
        <v>#VALUE!</v>
      </c>
      <c r="F53" s="326" t="e">
        <f t="shared" si="0"/>
        <v>#VALUE!</v>
      </c>
      <c r="G53" s="326" t="e">
        <f t="shared" si="0"/>
        <v>#VALUE!</v>
      </c>
      <c r="O53" s="78"/>
      <c r="P53" s="78"/>
    </row>
    <row r="54" spans="3:20" ht="15" customHeight="1" thickBot="1" x14ac:dyDescent="0.4">
      <c r="C54" s="18">
        <f>C50</f>
        <v>0</v>
      </c>
      <c r="D54" s="326" t="e">
        <f>IF(D50&lt;0,D50,"")</f>
        <v>#VALUE!</v>
      </c>
      <c r="E54" s="326" t="e">
        <f t="shared" ref="E54:G54" si="1">IF(E50&lt;0,E50,"")</f>
        <v>#VALUE!</v>
      </c>
      <c r="F54" s="326" t="e">
        <f t="shared" si="1"/>
        <v>#VALUE!</v>
      </c>
      <c r="G54" s="326" t="e">
        <f t="shared" si="1"/>
        <v>#VALUE!</v>
      </c>
      <c r="N54" s="46" t="s">
        <v>234</v>
      </c>
      <c r="O54" s="79" t="s">
        <v>181</v>
      </c>
      <c r="P54" s="79" t="s">
        <v>241</v>
      </c>
      <c r="Q54" s="46" t="s">
        <v>246</v>
      </c>
      <c r="R54" s="46" t="s">
        <v>233</v>
      </c>
      <c r="S54" s="46" t="s">
        <v>235</v>
      </c>
      <c r="T54" s="46" t="s">
        <v>236</v>
      </c>
    </row>
    <row r="55" spans="3:20" x14ac:dyDescent="0.35">
      <c r="N55" s="48" t="s">
        <v>152</v>
      </c>
      <c r="O55" s="80" t="s">
        <v>154</v>
      </c>
      <c r="P55" s="59">
        <f>'Add''l Check your work'!O7</f>
        <v>0</v>
      </c>
      <c r="Q55" s="61" t="s">
        <v>154</v>
      </c>
      <c r="R55" s="48">
        <f>RANK(P55,$P$55:$P$58)</f>
        <v>1</v>
      </c>
      <c r="S55" s="69" t="s">
        <v>154</v>
      </c>
      <c r="T55" s="70">
        <f>'Add''l Reasons for Loss'!M16</f>
        <v>0</v>
      </c>
    </row>
    <row r="56" spans="3:20" x14ac:dyDescent="0.35">
      <c r="N56" s="48" t="s">
        <v>147</v>
      </c>
      <c r="O56" s="59">
        <f>'Add''l Check your work'!O12</f>
        <v>0</v>
      </c>
      <c r="P56" s="59">
        <f>'Add''l Check your work'!O13</f>
        <v>0</v>
      </c>
      <c r="Q56" s="59">
        <f>IF(AND(S56=0,T56=0),'Add''l Harvest Data'!Q170,'Add''l Check your work'!O15)</f>
        <v>0</v>
      </c>
      <c r="R56" s="48">
        <f>RANK(P56,$P$55:$P$58)</f>
        <v>1</v>
      </c>
      <c r="S56" s="70">
        <f>'Add''l Reasons for Loss'!M33</f>
        <v>0</v>
      </c>
      <c r="T56" s="70">
        <f>'Add''l Reasons for Loss'!M34</f>
        <v>0</v>
      </c>
    </row>
    <row r="57" spans="3:20" x14ac:dyDescent="0.35">
      <c r="N57" s="48" t="s">
        <v>148</v>
      </c>
      <c r="O57" s="59">
        <f>'Add''l Check your work'!O21</f>
        <v>0</v>
      </c>
      <c r="P57" s="59">
        <f>'Add''l Check your work'!O22</f>
        <v>0</v>
      </c>
      <c r="Q57" s="59">
        <f>IF(AND(S57=0,T57=0),'Add''l Harvest Data'!Q171,'Add''l Check your work'!O24)</f>
        <v>0</v>
      </c>
      <c r="R57" s="48">
        <f>RANK(P57,$P$55:$P$58)</f>
        <v>1</v>
      </c>
      <c r="S57" s="70">
        <f>'Add''l Reasons for Loss'!M52</f>
        <v>0</v>
      </c>
      <c r="T57" s="70">
        <f>'Add''l Reasons for Loss'!M53</f>
        <v>0</v>
      </c>
    </row>
    <row r="58" spans="3:20" x14ac:dyDescent="0.35">
      <c r="N58" s="48" t="s">
        <v>149</v>
      </c>
      <c r="O58" s="59">
        <f>'Add''l Check your work'!O30</f>
        <v>0</v>
      </c>
      <c r="P58" s="59">
        <f>'Add''l Check your work'!O31</f>
        <v>0</v>
      </c>
      <c r="Q58" s="59">
        <f>IF(AND(S58=0,T58=0),'Add''l Harvest Data'!Q172,'Add''l Check your work'!O33)</f>
        <v>0</v>
      </c>
      <c r="R58" s="48">
        <f>RANK(P58,$P$55:$P$58)</f>
        <v>1</v>
      </c>
      <c r="S58" s="70">
        <f>'Add''l Reasons for Loss'!M70</f>
        <v>0</v>
      </c>
      <c r="T58" s="70">
        <f>'Add''l Reasons for Loss'!M71</f>
        <v>0</v>
      </c>
    </row>
  </sheetData>
  <dataValidations disablePrompts="1" count="12">
    <dataValidation allowBlank="1" showInputMessage="1" showErrorMessage="1" promptTitle="Pounds Leaving Packinghouse" prompt="Pounds of specified crop that are loaded onto trucks going to storage facility on farm or leaving the farm_x000a_" sqref="C11" xr:uid="{3C59D794-2C5F-1947-93F4-3229A39E2ECD}"/>
    <dataValidation allowBlank="1" showInputMessage="1" showErrorMessage="1" promptTitle="Pounds Receive at Packinghouse" prompt="Pounds of harvested crop that are received at the packinghouse_x000a_" sqref="C10" xr:uid="{716FCE43-BEB8-C54A-B4CA-893AA62BD098}"/>
    <dataValidation allowBlank="1" showInputMessage="1" showErrorMessage="1" promptTitle="Pounds Received Processing " prompt="Pounds of harvested crop that are received at the processing facility_x000a_" sqref="C19" xr:uid="{C0ED0871-675F-9646-A10F-44035CB5AAD6}"/>
    <dataValidation allowBlank="1" showInputMessage="1" showErrorMessage="1" promptTitle="Pounds Leaving Processing" prompt="Pounds of specified crop that are loaded onto trucks going to storage facility on farm or leaving the farm_x000a_" sqref="C20" xr:uid="{EEF6ED63-0DF5-9E4E-996D-FB4B0BD89284}"/>
    <dataValidation allowBlank="1" showInputMessage="1" showErrorMessage="1" promptTitle="Pounds Entering Storage" prompt="Pounds of the specified crop of interest that are stored over the course of one growing season" sqref="C28" xr:uid="{DEA16000-0040-D243-A21D-1BE8DB741355}"/>
    <dataValidation allowBlank="1" showInputMessage="1" showErrorMessage="1" promptTitle="Pounds Leaving Storage" prompt="Pounds of the crop of interest leaving the storage facility (adjusted within the calculator for any moisture loss while in storage) for the packhouse or for market within the same harvest year entered" sqref="C29" xr:uid="{CDB00C50-4562-1649-A758-958F1A4F5093}"/>
    <dataValidation allowBlank="1" showInputMessage="1" showErrorMessage="1" promptTitle="Immature Acres" prompt="Total amount (in acres) of the managed area that was planted for the crop, but did not reach maturity, for example due to pest or weather damage" sqref="F49" xr:uid="{27F43832-E638-4DD3-9CF7-4F341400E254}"/>
    <dataValidation allowBlank="1" showInputMessage="1" showErrorMessage="1" promptTitle="Acres Harvested" prompt="Total amount (in acres) of managed area per crop that are harvested_x000a_" sqref="E49" xr:uid="{45433A5D-5D37-4CCD-B4FE-C1A874C47461}"/>
    <dataValidation allowBlank="1" showInputMessage="1" showErrorMessage="1" promptTitle="Acres Planted" prompt="Total amount (in acres) of managed area out into production for crop(s) of interest" sqref="D49" xr:uid="{118467D1-45AC-41A1-8A5F-01BFC91C1900}"/>
    <dataValidation allowBlank="1" showErrorMessage="1" promptTitle="Acres Planted" prompt="Total amount (in acres) of managed area out into production for crop(s) of interest" sqref="D52" xr:uid="{173E0D80-A324-0F4E-8D5B-612FD6A0392C}"/>
    <dataValidation allowBlank="1" showErrorMessage="1" promptTitle="Acres Harvested" prompt="Total amount (in acres) of managed area per crop that are harvested_x000a_" sqref="E52" xr:uid="{5349F296-FF0C-C94B-97E9-2A953675B3C0}"/>
    <dataValidation allowBlank="1" showErrorMessage="1" promptTitle="Immature Acres" prompt="Total amount (in acres) of the managed area that was planted for the crop, but did not reach maturity, for example due to pest or weather damage" sqref="F52" xr:uid="{EE1DF8EA-36DE-CD4F-B588-10201025A969}"/>
  </dataValidations>
  <pageMargins left="0.7" right="0.7" top="0.75" bottom="0.75" header="0.3" footer="0.3"/>
  <pageSetup paperSize="9" orientation="landscape" horizontalDpi="0" verticalDpi="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ECD134-42B1-4E67-BBAF-55DC8B6E2A28}">
  <dimension ref="A1:D17"/>
  <sheetViews>
    <sheetView showGridLines="0" showRowColHeaders="0" zoomScale="125" workbookViewId="0"/>
  </sheetViews>
  <sheetFormatPr defaultColWidth="0" defaultRowHeight="14.5" zeroHeight="1" x14ac:dyDescent="0.35"/>
  <cols>
    <col min="1" max="1" width="3.453125" customWidth="1"/>
    <col min="2" max="2" width="28.453125" customWidth="1"/>
    <col min="3" max="3" width="137.453125" customWidth="1"/>
    <col min="4" max="4" width="9.1796875" customWidth="1"/>
    <col min="5" max="16384" width="9.1796875" hidden="1"/>
  </cols>
  <sheetData>
    <row r="1" spans="2:3" x14ac:dyDescent="0.35">
      <c r="B1" s="270" t="s">
        <v>181</v>
      </c>
      <c r="C1" s="270" t="s">
        <v>182</v>
      </c>
    </row>
    <row r="2" spans="2:3" x14ac:dyDescent="0.35">
      <c r="B2" s="271" t="s">
        <v>12</v>
      </c>
      <c r="C2" s="272" t="s">
        <v>203</v>
      </c>
    </row>
    <row r="3" spans="2:3" x14ac:dyDescent="0.35">
      <c r="B3" s="271" t="s">
        <v>11</v>
      </c>
      <c r="C3" s="272" t="s">
        <v>269</v>
      </c>
    </row>
    <row r="4" spans="2:3" x14ac:dyDescent="0.35">
      <c r="B4" s="271" t="s">
        <v>231</v>
      </c>
      <c r="C4" s="271" t="s">
        <v>202</v>
      </c>
    </row>
    <row r="5" spans="2:3" x14ac:dyDescent="0.35">
      <c r="B5" s="271" t="s">
        <v>13</v>
      </c>
      <c r="C5" s="271" t="s">
        <v>196</v>
      </c>
    </row>
    <row r="6" spans="2:3" x14ac:dyDescent="0.35">
      <c r="B6" s="271" t="s">
        <v>248</v>
      </c>
      <c r="C6" s="271" t="s">
        <v>232</v>
      </c>
    </row>
    <row r="7" spans="2:3" x14ac:dyDescent="0.35">
      <c r="B7" s="271" t="s">
        <v>184</v>
      </c>
      <c r="C7" s="271" t="s">
        <v>197</v>
      </c>
    </row>
    <row r="8" spans="2:3" x14ac:dyDescent="0.35">
      <c r="B8" s="271" t="s">
        <v>200</v>
      </c>
      <c r="C8" s="271" t="s">
        <v>201</v>
      </c>
    </row>
    <row r="9" spans="2:3" x14ac:dyDescent="0.35">
      <c r="B9" s="273" t="s">
        <v>191</v>
      </c>
      <c r="C9" s="274" t="s">
        <v>187</v>
      </c>
    </row>
    <row r="10" spans="2:3" x14ac:dyDescent="0.35">
      <c r="B10" s="271" t="s">
        <v>190</v>
      </c>
      <c r="C10" s="271" t="s">
        <v>222</v>
      </c>
    </row>
    <row r="11" spans="2:3" x14ac:dyDescent="0.35">
      <c r="B11" s="271" t="s">
        <v>183</v>
      </c>
      <c r="C11" s="271" t="s">
        <v>189</v>
      </c>
    </row>
    <row r="12" spans="2:3" x14ac:dyDescent="0.35">
      <c r="B12" s="271" t="s">
        <v>133</v>
      </c>
      <c r="C12" s="271" t="s">
        <v>188</v>
      </c>
    </row>
    <row r="13" spans="2:3" ht="29" x14ac:dyDescent="0.35">
      <c r="B13" s="274" t="s">
        <v>192</v>
      </c>
      <c r="C13" s="275" t="s">
        <v>195</v>
      </c>
    </row>
    <row r="14" spans="2:3" x14ac:dyDescent="0.35">
      <c r="B14" s="271" t="s">
        <v>185</v>
      </c>
      <c r="C14" s="271" t="s">
        <v>186</v>
      </c>
    </row>
    <row r="15" spans="2:3" x14ac:dyDescent="0.35">
      <c r="B15" s="271" t="s">
        <v>198</v>
      </c>
      <c r="C15" s="271" t="s">
        <v>199</v>
      </c>
    </row>
    <row r="16" spans="2:3" x14ac:dyDescent="0.35"/>
    <row r="17" x14ac:dyDescent="0.35"/>
  </sheetData>
  <sortState xmlns:xlrd2="http://schemas.microsoft.com/office/spreadsheetml/2017/richdata2" ref="B2:C15">
    <sortCondition ref="B1"/>
  </sortState>
  <pageMargins left="0.7" right="0.7" top="0.75" bottom="0.75" header="0.3" footer="0.3"/>
  <pageSetup paperSize="9" orientation="landscape" horizontalDpi="0" verticalDpi="0"/>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Order1 xmlns="ff1070ca-370c-4daa-a070-d87f4ba30d71" xsi:nil="true"/>
    <Property xmlns="ff1070ca-370c-4daa-a070-d87f4ba30d71" xsi:nil="true"/>
    <Last_x0020_Modified0 xmlns="ff1070ca-370c-4daa-a070-d87f4ba30d71" xsi:nil="true"/>
    <Order3 xmlns="ff1070ca-370c-4daa-a070-d87f4ba30d71" xsi:nil="true"/>
    <Doc_x0020_Type xmlns="ff1070ca-370c-4daa-a070-d87f4ba30d71" xsi:nil="true"/>
    <z05u xmlns="ff1070ca-370c-4daa-a070-d87f4ba30d71" xsi:nil="true"/>
    <Project xmlns="ff1070ca-370c-4daa-a070-d87f4ba30d71" xsi:nil="true"/>
    <Source xmlns="ff1070ca-370c-4daa-a070-d87f4ba30d71" xsi:nil="true"/>
    <Order2 xmlns="ff1070ca-370c-4daa-a070-d87f4ba30d71" xsi:nil="true"/>
    <OrderIndustryProjectManagement xmlns="ff1070ca-370c-4daa-a070-d87f4ba30d71" xsi:nil="true"/>
    <cznj xmlns="ff1070ca-370c-4daa-a070-d87f4ba30d71" xsi:nil="true"/>
    <OrderIndustry xmlns="ff1070ca-370c-4daa-a070-d87f4ba30d71" xsi:nil="true"/>
    <SharedWithUsers xmlns="d643282c-5694-4f6b-be46-dcc35f54b9f0">
      <UserInfo>
        <DisplayName>Gregory Baker</DisplayName>
        <AccountId>667</AccountId>
        <AccountType/>
      </UserInfo>
    </SharedWithUsers>
    <_ip_UnifiedCompliancePolicyUIAction xmlns="http://schemas.microsoft.com/sharepoint/v3" xsi:nil="true"/>
    <_ip_UnifiedCompliancePolicyProperties xmlns="http://schemas.microsoft.com/sharepoint/v3" xsi:nil="true"/>
    <CheckoutINFO xmlns="ff1070ca-370c-4daa-a070-d87f4ba30d71" xsi:nil="true"/>
    <TaxCatchAll xmlns="65a2362d-2255-4a0d-88c5-7d64954319e1" xsi:nil="true"/>
    <lcf76f155ced4ddcb4097134ff3c332f xmlns="ff1070ca-370c-4daa-a070-d87f4ba30d71">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D87E27AACD2724AAFEEFB46DEC45603" ma:contentTypeVersion="34" ma:contentTypeDescription="Create a new document." ma:contentTypeScope="" ma:versionID="fdf5295056ff21175d153677314fcf72">
  <xsd:schema xmlns:xsd="http://www.w3.org/2001/XMLSchema" xmlns:xs="http://www.w3.org/2001/XMLSchema" xmlns:p="http://schemas.microsoft.com/office/2006/metadata/properties" xmlns:ns1="http://schemas.microsoft.com/sharepoint/v3" xmlns:ns2="ff1070ca-370c-4daa-a070-d87f4ba30d71" xmlns:ns3="d643282c-5694-4f6b-be46-dcc35f54b9f0" xmlns:ns4="65a2362d-2255-4a0d-88c5-7d64954319e1" targetNamespace="http://schemas.microsoft.com/office/2006/metadata/properties" ma:root="true" ma:fieldsID="05b395dcb53689751485769c6bcb2764" ns1:_="" ns2:_="" ns3:_="" ns4:_="">
    <xsd:import namespace="http://schemas.microsoft.com/sharepoint/v3"/>
    <xsd:import namespace="ff1070ca-370c-4daa-a070-d87f4ba30d71"/>
    <xsd:import namespace="d643282c-5694-4f6b-be46-dcc35f54b9f0"/>
    <xsd:import namespace="65a2362d-2255-4a0d-88c5-7d64954319e1"/>
    <xsd:element name="properties">
      <xsd:complexType>
        <xsd:sequence>
          <xsd:element name="documentManagement">
            <xsd:complexType>
              <xsd:all>
                <xsd:element ref="ns2:Project" minOccurs="0"/>
                <xsd:element ref="ns2:Last_x0020_Modified0" minOccurs="0"/>
                <xsd:element ref="ns3:SharedWithUsers" minOccurs="0"/>
                <xsd:element ref="ns3:SharedWithDetails" minOccurs="0"/>
                <xsd:element ref="ns2:Doc_x0020_Type" minOccurs="0"/>
                <xsd:element ref="ns2:Property" minOccurs="0"/>
                <xsd:element ref="ns2:Source" minOccurs="0"/>
                <xsd:element ref="ns2:z05u" minOccurs="0"/>
                <xsd:element ref="ns2:MediaServiceMetadata" minOccurs="0"/>
                <xsd:element ref="ns2:MediaServiceFastMetadata" minOccurs="0"/>
                <xsd:element ref="ns2:MediaServiceDateTaken" minOccurs="0"/>
                <xsd:element ref="ns2:MediaServiceAutoTags" minOccurs="0"/>
                <xsd:element ref="ns2:MediaServiceLocation" minOccurs="0"/>
                <xsd:element ref="ns2:Order1" minOccurs="0"/>
                <xsd:element ref="ns2:Order2" minOccurs="0"/>
                <xsd:element ref="ns2:cznj" minOccurs="0"/>
                <xsd:element ref="ns2:Order3" minOccurs="0"/>
                <xsd:element ref="ns2:OrderIndustry" minOccurs="0"/>
                <xsd:element ref="ns2:OrderIndustryProjectManagement" minOccurs="0"/>
                <xsd:element ref="ns2:MediaServiceOCR" minOccurs="0"/>
                <xsd:element ref="ns2:MediaServiceEventHashCode" minOccurs="0"/>
                <xsd:element ref="ns2:MediaServiceGenerationTime" minOccurs="0"/>
                <xsd:element ref="ns1:_ip_UnifiedCompliancePolicyProperties" minOccurs="0"/>
                <xsd:element ref="ns1:_ip_UnifiedCompliancePolicyUIAction" minOccurs="0"/>
                <xsd:element ref="ns2:MediaServiceAutoKeyPoints" minOccurs="0"/>
                <xsd:element ref="ns2:MediaServiceKeyPoints" minOccurs="0"/>
                <xsd:element ref="ns2:CheckoutINFO" minOccurs="0"/>
                <xsd:element ref="ns2:MediaLengthInSeconds"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0" nillable="true" ma:displayName="Unified Compliance Policy Properties" ma:hidden="true" ma:internalName="_ip_UnifiedCompliancePolicyProperties">
      <xsd:simpleType>
        <xsd:restriction base="dms:Note"/>
      </xsd:simpleType>
    </xsd:element>
    <xsd:element name="_ip_UnifiedCompliancePolicyUIAction" ma:index="3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f1070ca-370c-4daa-a070-d87f4ba30d71" elementFormDefault="qualified">
    <xsd:import namespace="http://schemas.microsoft.com/office/2006/documentManagement/types"/>
    <xsd:import namespace="http://schemas.microsoft.com/office/infopath/2007/PartnerControls"/>
    <xsd:element name="Project" ma:index="8" nillable="true" ma:displayName="Project" ma:internalName="Project">
      <xsd:simpleType>
        <xsd:restriction base="dms:Text">
          <xsd:maxLength value="255"/>
        </xsd:restriction>
      </xsd:simpleType>
    </xsd:element>
    <xsd:element name="Last_x0020_Modified0" ma:index="9" nillable="true" ma:displayName="Last Modified" ma:format="DateOnly" ma:internalName="Last_x0020_Modified0">
      <xsd:simpleType>
        <xsd:restriction base="dms:DateTime"/>
      </xsd:simpleType>
    </xsd:element>
    <xsd:element name="Doc_x0020_Type" ma:index="12" nillable="true" ma:displayName="Doc Type" ma:internalName="Doc_x0020_Type">
      <xsd:simpleType>
        <xsd:restriction base="dms:Text"/>
      </xsd:simpleType>
    </xsd:element>
    <xsd:element name="Property" ma:index="13" nillable="true" ma:displayName="Property/Location" ma:internalName="Property">
      <xsd:simpleType>
        <xsd:restriction base="dms:Text"/>
      </xsd:simpleType>
    </xsd:element>
    <xsd:element name="Source" ma:index="14" nillable="true" ma:displayName="Source" ma:internalName="Source">
      <xsd:simpleType>
        <xsd:restriction base="dms:Text"/>
      </xsd:simpleType>
    </xsd:element>
    <xsd:element name="z05u" ma:index="15" nillable="true" ma:displayName="notes" ma:internalName="z05u">
      <xsd:simpleType>
        <xsd:restriction base="dms:Text"/>
      </xsd:simpleType>
    </xsd:element>
    <xsd:element name="MediaServiceMetadata" ma:index="16" nillable="true" ma:displayName="MediaServiceMetadata" ma:description="" ma:hidden="true" ma:internalName="MediaServiceMetadata" ma:readOnly="true">
      <xsd:simpleType>
        <xsd:restriction base="dms:Note"/>
      </xsd:simpleType>
    </xsd:element>
    <xsd:element name="MediaServiceFastMetadata" ma:index="17" nillable="true" ma:displayName="MediaServiceFastMetadata" ma:description="" ma:hidden="true" ma:internalName="MediaServiceFastMetadata" ma:readOnly="true">
      <xsd:simpleType>
        <xsd:restriction base="dms:Note"/>
      </xsd:simpleType>
    </xsd:element>
    <xsd:element name="MediaServiceDateTaken" ma:index="18" nillable="true" ma:displayName="MediaServiceDateTaken" ma:description="" ma:hidden="true" ma:internalName="MediaServiceDateTaken" ma:readOnly="true">
      <xsd:simpleType>
        <xsd:restriction base="dms:Text"/>
      </xsd:simpleType>
    </xsd:element>
    <xsd:element name="MediaServiceAutoTags" ma:index="19" nillable="true" ma:displayName="MediaServiceAutoTags" ma:description="" ma:internalName="MediaServiceAutoTags" ma:readOnly="true">
      <xsd:simpleType>
        <xsd:restriction base="dms:Text"/>
      </xsd:simpleType>
    </xsd:element>
    <xsd:element name="MediaServiceLocation" ma:index="20" nillable="true" ma:displayName="MediaServiceLocation" ma:description="" ma:internalName="MediaServiceLocation" ma:readOnly="true">
      <xsd:simpleType>
        <xsd:restriction base="dms:Text"/>
      </xsd:simpleType>
    </xsd:element>
    <xsd:element name="Order1" ma:index="21" nillable="true" ma:displayName="Order" ma:indexed="true" ma:internalName="Order1">
      <xsd:simpleType>
        <xsd:restriction base="dms:Number"/>
      </xsd:simpleType>
    </xsd:element>
    <xsd:element name="Order2" ma:index="22" nillable="true" ma:displayName="Order2" ma:internalName="Order2">
      <xsd:simpleType>
        <xsd:restriction base="dms:Number"/>
      </xsd:simpleType>
    </xsd:element>
    <xsd:element name="cznj" ma:index="23" nillable="true" ma:displayName="Number" ma:internalName="cznj">
      <xsd:simpleType>
        <xsd:restriction base="dms:Number"/>
      </xsd:simpleType>
    </xsd:element>
    <xsd:element name="Order3" ma:index="24" nillable="true" ma:displayName="Order3" ma:internalName="Order3">
      <xsd:simpleType>
        <xsd:restriction base="dms:Number"/>
      </xsd:simpleType>
    </xsd:element>
    <xsd:element name="OrderIndustry" ma:index="25" nillable="true" ma:displayName="OrderIndustry" ma:internalName="OrderIndustry" ma:percentage="FALSE">
      <xsd:simpleType>
        <xsd:restriction base="dms:Number"/>
      </xsd:simpleType>
    </xsd:element>
    <xsd:element name="OrderIndustryProjectManagement" ma:index="26" nillable="true" ma:displayName="OrderIndustryProjectManagement" ma:internalName="OrderIndustryProjectManagement" ma:percentage="FALSE">
      <xsd:simpleType>
        <xsd:restriction base="dms:Number"/>
      </xsd:simpleType>
    </xsd:element>
    <xsd:element name="MediaServiceOCR" ma:index="27" nillable="true" ma:displayName="MediaServiceOCR" ma:internalName="MediaServiceOCR" ma:readOnly="true">
      <xsd:simpleType>
        <xsd:restriction base="dms:Note">
          <xsd:maxLength value="255"/>
        </xsd:restriction>
      </xsd:simpleType>
    </xsd:element>
    <xsd:element name="MediaServiceEventHashCode" ma:index="28" nillable="true" ma:displayName="MediaServiceEventHashCode" ma:hidden="true" ma:internalName="MediaServiceEventHashCode" ma:readOnly="true">
      <xsd:simpleType>
        <xsd:restriction base="dms:Text"/>
      </xsd:simpleType>
    </xsd:element>
    <xsd:element name="MediaServiceGenerationTime" ma:index="29" nillable="true" ma:displayName="MediaServiceGenerationTime" ma:hidden="true" ma:internalName="MediaServiceGenerationTime" ma:readOnly="true">
      <xsd:simpleType>
        <xsd:restriction base="dms:Text"/>
      </xsd:simpleType>
    </xsd:element>
    <xsd:element name="MediaServiceAutoKeyPoints" ma:index="32" nillable="true" ma:displayName="MediaServiceAutoKeyPoints" ma:hidden="true" ma:internalName="MediaServiceAutoKeyPoints" ma:readOnly="true">
      <xsd:simpleType>
        <xsd:restriction base="dms:Note"/>
      </xsd:simpleType>
    </xsd:element>
    <xsd:element name="MediaServiceKeyPoints" ma:index="33" nillable="true" ma:displayName="KeyPoints" ma:internalName="MediaServiceKeyPoints" ma:readOnly="true">
      <xsd:simpleType>
        <xsd:restriction base="dms:Note">
          <xsd:maxLength value="255"/>
        </xsd:restriction>
      </xsd:simpleType>
    </xsd:element>
    <xsd:element name="CheckoutINFO" ma:index="34" nillable="true" ma:displayName="CheckoutINFO" ma:list="{ff1070ca-370c-4daa-a070-d87f4ba30d71}" ma:internalName="CheckoutINFO" ma:showField="Property">
      <xsd:simpleType>
        <xsd:restriction base="dms:Lookup"/>
      </xsd:simpleType>
    </xsd:element>
    <xsd:element name="MediaLengthInSeconds" ma:index="35" nillable="true" ma:displayName="Length (seconds)" ma:internalName="MediaLengthInSeconds" ma:readOnly="true">
      <xsd:simpleType>
        <xsd:restriction base="dms:Unknown"/>
      </xsd:simpleType>
    </xsd:element>
    <xsd:element name="lcf76f155ced4ddcb4097134ff3c332f" ma:index="37" nillable="true" ma:taxonomy="true" ma:internalName="lcf76f155ced4ddcb4097134ff3c332f" ma:taxonomyFieldName="MediaServiceImageTags" ma:displayName="Image Tags" ma:readOnly="false" ma:fieldId="{5cf76f15-5ced-4ddc-b409-7134ff3c332f}" ma:taxonomyMulti="true" ma:sspId="599606c3-1701-4786-aebd-51d352341c31"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d643282c-5694-4f6b-be46-dcc35f54b9f0" elementFormDefault="qualified">
    <xsd:import namespace="http://schemas.microsoft.com/office/2006/documentManagement/types"/>
    <xsd:import namespace="http://schemas.microsoft.com/office/infopath/2007/PartnerControls"/>
    <xsd:element name="SharedWithUsers" ma:index="10"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5a2362d-2255-4a0d-88c5-7d64954319e1" elementFormDefault="qualified">
    <xsd:import namespace="http://schemas.microsoft.com/office/2006/documentManagement/types"/>
    <xsd:import namespace="http://schemas.microsoft.com/office/infopath/2007/PartnerControls"/>
    <xsd:element name="TaxCatchAll" ma:index="38" nillable="true" ma:displayName="Taxonomy Catch All Column" ma:hidden="true" ma:list="{37dd0f6d-8b9c-46db-aa5d-343457127f94}" ma:internalName="TaxCatchAll" ma:showField="CatchAllData" ma:web="d643282c-5694-4f6b-be46-dcc35f54b9f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D a t a M a s h u p   x m l n s = " h t t p : / / s c h e m a s . m i c r o s o f t . c o m / D a t a M a s h u p " > A A A A A B c D A A B Q S w M E F A A C A A g A K n i / T J l 1 A l W n A A A A + A A A A B I A H A B D b 2 5 m a W c v U G F j a 2 F n Z S 5 4 b W w g o h g A K K A U A A A A A A A A A A A A A A A A A A A A A A A A A A A A h Y 9 N D o I w G E S v Q r q n P x i U k I + y c C u J C d G 4 b W q F R i i G F s v d X H g k r y C J o u 5 c z u R N 8 u Z x u 0 M + t k 1 w V b 3 V n c k Q w x Q F y s j u q E 2 V o c G d w g T l H L Z C n k W l g g k 2 N h 2 t z l D t 3 C U l x H u P / Q J 3 f U U i S h k 5 F J t S 1 q o V o T b W C S M V + q y O / 1 e I w / 4 l w y M c r 3 B M l w l m C Q M y 1 1 B o 8 0 W i y R h T I D 8 l r I f G D b 3 i y o S 7 E s g c g b x f 8 C d Q S w M E F A A C A A g A K n i / T 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C p 4 v 0 w o i k e 4 D g A A A B E A A A A T A B w A R m 9 y b X V s Y X M v U 2 V j d G l v b j E u b S C i G A A o o B Q A A A A A A A A A A A A A A A A A A A A A A A A A A A A r T k 0 u y c z P U w i G 0 I b W A F B L A Q I t A B Q A A g A I A C p 4 v 0 y Z d Q J V p w A A A P g A A A A S A A A A A A A A A A A A A A A A A A A A A A B D b 2 5 m a W c v U G F j a 2 F n Z S 5 4 b W x Q S w E C L Q A U A A I A C A A q e L 9 M D 8 r p q 6 Q A A A D p A A A A E w A A A A A A A A A A A A A A A A D z A A A A W 0 N v b n R l b n R f V H l w Z X N d L n h t b F B L A Q I t A B Q A A g A I A C p 4 v 0 w o i k e 4 D g A A A B E A A A A T A A A A A A A A A A A A A A A A A O Q B A A B G b 3 J t d W x h c y 9 T Z W N 0 a W 9 u M S 5 t U E s F B g A A A A A D A A M A w g A A A D 8 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B s B c y 3 + y X Y Q L T P g 5 j I + u Z I A A A A A A I A A A A A A A N m A A D A A A A A E A A A A N 1 d G f 1 f i m a e A r W c E f I Z p b I A A A A A B I A A A K A A A A A Q A A A A M L 3 T 2 L v B M W b N y 7 N R h 2 9 1 G 1 A A A A A J 9 w p A G d E A 5 l X W E W C A B j P 3 A n J J x K V a a y U T C V P 7 F t 0 Z Q V q q y x D q U h a J X 6 j s 9 K K t 4 x 0 q n X v v A 4 7 5 V I 5 o S 7 T / 6 C G h C T X o U / X b Q J x 6 A 7 i P y k p G 4 R Q A A A D q Z N Q b 1 H U / h c / j J v E e 1 U 7 i K y V O j Q = = < / D a t a M a s h u p > 
</file>

<file path=customXml/itemProps1.xml><?xml version="1.0" encoding="utf-8"?>
<ds:datastoreItem xmlns:ds="http://schemas.openxmlformats.org/officeDocument/2006/customXml" ds:itemID="{023374A8-E97A-44E5-B224-177CBC11E7C4}">
  <ds:schemaRefs>
    <ds:schemaRef ds:uri="http://schemas.microsoft.com/office/2006/documentManagement/types"/>
    <ds:schemaRef ds:uri="http://purl.org/dc/elements/1.1/"/>
    <ds:schemaRef ds:uri="ff1070ca-370c-4daa-a070-d87f4ba30d71"/>
    <ds:schemaRef ds:uri="http://purl.org/dc/terms/"/>
    <ds:schemaRef ds:uri="http://www.w3.org/XML/1998/namespace"/>
    <ds:schemaRef ds:uri="http://purl.org/dc/dcmitype/"/>
    <ds:schemaRef ds:uri="http://schemas.microsoft.com/office/2006/metadata/properties"/>
    <ds:schemaRef ds:uri="http://schemas.microsoft.com/office/infopath/2007/PartnerControls"/>
    <ds:schemaRef ds:uri="http://schemas.openxmlformats.org/package/2006/metadata/core-properties"/>
    <ds:schemaRef ds:uri="d643282c-5694-4f6b-be46-dcc35f54b9f0"/>
    <ds:schemaRef ds:uri="http://schemas.microsoft.com/sharepoint/v3"/>
    <ds:schemaRef ds:uri="65a2362d-2255-4a0d-88c5-7d64954319e1"/>
  </ds:schemaRefs>
</ds:datastoreItem>
</file>

<file path=customXml/itemProps2.xml><?xml version="1.0" encoding="utf-8"?>
<ds:datastoreItem xmlns:ds="http://schemas.openxmlformats.org/officeDocument/2006/customXml" ds:itemID="{7A76AB31-8166-46A8-A2FE-18F6260CB871}">
  <ds:schemaRefs>
    <ds:schemaRef ds:uri="http://schemas.microsoft.com/sharepoint/v3/contenttype/forms"/>
  </ds:schemaRefs>
</ds:datastoreItem>
</file>

<file path=customXml/itemProps3.xml><?xml version="1.0" encoding="utf-8"?>
<ds:datastoreItem xmlns:ds="http://schemas.openxmlformats.org/officeDocument/2006/customXml" ds:itemID="{797EB446-3EC2-4B42-B02B-49C2666083E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f1070ca-370c-4daa-a070-d87f4ba30d71"/>
    <ds:schemaRef ds:uri="d643282c-5694-4f6b-be46-dcc35f54b9f0"/>
    <ds:schemaRef ds:uri="65a2362d-2255-4a0d-88c5-7d64954319e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1777D2C7-12F9-4BDD-B581-82398352DDAF}">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10</vt:i4>
      </vt:variant>
    </vt:vector>
  </HeadingPairs>
  <TitlesOfParts>
    <vt:vector size="31" baseType="lpstr">
      <vt:lpstr>Start Here</vt:lpstr>
      <vt:lpstr>1. Harvest Data</vt:lpstr>
      <vt:lpstr>2. Loss Data</vt:lpstr>
      <vt:lpstr>3. Visual Dashboard</vt:lpstr>
      <vt:lpstr>Optional Information &gt;</vt:lpstr>
      <vt:lpstr>Reasons for Loss</vt:lpstr>
      <vt:lpstr>Metric Table</vt:lpstr>
      <vt:lpstr>Check your work</vt:lpstr>
      <vt:lpstr>Glossary</vt:lpstr>
      <vt:lpstr>Add'l Harvest Data</vt:lpstr>
      <vt:lpstr>Add'l Loss Data</vt:lpstr>
      <vt:lpstr>Add'l Reasons for Loss</vt:lpstr>
      <vt:lpstr>Add'l Visual Dashboard</vt:lpstr>
      <vt:lpstr>Add'l Metric Table</vt:lpstr>
      <vt:lpstr>Add'l Check your work</vt:lpstr>
      <vt:lpstr>Backend</vt:lpstr>
      <vt:lpstr>Contracts-Buyers Worksheet</vt:lpstr>
      <vt:lpstr>Contracts-Buyers Dashboard</vt:lpstr>
      <vt:lpstr>Crop Yields</vt:lpstr>
      <vt:lpstr>Storage Moisture Loss</vt:lpstr>
      <vt:lpstr>Lists</vt:lpstr>
      <vt:lpstr>Crop_Type</vt:lpstr>
      <vt:lpstr>End_of_Life</vt:lpstr>
      <vt:lpstr>In_Field_Loss</vt:lpstr>
      <vt:lpstr>On_Farm_Units</vt:lpstr>
      <vt:lpstr>Packinghouse_Loss</vt:lpstr>
      <vt:lpstr>'2. Loss Data'!Print_Area</vt:lpstr>
      <vt:lpstr>Processing_Loss</vt:lpstr>
      <vt:lpstr>Storage_Loss</vt:lpstr>
      <vt:lpstr>Supply_Chain_Unit</vt:lpstr>
      <vt:lpstr>Yes_No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installer</dc:creator>
  <cp:keywords/>
  <dc:description/>
  <cp:lastModifiedBy>Lisa Johnson</cp:lastModifiedBy>
  <cp:revision/>
  <dcterms:created xsi:type="dcterms:W3CDTF">2018-05-16T15:43:50Z</dcterms:created>
  <dcterms:modified xsi:type="dcterms:W3CDTF">2022-05-16T16:18:41Z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0x0101005D87E27AACD2724AAFEEFB46DEC45603</vt:lpwstr>
  </property>
  <property fmtid="{D5CDD505-2E9C-101B-9397-08002B2CF9AE}" pid="3" name="AuthorIds_UIVersion_512">
    <vt:lpwstr>38</vt:lpwstr>
  </property>
</Properties>
</file>