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jbal\My ShareSync\Client-Active\Slaey 7202\Slaey - Evidence\"/>
    </mc:Choice>
  </mc:AlternateContent>
  <xr:revisionPtr revIDLastSave="0" documentId="8_{415A229C-049C-490A-A0AD-2A4432F534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stment Records (Actual)" sheetId="11" r:id="rId1"/>
    <sheet name="ROI calcluation" sheetId="10" r:id="rId2"/>
    <sheet name="Cash flows summary" sheetId="12" r:id="rId3"/>
    <sheet name="Cash flows (Approx)" sheetId="2" r:id="rId4"/>
    <sheet name="Taxes (Estimated)" sheetId="6" r:id="rId5"/>
    <sheet name="Insurance (Estimated)" sheetId="4" r:id="rId6"/>
    <sheet name="Rental income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5" i="11" l="1"/>
  <c r="P41" i="2"/>
  <c r="P40" i="2"/>
  <c r="P39" i="2"/>
  <c r="D125" i="11"/>
  <c r="G125" i="11" s="1"/>
  <c r="P37" i="2"/>
  <c r="P34" i="2"/>
  <c r="C118" i="11"/>
  <c r="E125" i="11" l="1"/>
  <c r="F125" i="11"/>
  <c r="A138" i="11"/>
  <c r="G92" i="11"/>
  <c r="F92" i="11"/>
  <c r="G88" i="11"/>
  <c r="G89" i="11"/>
  <c r="F88" i="11"/>
  <c r="F89" i="11"/>
  <c r="E88" i="11"/>
  <c r="E82" i="11"/>
  <c r="F82" i="11"/>
  <c r="G82" i="11"/>
  <c r="G79" i="11"/>
  <c r="G76" i="11"/>
  <c r="G73" i="11"/>
  <c r="F73" i="11"/>
  <c r="E73" i="11"/>
  <c r="C123" i="11"/>
  <c r="D117" i="11"/>
  <c r="C117" i="11"/>
  <c r="G111" i="11"/>
  <c r="G119" i="11"/>
  <c r="F119" i="11"/>
  <c r="E119" i="11"/>
  <c r="C128" i="11"/>
  <c r="C129" i="11"/>
  <c r="C99" i="11"/>
  <c r="B99" i="11"/>
  <c r="C91" i="11"/>
  <c r="B91" i="11"/>
  <c r="F79" i="11"/>
  <c r="E79" i="11"/>
  <c r="E76" i="11"/>
  <c r="F76" i="11"/>
  <c r="E72" i="11"/>
  <c r="F72" i="11"/>
  <c r="E68" i="11"/>
  <c r="F68" i="11"/>
  <c r="F65" i="11"/>
  <c r="E65" i="11"/>
  <c r="E62" i="11"/>
  <c r="G85" i="11"/>
  <c r="G86" i="11"/>
  <c r="F85" i="11"/>
  <c r="F86" i="11"/>
  <c r="E85" i="11"/>
  <c r="E86" i="11"/>
  <c r="G136" i="11"/>
  <c r="F136" i="11"/>
  <c r="E136" i="11"/>
  <c r="G132" i="11"/>
  <c r="F132" i="11"/>
  <c r="E132" i="11"/>
  <c r="G135" i="11"/>
  <c r="C131" i="11"/>
  <c r="F131" i="11" s="1"/>
  <c r="G24" i="11"/>
  <c r="F24" i="11"/>
  <c r="E24" i="11"/>
  <c r="B46" i="11"/>
  <c r="B71" i="11"/>
  <c r="F71" i="11" s="1"/>
  <c r="B67" i="11"/>
  <c r="E67" i="11" s="1"/>
  <c r="B64" i="11"/>
  <c r="F64" i="11" s="1"/>
  <c r="B61" i="11"/>
  <c r="E61" i="11" s="1"/>
  <c r="B57" i="11"/>
  <c r="B53" i="11"/>
  <c r="B49" i="11"/>
  <c r="B41" i="11"/>
  <c r="B38" i="11"/>
  <c r="B35" i="11"/>
  <c r="B32" i="11"/>
  <c r="B28" i="11"/>
  <c r="B23" i="11"/>
  <c r="G106" i="11"/>
  <c r="G108" i="11"/>
  <c r="F106" i="11"/>
  <c r="E106" i="11"/>
  <c r="E108" i="11"/>
  <c r="G102" i="11"/>
  <c r="G104" i="11"/>
  <c r="F102" i="11"/>
  <c r="F104" i="11"/>
  <c r="E102" i="11"/>
  <c r="G96" i="11"/>
  <c r="G98" i="11"/>
  <c r="F96" i="11"/>
  <c r="F98" i="11"/>
  <c r="E96" i="11"/>
  <c r="E98" i="11"/>
  <c r="C107" i="11"/>
  <c r="G107" i="11" s="1"/>
  <c r="C97" i="11"/>
  <c r="G97" i="11" s="1"/>
  <c r="C103" i="11"/>
  <c r="G103" i="11" s="1"/>
  <c r="E91" i="11" l="1"/>
  <c r="E64" i="11"/>
  <c r="G99" i="11"/>
  <c r="E71" i="11"/>
  <c r="E97" i="11"/>
  <c r="F91" i="11"/>
  <c r="G91" i="11"/>
  <c r="G71" i="11"/>
  <c r="F99" i="11"/>
  <c r="E99" i="11"/>
  <c r="G64" i="11"/>
  <c r="G67" i="11"/>
  <c r="G131" i="11"/>
  <c r="E135" i="11"/>
  <c r="F135" i="11"/>
  <c r="F67" i="11"/>
  <c r="E131" i="11"/>
  <c r="E107" i="11"/>
  <c r="E103" i="11"/>
  <c r="F97" i="11"/>
  <c r="F103" i="11"/>
  <c r="F107" i="11"/>
  <c r="G42" i="11" l="1"/>
  <c r="G43" i="11"/>
  <c r="G45" i="11"/>
  <c r="G47" i="11"/>
  <c r="G48" i="11"/>
  <c r="G50" i="11"/>
  <c r="G51" i="11"/>
  <c r="G52" i="11"/>
  <c r="G54" i="11"/>
  <c r="G55" i="11"/>
  <c r="G56" i="11"/>
  <c r="G58" i="11"/>
  <c r="G59" i="11"/>
  <c r="G60" i="11"/>
  <c r="F42" i="11"/>
  <c r="F43" i="11"/>
  <c r="F45" i="11"/>
  <c r="F47" i="11"/>
  <c r="F48" i="11"/>
  <c r="F50" i="11"/>
  <c r="F51" i="11"/>
  <c r="F52" i="11"/>
  <c r="F54" i="11"/>
  <c r="F55" i="11"/>
  <c r="F56" i="11"/>
  <c r="F58" i="11"/>
  <c r="F59" i="11"/>
  <c r="F60" i="11"/>
  <c r="E42" i="11"/>
  <c r="E43" i="11"/>
  <c r="E45" i="11"/>
  <c r="E47" i="11"/>
  <c r="E48" i="11"/>
  <c r="E50" i="11"/>
  <c r="E51" i="11"/>
  <c r="E52" i="11"/>
  <c r="E54" i="11"/>
  <c r="E55" i="11"/>
  <c r="E56" i="11"/>
  <c r="E58" i="11"/>
  <c r="E59" i="11"/>
  <c r="C134" i="11"/>
  <c r="E134" i="11" s="1"/>
  <c r="G129" i="11"/>
  <c r="F129" i="11"/>
  <c r="E129" i="11"/>
  <c r="G124" i="11"/>
  <c r="F124" i="11"/>
  <c r="E124" i="11"/>
  <c r="F134" i="11" l="1"/>
  <c r="G134" i="11"/>
  <c r="G127" i="11" l="1"/>
  <c r="F127" i="11"/>
  <c r="E127" i="11"/>
  <c r="G137" i="11"/>
  <c r="F137" i="11"/>
  <c r="E137" i="11"/>
  <c r="F111" i="11"/>
  <c r="F112" i="11"/>
  <c r="E111" i="11"/>
  <c r="E112" i="11"/>
  <c r="G115" i="11"/>
  <c r="F115" i="11"/>
  <c r="E115" i="11"/>
  <c r="G118" i="11"/>
  <c r="F118" i="11"/>
  <c r="E118" i="11"/>
  <c r="G130" i="11"/>
  <c r="G133" i="11"/>
  <c r="F130" i="11"/>
  <c r="F133" i="11"/>
  <c r="E130" i="11"/>
  <c r="G65" i="11"/>
  <c r="F23" i="11"/>
  <c r="C113" i="11"/>
  <c r="B113" i="11"/>
  <c r="C122" i="11"/>
  <c r="B122" i="11"/>
  <c r="F94" i="11"/>
  <c r="F100" i="11"/>
  <c r="F108" i="11"/>
  <c r="F109" i="11"/>
  <c r="F116" i="11"/>
  <c r="F120" i="11"/>
  <c r="F126" i="11"/>
  <c r="G109" i="11"/>
  <c r="G112" i="11"/>
  <c r="G116" i="11"/>
  <c r="G120" i="11"/>
  <c r="G62" i="11"/>
  <c r="G63" i="11"/>
  <c r="G68" i="11"/>
  <c r="G69" i="11"/>
  <c r="G72" i="11"/>
  <c r="G74" i="11"/>
  <c r="G75" i="11"/>
  <c r="G77" i="11"/>
  <c r="G78" i="11"/>
  <c r="G80" i="11"/>
  <c r="G83" i="11"/>
  <c r="G93" i="11"/>
  <c r="G94" i="11"/>
  <c r="G100" i="11"/>
  <c r="F62" i="11"/>
  <c r="F63" i="11"/>
  <c r="F69" i="11"/>
  <c r="F74" i="11"/>
  <c r="F75" i="11"/>
  <c r="F77" i="11"/>
  <c r="F78" i="11"/>
  <c r="F80" i="11"/>
  <c r="F83" i="11"/>
  <c r="F93" i="11"/>
  <c r="E60" i="11"/>
  <c r="E63" i="11"/>
  <c r="E69" i="11"/>
  <c r="E74" i="11"/>
  <c r="E75" i="11"/>
  <c r="E77" i="11"/>
  <c r="E78" i="11"/>
  <c r="E80" i="11"/>
  <c r="E83" i="11"/>
  <c r="E89" i="11"/>
  <c r="E92" i="11"/>
  <c r="E93" i="11"/>
  <c r="E94" i="11"/>
  <c r="E100" i="11"/>
  <c r="E104" i="11"/>
  <c r="E109" i="11"/>
  <c r="E116" i="11"/>
  <c r="B66" i="11"/>
  <c r="G126" i="11"/>
  <c r="E126" i="11"/>
  <c r="E120" i="11"/>
  <c r="B87" i="11"/>
  <c r="D87" i="11"/>
  <c r="G39" i="11"/>
  <c r="F39" i="11"/>
  <c r="E39" i="11"/>
  <c r="G36" i="11"/>
  <c r="F36" i="11"/>
  <c r="E36" i="11"/>
  <c r="G33" i="11"/>
  <c r="F33" i="11"/>
  <c r="E33" i="11"/>
  <c r="G29" i="11"/>
  <c r="F29" i="11"/>
  <c r="E29" i="11"/>
  <c r="D81" i="11"/>
  <c r="B81" i="11"/>
  <c r="B84" i="11"/>
  <c r="G84" i="11" s="1"/>
  <c r="D90" i="11"/>
  <c r="G90" i="11" s="1"/>
  <c r="G28" i="11"/>
  <c r="B26" i="11"/>
  <c r="G26" i="11" s="1"/>
  <c r="G25" i="11"/>
  <c r="G27" i="11"/>
  <c r="G31" i="11"/>
  <c r="G34" i="11"/>
  <c r="G37" i="11"/>
  <c r="G40" i="11"/>
  <c r="F25" i="11"/>
  <c r="F27" i="11"/>
  <c r="F31" i="11"/>
  <c r="F34" i="11"/>
  <c r="F37" i="11"/>
  <c r="F40" i="11"/>
  <c r="E25" i="11"/>
  <c r="E27" i="11"/>
  <c r="E31" i="11"/>
  <c r="E34" i="11"/>
  <c r="E37" i="11"/>
  <c r="E40" i="11"/>
  <c r="G38" i="11"/>
  <c r="G35" i="11"/>
  <c r="D44" i="11"/>
  <c r="E32" i="11"/>
  <c r="B30" i="11"/>
  <c r="G30" i="11" s="1"/>
  <c r="D70" i="11"/>
  <c r="G70" i="11" s="1"/>
  <c r="D95" i="11"/>
  <c r="B95" i="11"/>
  <c r="C101" i="11"/>
  <c r="F101" i="11" s="1"/>
  <c r="C105" i="11"/>
  <c r="B105" i="11"/>
  <c r="C110" i="11"/>
  <c r="B110" i="11"/>
  <c r="G7" i="11"/>
  <c r="G10" i="11"/>
  <c r="G13" i="11"/>
  <c r="G16" i="11"/>
  <c r="G19" i="11"/>
  <c r="F7" i="11"/>
  <c r="F10" i="11"/>
  <c r="F13" i="11"/>
  <c r="F16" i="11"/>
  <c r="F19" i="11"/>
  <c r="E7" i="11"/>
  <c r="E10" i="11"/>
  <c r="E13" i="11"/>
  <c r="E16" i="11"/>
  <c r="E19" i="11"/>
  <c r="C21" i="11"/>
  <c r="C20" i="11"/>
  <c r="C18" i="11"/>
  <c r="C17" i="11"/>
  <c r="C15" i="11"/>
  <c r="C12" i="11"/>
  <c r="C9" i="11"/>
  <c r="C6" i="11"/>
  <c r="B21" i="11"/>
  <c r="B18" i="11"/>
  <c r="B15" i="11"/>
  <c r="B12" i="11"/>
  <c r="B9" i="11"/>
  <c r="B6" i="11"/>
  <c r="B20" i="11"/>
  <c r="B17" i="11"/>
  <c r="C14" i="11"/>
  <c r="B14" i="11"/>
  <c r="C11" i="11"/>
  <c r="B11" i="11"/>
  <c r="C8" i="11"/>
  <c r="B8" i="11"/>
  <c r="C5" i="11"/>
  <c r="B5" i="11"/>
  <c r="B22" i="11"/>
  <c r="E22" i="11" s="1"/>
  <c r="E133" i="11"/>
  <c r="F128" i="11"/>
  <c r="G123" i="11"/>
  <c r="D121" i="11"/>
  <c r="B121" i="11"/>
  <c r="B117" i="11"/>
  <c r="C114" i="11"/>
  <c r="E114" i="11" s="1"/>
  <c r="G4" i="11"/>
  <c r="F4" i="11"/>
  <c r="E4" i="11"/>
  <c r="E105" i="11" l="1"/>
  <c r="G110" i="11"/>
  <c r="F113" i="11"/>
  <c r="E113" i="11"/>
  <c r="G87" i="11"/>
  <c r="G57" i="11"/>
  <c r="F57" i="11"/>
  <c r="E57" i="11"/>
  <c r="G46" i="11"/>
  <c r="F46" i="11"/>
  <c r="E46" i="11"/>
  <c r="F61" i="11"/>
  <c r="G61" i="11"/>
  <c r="F44" i="11"/>
  <c r="G44" i="11"/>
  <c r="E44" i="11"/>
  <c r="G41" i="11"/>
  <c r="F41" i="11"/>
  <c r="E41" i="11"/>
  <c r="G49" i="11"/>
  <c r="F49" i="11"/>
  <c r="E49" i="11"/>
  <c r="G53" i="11"/>
  <c r="F53" i="11"/>
  <c r="E53" i="11"/>
  <c r="F110" i="11"/>
  <c r="F114" i="11"/>
  <c r="G128" i="11"/>
  <c r="G81" i="11"/>
  <c r="G121" i="11"/>
  <c r="E95" i="11"/>
  <c r="E110" i="11"/>
  <c r="E117" i="11"/>
  <c r="E122" i="11"/>
  <c r="F81" i="11"/>
  <c r="G101" i="11"/>
  <c r="F87" i="11"/>
  <c r="E101" i="11"/>
  <c r="G117" i="11"/>
  <c r="E90" i="11"/>
  <c r="F121" i="11"/>
  <c r="F95" i="11"/>
  <c r="G21" i="11"/>
  <c r="G122" i="11"/>
  <c r="B138" i="11"/>
  <c r="F105" i="11"/>
  <c r="F90" i="11"/>
  <c r="F123" i="11"/>
  <c r="G95" i="11"/>
  <c r="E81" i="11"/>
  <c r="F122" i="11"/>
  <c r="E84" i="11"/>
  <c r="G105" i="11"/>
  <c r="E70" i="11"/>
  <c r="F84" i="11"/>
  <c r="D66" i="11"/>
  <c r="D138" i="11" s="1"/>
  <c r="F70" i="11"/>
  <c r="F117" i="11"/>
  <c r="E87" i="11"/>
  <c r="G114" i="11"/>
  <c r="G113" i="11"/>
  <c r="G8" i="11"/>
  <c r="E26" i="11"/>
  <c r="G32" i="11"/>
  <c r="G11" i="11"/>
  <c r="F35" i="11"/>
  <c r="G12" i="11"/>
  <c r="F17" i="11"/>
  <c r="E35" i="11"/>
  <c r="F38" i="11"/>
  <c r="F32" i="11"/>
  <c r="F21" i="11"/>
  <c r="F5" i="11"/>
  <c r="E30" i="11"/>
  <c r="G23" i="11"/>
  <c r="E14" i="11"/>
  <c r="G18" i="11"/>
  <c r="G20" i="11"/>
  <c r="E38" i="11"/>
  <c r="F30" i="11"/>
  <c r="E23" i="11"/>
  <c r="E6" i="11"/>
  <c r="F12" i="11"/>
  <c r="E9" i="11"/>
  <c r="G15" i="11"/>
  <c r="E28" i="11"/>
  <c r="F28" i="11"/>
  <c r="F26" i="11"/>
  <c r="F8" i="11"/>
  <c r="E15" i="11"/>
  <c r="F15" i="11"/>
  <c r="F11" i="11"/>
  <c r="E11" i="11"/>
  <c r="F14" i="11"/>
  <c r="G5" i="11"/>
  <c r="E17" i="11"/>
  <c r="E21" i="11"/>
  <c r="E8" i="11"/>
  <c r="E20" i="11"/>
  <c r="F9" i="11"/>
  <c r="G17" i="11"/>
  <c r="E5" i="11"/>
  <c r="G9" i="11"/>
  <c r="E12" i="11"/>
  <c r="F22" i="11"/>
  <c r="F6" i="11"/>
  <c r="E18" i="11"/>
  <c r="F20" i="11"/>
  <c r="G22" i="11"/>
  <c r="G14" i="11"/>
  <c r="G6" i="11"/>
  <c r="F18" i="11"/>
  <c r="E121" i="11"/>
  <c r="E128" i="11"/>
  <c r="C138" i="11"/>
  <c r="E123" i="11"/>
  <c r="E11" i="10"/>
  <c r="R41" i="2"/>
  <c r="E42" i="2"/>
  <c r="J42" i="2" s="1"/>
  <c r="E41" i="2"/>
  <c r="Y41" i="2" s="1"/>
  <c r="H22" i="2"/>
  <c r="C35" i="4"/>
  <c r="C34" i="4"/>
  <c r="C31" i="4"/>
  <c r="C30" i="4"/>
  <c r="C27" i="4"/>
  <c r="O30" i="2" s="1"/>
  <c r="Y30" i="2" s="1"/>
  <c r="C26" i="4"/>
  <c r="O29" i="2" s="1"/>
  <c r="Y29" i="2" s="1"/>
  <c r="C23" i="4"/>
  <c r="O26" i="2" s="1"/>
  <c r="Y26" i="2" s="1"/>
  <c r="C22" i="4"/>
  <c r="O25" i="2" s="1"/>
  <c r="Y25" i="2" s="1"/>
  <c r="C19" i="4"/>
  <c r="O22" i="2" s="1"/>
  <c r="C18" i="4"/>
  <c r="O21" i="2" s="1"/>
  <c r="Y21" i="2" s="1"/>
  <c r="B38" i="4"/>
  <c r="B37" i="4"/>
  <c r="C37" i="4" s="1"/>
  <c r="B36" i="4"/>
  <c r="C36" i="4" s="1"/>
  <c r="B35" i="4"/>
  <c r="B34" i="4"/>
  <c r="B33" i="4"/>
  <c r="C33" i="4" s="1"/>
  <c r="B32" i="4"/>
  <c r="C32" i="4" s="1"/>
  <c r="B31" i="4"/>
  <c r="B30" i="4"/>
  <c r="B29" i="4"/>
  <c r="C29" i="4" s="1"/>
  <c r="B28" i="4"/>
  <c r="C28" i="4" s="1"/>
  <c r="O31" i="2" s="1"/>
  <c r="Y31" i="2" s="1"/>
  <c r="B27" i="4"/>
  <c r="B26" i="4"/>
  <c r="B25" i="4"/>
  <c r="C25" i="4" s="1"/>
  <c r="O28" i="2" s="1"/>
  <c r="Y28" i="2" s="1"/>
  <c r="B24" i="4"/>
  <c r="C24" i="4" s="1"/>
  <c r="O27" i="2" s="1"/>
  <c r="Y27" i="2" s="1"/>
  <c r="B23" i="4"/>
  <c r="B22" i="4"/>
  <c r="B21" i="4"/>
  <c r="C21" i="4" s="1"/>
  <c r="O24" i="2" s="1"/>
  <c r="Y24" i="2" s="1"/>
  <c r="B20" i="4"/>
  <c r="C20" i="4" s="1"/>
  <c r="O23" i="2" s="1"/>
  <c r="Y23" i="2" s="1"/>
  <c r="B19" i="4"/>
  <c r="B18" i="4"/>
  <c r="B17" i="4"/>
  <c r="C17" i="4" s="1"/>
  <c r="O20" i="2" s="1"/>
  <c r="Y20" i="2" s="1"/>
  <c r="N42" i="2"/>
  <c r="T42" i="2" s="1"/>
  <c r="T41" i="2"/>
  <c r="AC42" i="2"/>
  <c r="AA42" i="2"/>
  <c r="Z42" i="2"/>
  <c r="W42" i="2"/>
  <c r="V42" i="2"/>
  <c r="AC41" i="2"/>
  <c r="AA41" i="2"/>
  <c r="Z41" i="2"/>
  <c r="W41" i="2"/>
  <c r="AC40" i="2"/>
  <c r="AA40" i="2"/>
  <c r="Z40" i="2"/>
  <c r="W40" i="2"/>
  <c r="V40" i="2"/>
  <c r="AC39" i="2"/>
  <c r="AA39" i="2"/>
  <c r="Z39" i="2"/>
  <c r="W39" i="2"/>
  <c r="V39" i="2"/>
  <c r="AC38" i="2"/>
  <c r="AA38" i="2"/>
  <c r="Z38" i="2"/>
  <c r="W38" i="2"/>
  <c r="V38" i="2"/>
  <c r="AC37" i="2"/>
  <c r="AA37" i="2"/>
  <c r="Z37" i="2"/>
  <c r="W37" i="2"/>
  <c r="V37" i="2"/>
  <c r="AC36" i="2"/>
  <c r="AA36" i="2"/>
  <c r="Z36" i="2"/>
  <c r="W36" i="2"/>
  <c r="V36" i="2"/>
  <c r="AC35" i="2"/>
  <c r="AA35" i="2"/>
  <c r="Z35" i="2"/>
  <c r="W35" i="2"/>
  <c r="V35" i="2"/>
  <c r="AC34" i="2"/>
  <c r="AA34" i="2"/>
  <c r="Z34" i="2"/>
  <c r="W34" i="2"/>
  <c r="V34" i="2"/>
  <c r="AC33" i="2"/>
  <c r="AA33" i="2"/>
  <c r="Z33" i="2"/>
  <c r="W33" i="2"/>
  <c r="V33" i="2"/>
  <c r="AC32" i="2"/>
  <c r="AA32" i="2"/>
  <c r="Z32" i="2"/>
  <c r="W32" i="2"/>
  <c r="V32" i="2"/>
  <c r="AC31" i="2"/>
  <c r="AA31" i="2"/>
  <c r="Z31" i="2"/>
  <c r="W31" i="2"/>
  <c r="V31" i="2"/>
  <c r="AC30" i="2"/>
  <c r="AA30" i="2"/>
  <c r="Z30" i="2"/>
  <c r="W30" i="2"/>
  <c r="V30" i="2"/>
  <c r="AC29" i="2"/>
  <c r="AA29" i="2"/>
  <c r="Z29" i="2"/>
  <c r="W29" i="2"/>
  <c r="V29" i="2"/>
  <c r="AA28" i="2"/>
  <c r="Z28" i="2"/>
  <c r="W28" i="2"/>
  <c r="V28" i="2"/>
  <c r="AA27" i="2"/>
  <c r="Z27" i="2"/>
  <c r="W27" i="2"/>
  <c r="V27" i="2"/>
  <c r="AA26" i="2"/>
  <c r="Z26" i="2"/>
  <c r="W26" i="2"/>
  <c r="V26" i="2"/>
  <c r="AA25" i="2"/>
  <c r="Z25" i="2"/>
  <c r="W25" i="2"/>
  <c r="V25" i="2"/>
  <c r="AA24" i="2"/>
  <c r="Z24" i="2"/>
  <c r="W24" i="2"/>
  <c r="V24" i="2"/>
  <c r="AA23" i="2"/>
  <c r="Z23" i="2"/>
  <c r="W23" i="2"/>
  <c r="V23" i="2"/>
  <c r="AA22" i="2"/>
  <c r="Z22" i="2"/>
  <c r="W22" i="2"/>
  <c r="V22" i="2"/>
  <c r="AA21" i="2"/>
  <c r="Z21" i="2"/>
  <c r="W21" i="2"/>
  <c r="V21" i="2"/>
  <c r="AA20" i="2"/>
  <c r="Z20" i="2"/>
  <c r="W20" i="2"/>
  <c r="V20" i="2"/>
  <c r="AA19" i="2"/>
  <c r="Z19" i="2"/>
  <c r="W19" i="2"/>
  <c r="V19" i="2"/>
  <c r="AA18" i="2"/>
  <c r="Z18" i="2"/>
  <c r="W18" i="2"/>
  <c r="V18" i="2"/>
  <c r="AA17" i="2"/>
  <c r="Z17" i="2"/>
  <c r="W17" i="2"/>
  <c r="V17" i="2"/>
  <c r="AA16" i="2"/>
  <c r="Z16" i="2"/>
  <c r="W16" i="2"/>
  <c r="V16" i="2"/>
  <c r="AA15" i="2"/>
  <c r="Z15" i="2"/>
  <c r="W15" i="2"/>
  <c r="V15" i="2"/>
  <c r="AA14" i="2"/>
  <c r="Z14" i="2"/>
  <c r="W14" i="2"/>
  <c r="V14" i="2"/>
  <c r="AA13" i="2"/>
  <c r="Z13" i="2"/>
  <c r="W13" i="2"/>
  <c r="V13" i="2"/>
  <c r="AA12" i="2"/>
  <c r="Z12" i="2"/>
  <c r="W12" i="2"/>
  <c r="V12" i="2"/>
  <c r="AA11" i="2"/>
  <c r="Z11" i="2"/>
  <c r="W11" i="2"/>
  <c r="V11" i="2"/>
  <c r="AC10" i="2"/>
  <c r="AA10" i="2"/>
  <c r="Z10" i="2"/>
  <c r="W10" i="2"/>
  <c r="V10" i="2"/>
  <c r="AC9" i="2"/>
  <c r="AA9" i="2"/>
  <c r="Z9" i="2"/>
  <c r="W9" i="2"/>
  <c r="V9" i="2"/>
  <c r="AC8" i="2"/>
  <c r="AA8" i="2"/>
  <c r="Z8" i="2"/>
  <c r="W8" i="2"/>
  <c r="V8" i="2"/>
  <c r="AC7" i="2"/>
  <c r="AA7" i="2"/>
  <c r="Z7" i="2"/>
  <c r="W7" i="2"/>
  <c r="V7" i="2"/>
  <c r="AC6" i="2"/>
  <c r="AA6" i="2"/>
  <c r="Z6" i="2"/>
  <c r="W6" i="2"/>
  <c r="V6" i="2"/>
  <c r="AC5" i="2"/>
  <c r="AA5" i="2"/>
  <c r="Z5" i="2"/>
  <c r="W5" i="2"/>
  <c r="H44" i="6"/>
  <c r="H43" i="6"/>
  <c r="I44" i="6" s="1"/>
  <c r="B41" i="2" s="1"/>
  <c r="V41" i="2" s="1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E35" i="2" l="1"/>
  <c r="Y35" i="2" s="1"/>
  <c r="O35" i="2"/>
  <c r="E39" i="2"/>
  <c r="O39" i="2"/>
  <c r="O32" i="2"/>
  <c r="E32" i="2"/>
  <c r="E36" i="2"/>
  <c r="O36" i="2"/>
  <c r="O40" i="2"/>
  <c r="E40" i="2"/>
  <c r="O34" i="2"/>
  <c r="E34" i="2"/>
  <c r="O38" i="2"/>
  <c r="Y38" i="2" s="1"/>
  <c r="E38" i="2"/>
  <c r="R42" i="2"/>
  <c r="O33" i="2"/>
  <c r="E33" i="2"/>
  <c r="Y33" i="2" s="1"/>
  <c r="O37" i="2"/>
  <c r="E37" i="2"/>
  <c r="Y37" i="2" s="1"/>
  <c r="G66" i="11"/>
  <c r="E66" i="11"/>
  <c r="F66" i="11"/>
  <c r="J30" i="2"/>
  <c r="Y22" i="2"/>
  <c r="H12" i="2"/>
  <c r="H16" i="2"/>
  <c r="H20" i="2"/>
  <c r="H24" i="2"/>
  <c r="H28" i="2"/>
  <c r="H13" i="2"/>
  <c r="H17" i="2"/>
  <c r="H21" i="2"/>
  <c r="H25" i="2"/>
  <c r="H29" i="2"/>
  <c r="H41" i="2"/>
  <c r="H14" i="2"/>
  <c r="H18" i="2"/>
  <c r="H26" i="2"/>
  <c r="H30" i="2"/>
  <c r="H42" i="2"/>
  <c r="Y42" i="2"/>
  <c r="H11" i="2"/>
  <c r="H15" i="2"/>
  <c r="H19" i="2"/>
  <c r="H23" i="2"/>
  <c r="H27" i="2"/>
  <c r="H31" i="2"/>
  <c r="X41" i="2"/>
  <c r="AB41" i="2" s="1"/>
  <c r="AD42" i="2"/>
  <c r="J31" i="2"/>
  <c r="J29" i="2"/>
  <c r="J41" i="2"/>
  <c r="AD41" i="2" s="1"/>
  <c r="X42" i="2"/>
  <c r="AB42" i="2" s="1"/>
  <c r="Y34" i="2" l="1"/>
  <c r="Y36" i="2"/>
  <c r="Y39" i="2"/>
  <c r="Y40" i="2"/>
  <c r="Y32" i="2"/>
  <c r="F42" i="6" l="1"/>
  <c r="I42" i="6" s="1"/>
  <c r="F41" i="6"/>
  <c r="I41" i="6" s="1"/>
  <c r="F40" i="6"/>
  <c r="I40" i="6" s="1"/>
  <c r="F39" i="6"/>
  <c r="I39" i="6" s="1"/>
  <c r="F38" i="6"/>
  <c r="I38" i="6" s="1"/>
  <c r="F37" i="6"/>
  <c r="I37" i="6" s="1"/>
  <c r="F36" i="6"/>
  <c r="I36" i="6" s="1"/>
  <c r="F35" i="6"/>
  <c r="I35" i="6" s="1"/>
  <c r="F34" i="6"/>
  <c r="I34" i="6" s="1"/>
  <c r="N31" i="2" s="1"/>
  <c r="F33" i="6"/>
  <c r="I33" i="6" s="1"/>
  <c r="N30" i="2" s="1"/>
  <c r="F32" i="6"/>
  <c r="I32" i="6" s="1"/>
  <c r="N29" i="2" s="1"/>
  <c r="F31" i="6"/>
  <c r="I31" i="6" s="1"/>
  <c r="N28" i="2" s="1"/>
  <c r="F30" i="6"/>
  <c r="I30" i="6" s="1"/>
  <c r="N27" i="2" s="1"/>
  <c r="F29" i="6"/>
  <c r="I29" i="6" s="1"/>
  <c r="N26" i="2" s="1"/>
  <c r="F28" i="6"/>
  <c r="I28" i="6" s="1"/>
  <c r="N25" i="2" s="1"/>
  <c r="F27" i="6"/>
  <c r="I27" i="6" s="1"/>
  <c r="N24" i="2" s="1"/>
  <c r="F26" i="6"/>
  <c r="I26" i="6" s="1"/>
  <c r="N23" i="2" s="1"/>
  <c r="F25" i="6"/>
  <c r="I25" i="6" s="1"/>
  <c r="N22" i="2" s="1"/>
  <c r="F24" i="6"/>
  <c r="I24" i="6" s="1"/>
  <c r="N21" i="2" s="1"/>
  <c r="F23" i="6"/>
  <c r="I23" i="6" s="1"/>
  <c r="N20" i="2" s="1"/>
  <c r="F43" i="6"/>
  <c r="I43" i="6" s="1"/>
  <c r="D8" i="6"/>
  <c r="B2" i="4" s="1"/>
  <c r="C2" i="4" s="1"/>
  <c r="D6" i="6"/>
  <c r="A22" i="6"/>
  <c r="A21" i="6" s="1"/>
  <c r="A20" i="6" s="1"/>
  <c r="A19" i="6" s="1"/>
  <c r="A18" i="6" s="1"/>
  <c r="A17" i="6" s="1"/>
  <c r="A16" i="6" s="1"/>
  <c r="A15" i="6" s="1"/>
  <c r="A14" i="6" s="1"/>
  <c r="A13" i="6" s="1"/>
  <c r="A12" i="6" s="1"/>
  <c r="A11" i="6" s="1"/>
  <c r="A10" i="6" s="1"/>
  <c r="A9" i="6" s="1"/>
  <c r="A8" i="6" s="1"/>
  <c r="G43" i="2"/>
  <c r="G4" i="12" s="1"/>
  <c r="Q43" i="2"/>
  <c r="G5" i="12" s="1"/>
  <c r="S43" i="2"/>
  <c r="P43" i="2"/>
  <c r="F5" i="12" s="1"/>
  <c r="M43" i="2"/>
  <c r="C5" i="12" s="1"/>
  <c r="L43" i="2"/>
  <c r="B5" i="12" s="1"/>
  <c r="F43" i="2"/>
  <c r="F4" i="12" s="1"/>
  <c r="C43" i="2"/>
  <c r="B43" i="2"/>
  <c r="F52" i="3"/>
  <c r="I26" i="2" s="1"/>
  <c r="I21" i="2"/>
  <c r="F37" i="3"/>
  <c r="I23" i="2" s="1"/>
  <c r="E37" i="3"/>
  <c r="E36" i="3"/>
  <c r="E35" i="3"/>
  <c r="F12" i="3"/>
  <c r="I19" i="2"/>
  <c r="I18" i="2"/>
  <c r="I17" i="2"/>
  <c r="I16" i="2"/>
  <c r="I15" i="2"/>
  <c r="I14" i="2"/>
  <c r="I13" i="2"/>
  <c r="I12" i="2"/>
  <c r="E1" i="3"/>
  <c r="I11" i="2" s="1"/>
  <c r="E9" i="3"/>
  <c r="E10" i="3"/>
  <c r="I20" i="2" s="1"/>
  <c r="D56" i="3"/>
  <c r="E56" i="3"/>
  <c r="F57" i="3" s="1"/>
  <c r="I28" i="2" s="1"/>
  <c r="X20" i="2" l="1"/>
  <c r="AB20" i="2" s="1"/>
  <c r="R20" i="2"/>
  <c r="T20" i="2"/>
  <c r="D32" i="2"/>
  <c r="N32" i="2"/>
  <c r="I24" i="2"/>
  <c r="C4" i="10"/>
  <c r="C11" i="10" s="1"/>
  <c r="I5" i="12"/>
  <c r="O5" i="2"/>
  <c r="E5" i="2"/>
  <c r="F8" i="6"/>
  <c r="I8" i="6" s="1"/>
  <c r="T21" i="2"/>
  <c r="R21" i="2"/>
  <c r="X21" i="2"/>
  <c r="AB21" i="2" s="1"/>
  <c r="T25" i="2"/>
  <c r="R25" i="2"/>
  <c r="X25" i="2"/>
  <c r="AB25" i="2" s="1"/>
  <c r="T29" i="2"/>
  <c r="AD29" i="2" s="1"/>
  <c r="R29" i="2"/>
  <c r="X29" i="2"/>
  <c r="AB29" i="2" s="1"/>
  <c r="D33" i="2"/>
  <c r="N33" i="2"/>
  <c r="D37" i="2"/>
  <c r="N37" i="2"/>
  <c r="X28" i="2"/>
  <c r="AB28" i="2" s="1"/>
  <c r="R28" i="2"/>
  <c r="T28" i="2"/>
  <c r="I25" i="2"/>
  <c r="J25" i="2" s="1"/>
  <c r="AD25" i="2" s="1"/>
  <c r="D9" i="6"/>
  <c r="T22" i="2"/>
  <c r="X22" i="2"/>
  <c r="AB22" i="2" s="1"/>
  <c r="R22" i="2"/>
  <c r="T26" i="2"/>
  <c r="R26" i="2"/>
  <c r="X26" i="2"/>
  <c r="AB26" i="2" s="1"/>
  <c r="T30" i="2"/>
  <c r="AD30" i="2" s="1"/>
  <c r="X30" i="2"/>
  <c r="AB30" i="2" s="1"/>
  <c r="R30" i="2"/>
  <c r="N34" i="2"/>
  <c r="D34" i="2"/>
  <c r="N38" i="2"/>
  <c r="D38" i="2"/>
  <c r="I27" i="2"/>
  <c r="W43" i="2"/>
  <c r="C6" i="12" s="1"/>
  <c r="C4" i="12"/>
  <c r="D40" i="2"/>
  <c r="N40" i="2"/>
  <c r="X24" i="2"/>
  <c r="AB24" i="2" s="1"/>
  <c r="T24" i="2"/>
  <c r="R24" i="2"/>
  <c r="D36" i="2"/>
  <c r="N36" i="2"/>
  <c r="H24" i="3"/>
  <c r="V43" i="2"/>
  <c r="B6" i="12" s="1"/>
  <c r="B4" i="12"/>
  <c r="X23" i="2"/>
  <c r="AB23" i="2" s="1"/>
  <c r="T23" i="2"/>
  <c r="R23" i="2"/>
  <c r="T27" i="2"/>
  <c r="R27" i="2"/>
  <c r="X27" i="2"/>
  <c r="AB27" i="2" s="1"/>
  <c r="X31" i="2"/>
  <c r="AB31" i="2" s="1"/>
  <c r="T31" i="2"/>
  <c r="AD31" i="2" s="1"/>
  <c r="R31" i="2"/>
  <c r="N35" i="2"/>
  <c r="D35" i="2"/>
  <c r="D39" i="2"/>
  <c r="N39" i="2"/>
  <c r="Z43" i="2"/>
  <c r="F6" i="12" s="1"/>
  <c r="AA43" i="2"/>
  <c r="G6" i="12" s="1"/>
  <c r="J15" i="2"/>
  <c r="AC15" i="2"/>
  <c r="J24" i="2"/>
  <c r="AD24" i="2" s="1"/>
  <c r="AC24" i="2"/>
  <c r="J13" i="2"/>
  <c r="AC13" i="2"/>
  <c r="J17" i="2"/>
  <c r="AC17" i="2"/>
  <c r="J26" i="2"/>
  <c r="AD26" i="2" s="1"/>
  <c r="AC26" i="2"/>
  <c r="J14" i="2"/>
  <c r="AC14" i="2"/>
  <c r="J18" i="2"/>
  <c r="AC18" i="2"/>
  <c r="J21" i="2"/>
  <c r="AC21" i="2"/>
  <c r="J27" i="2"/>
  <c r="AD27" i="2" s="1"/>
  <c r="AC27" i="2"/>
  <c r="J11" i="2"/>
  <c r="AC11" i="2"/>
  <c r="J19" i="2"/>
  <c r="AC19" i="2"/>
  <c r="J12" i="2"/>
  <c r="AC12" i="2"/>
  <c r="J16" i="2"/>
  <c r="AC16" i="2"/>
  <c r="J20" i="2"/>
  <c r="AD20" i="2" s="1"/>
  <c r="AC20" i="2"/>
  <c r="J23" i="2"/>
  <c r="AC23" i="2"/>
  <c r="J28" i="2"/>
  <c r="AD28" i="2" s="1"/>
  <c r="AC28" i="2"/>
  <c r="V5" i="2"/>
  <c r="AD23" i="2" l="1"/>
  <c r="J34" i="2"/>
  <c r="H34" i="2"/>
  <c r="X34" i="2"/>
  <c r="AB34" i="2" s="1"/>
  <c r="T37" i="2"/>
  <c r="R37" i="2"/>
  <c r="J32" i="2"/>
  <c r="X32" i="2"/>
  <c r="AB32" i="2" s="1"/>
  <c r="H32" i="2"/>
  <c r="X39" i="2"/>
  <c r="AB39" i="2" s="1"/>
  <c r="H39" i="2"/>
  <c r="J39" i="2"/>
  <c r="H36" i="2"/>
  <c r="X36" i="2"/>
  <c r="AB36" i="2" s="1"/>
  <c r="J36" i="2"/>
  <c r="T40" i="2"/>
  <c r="R40" i="2"/>
  <c r="T34" i="2"/>
  <c r="R34" i="2"/>
  <c r="H37" i="2"/>
  <c r="J37" i="2"/>
  <c r="AD37" i="2" s="1"/>
  <c r="X37" i="2"/>
  <c r="AB37" i="2" s="1"/>
  <c r="N5" i="2"/>
  <c r="D5" i="2"/>
  <c r="R35" i="2"/>
  <c r="T35" i="2"/>
  <c r="R39" i="2"/>
  <c r="T39" i="2"/>
  <c r="R36" i="2"/>
  <c r="T36" i="2"/>
  <c r="AC25" i="2"/>
  <c r="AD21" i="2"/>
  <c r="H35" i="2"/>
  <c r="J35" i="2"/>
  <c r="AD35" i="2" s="1"/>
  <c r="X35" i="2"/>
  <c r="AB35" i="2" s="1"/>
  <c r="X40" i="2"/>
  <c r="AB40" i="2" s="1"/>
  <c r="H40" i="2"/>
  <c r="J40" i="2"/>
  <c r="AD40" i="2" s="1"/>
  <c r="H38" i="2"/>
  <c r="J38" i="2"/>
  <c r="X38" i="2"/>
  <c r="AB38" i="2" s="1"/>
  <c r="T33" i="2"/>
  <c r="R33" i="2"/>
  <c r="Y5" i="2"/>
  <c r="T38" i="2"/>
  <c r="R38" i="2"/>
  <c r="B3" i="4"/>
  <c r="C3" i="4" s="1"/>
  <c r="D10" i="6"/>
  <c r="F9" i="6"/>
  <c r="I9" i="6" s="1"/>
  <c r="H33" i="2"/>
  <c r="J33" i="2"/>
  <c r="X33" i="2"/>
  <c r="AB33" i="2" s="1"/>
  <c r="T5" i="2"/>
  <c r="T32" i="2"/>
  <c r="R32" i="2"/>
  <c r="D6" i="2" l="1"/>
  <c r="N6" i="2"/>
  <c r="D11" i="6"/>
  <c r="B4" i="4"/>
  <c r="C4" i="4" s="1"/>
  <c r="F10" i="6"/>
  <c r="I10" i="6" s="1"/>
  <c r="AD34" i="2"/>
  <c r="O6" i="2"/>
  <c r="E6" i="2"/>
  <c r="AD38" i="2"/>
  <c r="J5" i="2"/>
  <c r="AD5" i="2" s="1"/>
  <c r="X5" i="2"/>
  <c r="AB5" i="2" s="1"/>
  <c r="H5" i="2"/>
  <c r="AD39" i="2"/>
  <c r="AD33" i="2"/>
  <c r="R5" i="2"/>
  <c r="AD36" i="2"/>
  <c r="AD32" i="2"/>
  <c r="O7" i="2" l="1"/>
  <c r="E7" i="2"/>
  <c r="Y7" i="2" s="1"/>
  <c r="T6" i="2"/>
  <c r="D12" i="6"/>
  <c r="B5" i="4"/>
  <c r="C5" i="4" s="1"/>
  <c r="F11" i="6"/>
  <c r="I11" i="6" s="1"/>
  <c r="R6" i="2"/>
  <c r="Y6" i="2"/>
  <c r="N7" i="2"/>
  <c r="D7" i="2"/>
  <c r="H6" i="2"/>
  <c r="J6" i="2"/>
  <c r="AD6" i="2" s="1"/>
  <c r="X6" i="2"/>
  <c r="O8" i="2" l="1"/>
  <c r="E8" i="2"/>
  <c r="X7" i="2"/>
  <c r="AB7" i="2" s="1"/>
  <c r="H7" i="2"/>
  <c r="J7" i="2"/>
  <c r="D13" i="6"/>
  <c r="B6" i="4"/>
  <c r="C6" i="4" s="1"/>
  <c r="F12" i="6"/>
  <c r="I12" i="6" s="1"/>
  <c r="D8" i="2"/>
  <c r="N8" i="2"/>
  <c r="AB6" i="2"/>
  <c r="R7" i="2"/>
  <c r="T7" i="2"/>
  <c r="F25" i="3"/>
  <c r="I22" i="2" s="1"/>
  <c r="E51" i="3"/>
  <c r="E59" i="3" s="1"/>
  <c r="E60" i="3" s="1"/>
  <c r="Y8" i="2" l="1"/>
  <c r="AD7" i="2"/>
  <c r="J8" i="2"/>
  <c r="X8" i="2"/>
  <c r="H8" i="2"/>
  <c r="N9" i="2"/>
  <c r="D9" i="2"/>
  <c r="O9" i="2"/>
  <c r="E9" i="2"/>
  <c r="Y9" i="2" s="1"/>
  <c r="J22" i="2"/>
  <c r="AD22" i="2" s="1"/>
  <c r="I43" i="2"/>
  <c r="AC22" i="2"/>
  <c r="T8" i="2"/>
  <c r="R8" i="2"/>
  <c r="D14" i="6"/>
  <c r="B7" i="4"/>
  <c r="C7" i="4" s="1"/>
  <c r="F13" i="6"/>
  <c r="I13" i="6" s="1"/>
  <c r="D15" i="6" l="1"/>
  <c r="B8" i="4"/>
  <c r="C8" i="4" s="1"/>
  <c r="O11" i="2" s="1"/>
  <c r="Y11" i="2" s="1"/>
  <c r="F14" i="6"/>
  <c r="I14" i="6" s="1"/>
  <c r="N11" i="2" s="1"/>
  <c r="I4" i="12"/>
  <c r="C3" i="10"/>
  <c r="AC43" i="2"/>
  <c r="I6" i="12" s="1"/>
  <c r="X9" i="2"/>
  <c r="AB9" i="2" s="1"/>
  <c r="J9" i="2"/>
  <c r="H9" i="2"/>
  <c r="AD8" i="2"/>
  <c r="AB8" i="2"/>
  <c r="T9" i="2"/>
  <c r="R9" i="2"/>
  <c r="D43" i="2"/>
  <c r="D10" i="2"/>
  <c r="N10" i="2"/>
  <c r="O10" i="2"/>
  <c r="R10" i="2" s="1"/>
  <c r="E10" i="2"/>
  <c r="E43" i="2" s="1"/>
  <c r="E4" i="12" l="1"/>
  <c r="T11" i="2"/>
  <c r="AD11" i="2" s="1"/>
  <c r="R11" i="2"/>
  <c r="X11" i="2"/>
  <c r="AB11" i="2" s="1"/>
  <c r="T10" i="2"/>
  <c r="J10" i="2"/>
  <c r="AD10" i="2" s="1"/>
  <c r="H10" i="2"/>
  <c r="H43" i="2" s="1"/>
  <c r="X10" i="2"/>
  <c r="AD9" i="2"/>
  <c r="C5" i="10"/>
  <c r="C12" i="10" s="1"/>
  <c r="C10" i="10"/>
  <c r="D16" i="6"/>
  <c r="B9" i="4"/>
  <c r="C9" i="4" s="1"/>
  <c r="O12" i="2" s="1"/>
  <c r="Y12" i="2" s="1"/>
  <c r="F15" i="6"/>
  <c r="I15" i="6" s="1"/>
  <c r="N12" i="2" s="1"/>
  <c r="Y10" i="2"/>
  <c r="D4" i="12"/>
  <c r="H4" i="12" l="1"/>
  <c r="B3" i="10"/>
  <c r="J43" i="2"/>
  <c r="X12" i="2"/>
  <c r="R12" i="2"/>
  <c r="T12" i="2"/>
  <c r="AD12" i="2" s="1"/>
  <c r="AB12" i="2"/>
  <c r="D17" i="6"/>
  <c r="B10" i="4"/>
  <c r="C10" i="4" s="1"/>
  <c r="O13" i="2" s="1"/>
  <c r="Y13" i="2" s="1"/>
  <c r="F16" i="6"/>
  <c r="I16" i="6" s="1"/>
  <c r="N13" i="2" s="1"/>
  <c r="AB10" i="2"/>
  <c r="T13" i="2" l="1"/>
  <c r="AD13" i="2" s="1"/>
  <c r="R13" i="2"/>
  <c r="X13" i="2"/>
  <c r="AB13" i="2" s="1"/>
  <c r="J4" i="12"/>
  <c r="K4" i="12" s="1"/>
  <c r="D3" i="10"/>
  <c r="B10" i="10"/>
  <c r="D18" i="6"/>
  <c r="B11" i="4"/>
  <c r="C11" i="4" s="1"/>
  <c r="O14" i="2" s="1"/>
  <c r="Y14" i="2" s="1"/>
  <c r="F17" i="6"/>
  <c r="I17" i="6" s="1"/>
  <c r="N14" i="2" s="1"/>
  <c r="T14" i="2" l="1"/>
  <c r="AD14" i="2" s="1"/>
  <c r="X14" i="2"/>
  <c r="AB14" i="2" s="1"/>
  <c r="R14" i="2"/>
  <c r="D19" i="6"/>
  <c r="B12" i="4"/>
  <c r="C12" i="4" s="1"/>
  <c r="O15" i="2" s="1"/>
  <c r="Y15" i="2" s="1"/>
  <c r="F18" i="6"/>
  <c r="I18" i="6" s="1"/>
  <c r="N15" i="2" s="1"/>
  <c r="D10" i="10"/>
  <c r="F10" i="10" s="1"/>
  <c r="G10" i="10" s="1"/>
  <c r="G3" i="10"/>
  <c r="D20" i="6" l="1"/>
  <c r="B13" i="4"/>
  <c r="C13" i="4" s="1"/>
  <c r="O16" i="2" s="1"/>
  <c r="Y16" i="2" s="1"/>
  <c r="F19" i="6"/>
  <c r="I19" i="6" s="1"/>
  <c r="N16" i="2" s="1"/>
  <c r="X15" i="2"/>
  <c r="AB15" i="2" s="1"/>
  <c r="T15" i="2"/>
  <c r="AD15" i="2" s="1"/>
  <c r="R15" i="2"/>
  <c r="T16" i="2" l="1"/>
  <c r="AD16" i="2" s="1"/>
  <c r="X16" i="2"/>
  <c r="AB16" i="2" s="1"/>
  <c r="R16" i="2"/>
  <c r="D21" i="6"/>
  <c r="B14" i="4"/>
  <c r="C14" i="4" s="1"/>
  <c r="O17" i="2" s="1"/>
  <c r="Y17" i="2" s="1"/>
  <c r="F20" i="6"/>
  <c r="I20" i="6" s="1"/>
  <c r="N17" i="2" s="1"/>
  <c r="D22" i="6" l="1"/>
  <c r="B15" i="4"/>
  <c r="C15" i="4" s="1"/>
  <c r="O18" i="2" s="1"/>
  <c r="Y18" i="2" s="1"/>
  <c r="F21" i="6"/>
  <c r="I21" i="6" s="1"/>
  <c r="N18" i="2" s="1"/>
  <c r="T17" i="2"/>
  <c r="AD17" i="2" s="1"/>
  <c r="R17" i="2"/>
  <c r="X17" i="2"/>
  <c r="AB17" i="2" s="1"/>
  <c r="T18" i="2" l="1"/>
  <c r="AD18" i="2" s="1"/>
  <c r="R18" i="2"/>
  <c r="X18" i="2"/>
  <c r="AB18" i="2" s="1"/>
  <c r="B16" i="4"/>
  <c r="C16" i="4" s="1"/>
  <c r="O19" i="2" s="1"/>
  <c r="F22" i="6"/>
  <c r="I22" i="6" s="1"/>
  <c r="N19" i="2" s="1"/>
  <c r="Y19" i="2" l="1"/>
  <c r="O43" i="2"/>
  <c r="T19" i="2"/>
  <c r="AD19" i="2" s="1"/>
  <c r="R19" i="2"/>
  <c r="R43" i="2" s="1"/>
  <c r="X19" i="2"/>
  <c r="AB19" i="2" s="1"/>
  <c r="N43" i="2"/>
  <c r="B4" i="10" l="1"/>
  <c r="H5" i="12"/>
  <c r="AB43" i="2"/>
  <c r="H6" i="12" s="1"/>
  <c r="D5" i="12"/>
  <c r="T43" i="2"/>
  <c r="X43" i="2"/>
  <c r="D6" i="12" s="1"/>
  <c r="E5" i="12"/>
  <c r="Y43" i="2"/>
  <c r="E6" i="12" s="1"/>
  <c r="J5" i="12" l="1"/>
  <c r="K5" i="12" s="1"/>
  <c r="D4" i="10"/>
  <c r="AD43" i="2"/>
  <c r="B11" i="10"/>
  <c r="B5" i="10"/>
  <c r="B12" i="10" s="1"/>
  <c r="J6" i="12" l="1"/>
  <c r="K6" i="12" s="1"/>
  <c r="D5" i="10"/>
  <c r="G4" i="10"/>
  <c r="D11" i="10"/>
  <c r="F11" i="10" s="1"/>
  <c r="G11" i="10" s="1"/>
  <c r="D12" i="10" l="1"/>
  <c r="F12" i="10" s="1"/>
  <c r="G12" i="10" s="1"/>
  <c r="G5" i="10"/>
</calcChain>
</file>

<file path=xl/sharedStrings.xml><?xml version="1.0" encoding="utf-8"?>
<sst xmlns="http://schemas.openxmlformats.org/spreadsheetml/2006/main" count="431" uniqueCount="168">
  <si>
    <t>402 Roland St SW Vienna, VA 22180</t>
  </si>
  <si>
    <t>BM %</t>
  </si>
  <si>
    <t>MLDS %</t>
  </si>
  <si>
    <t>U %</t>
  </si>
  <si>
    <t>Notes</t>
  </si>
  <si>
    <t>Year</t>
  </si>
  <si>
    <t>Legend:</t>
  </si>
  <si>
    <t>Weak Documentation</t>
  </si>
  <si>
    <t>Major Expenses Missing:</t>
  </si>
  <si>
    <t>FFX/ToV tax</t>
  </si>
  <si>
    <t>joint: downpayment</t>
  </si>
  <si>
    <t>joint: principal (estimated)</t>
  </si>
  <si>
    <t>MLDS: FFX/ToV tax, #2445, 2443, 2226, 2227, Riggs</t>
  </si>
  <si>
    <t>MLDS: FFX/ToV tax, #2988, 2989, 2821, 2820, Riggs</t>
  </si>
  <si>
    <t>MLDS: FFX/ToV tax, #3424, 3511, 3416, 3512, Riggs</t>
  </si>
  <si>
    <t>MLDS: FFX, ToV tax #4106, 4107, Riggs</t>
  </si>
  <si>
    <t>MLDS: FFX, ToV tax #3836, 3838. Riggs</t>
  </si>
  <si>
    <t>Payment of loan interest</t>
  </si>
  <si>
    <t>Taxes</t>
  </si>
  <si>
    <t>Maintenance and improvements</t>
  </si>
  <si>
    <t>Down payment/payment of loan principal</t>
  </si>
  <si>
    <t>Utilities and other</t>
  </si>
  <si>
    <t>Total</t>
  </si>
  <si>
    <t xml:space="preserve"> --------------------------For BM ---------------------------------</t>
  </si>
  <si>
    <t xml:space="preserve"> --------------------------Total, all sources ---------------------------------</t>
  </si>
  <si>
    <t>10-08-'03-09</t>
  </si>
  <si>
    <t>7-08-9-08</t>
  </si>
  <si>
    <t>7-07-8-07</t>
  </si>
  <si>
    <t>Nigel Parker</t>
  </si>
  <si>
    <t>6-04-to-6-30-07</t>
  </si>
  <si>
    <t>Bob Jones</t>
  </si>
  <si>
    <t>7-04</t>
  </si>
  <si>
    <t>Christopher Judge</t>
  </si>
  <si>
    <t>6-04</t>
  </si>
  <si>
    <t>5-04</t>
  </si>
  <si>
    <t>4-04</t>
  </si>
  <si>
    <t>3-04</t>
  </si>
  <si>
    <t>2-04</t>
  </si>
  <si>
    <t>1-04</t>
  </si>
  <si>
    <t>12-03</t>
  </si>
  <si>
    <t>11-03</t>
  </si>
  <si>
    <t>10-03</t>
  </si>
  <si>
    <t xml:space="preserve"> </t>
  </si>
  <si>
    <t>9-03</t>
  </si>
  <si>
    <t>8-03</t>
  </si>
  <si>
    <t>7-03</t>
  </si>
  <si>
    <t>6-03</t>
  </si>
  <si>
    <t>5-03</t>
  </si>
  <si>
    <t>4-03</t>
  </si>
  <si>
    <t>3-03</t>
  </si>
  <si>
    <t>2-03</t>
  </si>
  <si>
    <t>1-03</t>
  </si>
  <si>
    <t>12-02</t>
  </si>
  <si>
    <t>11-02</t>
  </si>
  <si>
    <t>10-02</t>
  </si>
  <si>
    <t>9-02</t>
  </si>
  <si>
    <t>8-02</t>
  </si>
  <si>
    <t>7-02</t>
  </si>
  <si>
    <t>6-02</t>
  </si>
  <si>
    <t>5-02</t>
  </si>
  <si>
    <t>4-02</t>
  </si>
  <si>
    <t>3-02</t>
  </si>
  <si>
    <t>2-02</t>
  </si>
  <si>
    <t>1-02</t>
  </si>
  <si>
    <t>12-01</t>
  </si>
  <si>
    <t>11-01</t>
  </si>
  <si>
    <t>10-01</t>
  </si>
  <si>
    <t>9-01</t>
  </si>
  <si>
    <t>8-01</t>
  </si>
  <si>
    <t>7-01</t>
  </si>
  <si>
    <t>6-01</t>
  </si>
  <si>
    <t>July 2000-2001</t>
  </si>
  <si>
    <t>Ostermeier</t>
  </si>
  <si>
    <t>July 1999-2000</t>
  </si>
  <si>
    <t>Lee Coldrun</t>
  </si>
  <si>
    <t>1991-July 1999</t>
  </si>
  <si>
    <t>Insurance</t>
  </si>
  <si>
    <t>Estimated annual July 1 yr end</t>
  </si>
  <si>
    <t>???</t>
  </si>
  <si>
    <t>Tax Year</t>
  </si>
  <si>
    <t>Land</t>
  </si>
  <si>
    <t>Building</t>
  </si>
  <si>
    <t>Assessed Total</t>
  </si>
  <si>
    <t>Tax Exempt</t>
  </si>
  <si>
    <t>NO</t>
  </si>
  <si>
    <t>Actual</t>
  </si>
  <si>
    <t>Current year taxable value times 2021 tax rate</t>
  </si>
  <si>
    <t>Estimated current-year value times 2021 tax rate</t>
  </si>
  <si>
    <t>Memo:  1985 purchase price</t>
  </si>
  <si>
    <t>Memo:  Estimated annual appreciation, 1985-2000</t>
  </si>
  <si>
    <t>Shelley:  Replace with actual data where available, otherwise use estimates</t>
  </si>
  <si>
    <t>Tax valuation per Fairfax County and Estimated Fairfax and Town of Vienna taxes</t>
  </si>
  <si>
    <t>Estimated Fairfax taxes</t>
  </si>
  <si>
    <t>Pro-rate add-on for estimated Town of Vienna taxes</t>
  </si>
  <si>
    <t>Estimated total tax payments (excludes late fees)</t>
  </si>
  <si>
    <t>Estimated value of house</t>
  </si>
  <si>
    <t>Approximate reasonable insurance payment</t>
  </si>
  <si>
    <t>Fairfax or other tax value x estimated market rate for homeowner's in surance in the Vienna area</t>
  </si>
  <si>
    <t>Estimated 2021 market rate x estimated house value for year</t>
  </si>
  <si>
    <t>Method</t>
  </si>
  <si>
    <t>Outlays/payments invested in house</t>
  </si>
  <si>
    <t>Total outlays for house</t>
  </si>
  <si>
    <t>Return on Investment Calculation</t>
  </si>
  <si>
    <t>Memo:  Net income or (loss)</t>
  </si>
  <si>
    <t>Total income or in-kind equivalent from house</t>
  </si>
  <si>
    <t>BM</t>
  </si>
  <si>
    <t>MDLS</t>
  </si>
  <si>
    <t>Total payments</t>
  </si>
  <si>
    <t>Undiscounted ROI prior to sale of home</t>
  </si>
  <si>
    <t>Revenues from sale of house</t>
  </si>
  <si>
    <t>Net revenues prior to asset sale</t>
  </si>
  <si>
    <t>Net revenues, including sale of house</t>
  </si>
  <si>
    <t>Total revenues or in-kind equivalent</t>
  </si>
  <si>
    <t>Pro-forma calculation showing equitable division of $1M home sales price to attempt to equalize rates of return on investment</t>
  </si>
  <si>
    <t>ROI prior to sale of house (net revenues / payments)</t>
  </si>
  <si>
    <t>ROI including sale of house (net revenues / payments)</t>
  </si>
  <si>
    <t>MLDS: FFX tax  0383020132B2016125203851</t>
  </si>
  <si>
    <t>BM: FFX/ToV tax; MLDS: FFX tax 0383020132B201812520565</t>
  </si>
  <si>
    <t>Roof (MLDS)</t>
  </si>
  <si>
    <t>Driveway (Premium Paving pre: 2011) (MLDS)</t>
  </si>
  <si>
    <t>joint: insurance (estimated)</t>
  </si>
  <si>
    <t>joint: taxes (estimated)</t>
  </si>
  <si>
    <t>BM AMT</t>
  </si>
  <si>
    <t>MLDS AMT</t>
  </si>
  <si>
    <t>UNK</t>
  </si>
  <si>
    <t>Joint: FFX/ToV tax</t>
  </si>
  <si>
    <t>MLDS: FFX/ToV tax</t>
  </si>
  <si>
    <t>FFX/ToV tax (estimated)</t>
  </si>
  <si>
    <t>MLDS: ToV tax #4505, Riggs; FFX (estimated)</t>
  </si>
  <si>
    <t>joint: loan payoff</t>
  </si>
  <si>
    <t>MLDS: FFX tax, paid '98 #2000, Riggs; remaining estimated</t>
  </si>
  <si>
    <t>BM: Maintain/Improve (Disputed)</t>
  </si>
  <si>
    <t>Solid Documentation</t>
  </si>
  <si>
    <t>Dispute</t>
  </si>
  <si>
    <t>Exterior - paint inc, wood repairs missing (MLDS)</t>
  </si>
  <si>
    <t>insurance (estimated)</t>
  </si>
  <si>
    <t>BM spreadsheet - unreconciled</t>
  </si>
  <si>
    <t>BM: Maintain/Improve</t>
  </si>
  <si>
    <t xml:space="preserve">BM: Maintain/Improve </t>
  </si>
  <si>
    <t>Joint: Maintain/Improve</t>
  </si>
  <si>
    <t>Other</t>
  </si>
  <si>
    <t>MLDS: Maintain/Improve "AdditionalExpenses2.pdf"</t>
  </si>
  <si>
    <t xml:space="preserve">MLDS: Commerical Refrigerator </t>
  </si>
  <si>
    <t>MLDS: Maintain/Improve "MISC1"</t>
  </si>
  <si>
    <t>MLDS: Maintain/Improve "MISC1" + Accessible Bath</t>
  </si>
  <si>
    <t>Return on investment, to date</t>
  </si>
  <si>
    <t>This sheet repeats the totals from the cash flows sheet and calculates return-on-investment to date.</t>
  </si>
  <si>
    <t>Source or method used</t>
  </si>
  <si>
    <t>Cash flows, 402 Roland St SW Vienna, VA 22180.  This a summary of estimated outlays made and income received for this property.</t>
  </si>
  <si>
    <t>Shelley Mountjoy Rent</t>
  </si>
  <si>
    <t>Shelley Mountjoy expenses</t>
  </si>
  <si>
    <t>BM: rental income</t>
  </si>
  <si>
    <t xml:space="preserve"> --------------------------For MLDS ---------------------------------</t>
  </si>
  <si>
    <t>FFX/Tov tax (estimated)</t>
  </si>
  <si>
    <t>MLDS: insurance (estimated)</t>
  </si>
  <si>
    <t>MLDS: Maintain/Improve - Sears Warranty</t>
  </si>
  <si>
    <t>Wilson Rent</t>
  </si>
  <si>
    <t>MLDS: Maintain/Improve "MISC1", electrical #1048</t>
  </si>
  <si>
    <t>BM: FFX/ToV tax, MLDS: FFX tax #1648 (8/31) ST</t>
  </si>
  <si>
    <t>FFX/ToV tax; (dispute - both BM and MLDS listed for paid Dec Tax)</t>
  </si>
  <si>
    <t>BM:FFX/ToV tax; MLDS: #1437 (12/07)</t>
  </si>
  <si>
    <t>MLDS: retaining wall + exterior paint, #109 WF, pool repair</t>
  </si>
  <si>
    <t>MLDS: Maintain/Improve UP #4471 Riggs</t>
  </si>
  <si>
    <t>MLDS: Maintain/Improve PB, electrical, Concrete Ramp</t>
  </si>
  <si>
    <t>Pool/Concrete (MLDS) x 2</t>
  </si>
  <si>
    <t xml:space="preserve">FFX/ToV tax (estimated); MLDS: ToV #1666 ST (12/06) </t>
  </si>
  <si>
    <t>MLDS: Maintain/Improve - Sears Warranty, DeLima</t>
  </si>
  <si>
    <t>BM: FFX/ToV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</si>
</sst>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_(&quot;$&quot;* #,##0_);_(&quot;$&quot;* \(#,##0\);_(&quot;$&quot;* &quot;-&quot;??_);_(@_)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/>
    <xf numFmtId="9" fontId="0" fillId="0" borderId="0" xfId="1" applyFont="1"/>
    <xf numFmtId="2" fontId="0" fillId="0" borderId="0" xfId="0" applyNumberFormat="1"/>
    <xf numFmtId="2" fontId="0" fillId="3" borderId="0" xfId="0" applyNumberFormat="1" applyFill="1"/>
    <xf numFmtId="2" fontId="0" fillId="5" borderId="0" xfId="0" applyNumberFormat="1" applyFill="1"/>
    <xf numFmtId="2" fontId="0" fillId="4" borderId="0" xfId="0" applyNumberFormat="1" applyFill="1"/>
    <xf numFmtId="165" fontId="0" fillId="0" borderId="0" xfId="2" applyNumberFormat="1" applyFont="1" applyAlignment="1"/>
    <xf numFmtId="165" fontId="0" fillId="2" borderId="0" xfId="2" applyNumberFormat="1" applyFont="1" applyFill="1" applyAlignment="1"/>
    <xf numFmtId="165" fontId="0" fillId="0" borderId="0" xfId="2" applyNumberFormat="1" applyFont="1"/>
    <xf numFmtId="165" fontId="0" fillId="2" borderId="0" xfId="2" applyNumberFormat="1" applyFont="1" applyFill="1"/>
    <xf numFmtId="165" fontId="3" fillId="2" borderId="0" xfId="2" applyNumberFormat="1" applyFont="1" applyFill="1" applyAlignment="1">
      <alignment wrapText="1"/>
    </xf>
    <xf numFmtId="165" fontId="3" fillId="0" borderId="0" xfId="2" applyNumberFormat="1" applyFont="1" applyFill="1" applyAlignment="1">
      <alignment wrapText="1"/>
    </xf>
    <xf numFmtId="165" fontId="3" fillId="0" borderId="0" xfId="2" applyNumberFormat="1" applyFont="1" applyFill="1" applyAlignment="1">
      <alignment horizontal="left" wrapText="1"/>
    </xf>
    <xf numFmtId="165" fontId="0" fillId="2" borderId="1" xfId="2" applyNumberFormat="1" applyFont="1" applyFill="1" applyBorder="1"/>
    <xf numFmtId="165" fontId="0" fillId="0" borderId="1" xfId="2" applyNumberFormat="1" applyFont="1" applyBorder="1"/>
    <xf numFmtId="1" fontId="0" fillId="0" borderId="0" xfId="2" applyNumberFormat="1" applyFont="1" applyAlignment="1"/>
    <xf numFmtId="1" fontId="0" fillId="0" borderId="0" xfId="2" applyNumberFormat="1" applyFont="1"/>
    <xf numFmtId="1" fontId="3" fillId="0" borderId="0" xfId="2" applyNumberFormat="1" applyFont="1" applyFill="1" applyAlignment="1">
      <alignment wrapText="1"/>
    </xf>
    <xf numFmtId="1" fontId="0" fillId="0" borderId="1" xfId="2" applyNumberFormat="1" applyFont="1" applyBorder="1"/>
    <xf numFmtId="44" fontId="0" fillId="0" borderId="0" xfId="2" applyFont="1"/>
    <xf numFmtId="0" fontId="0" fillId="0" borderId="0" xfId="0" quotePrefix="1"/>
    <xf numFmtId="14" fontId="0" fillId="0" borderId="0" xfId="0" quotePrefix="1" applyNumberFormat="1"/>
    <xf numFmtId="44" fontId="0" fillId="7" borderId="0" xfId="2" applyFont="1" applyFill="1"/>
    <xf numFmtId="16" fontId="0" fillId="0" borderId="0" xfId="0" quotePrefix="1" applyNumberFormat="1"/>
    <xf numFmtId="14" fontId="0" fillId="0" borderId="0" xfId="0" applyNumberFormat="1"/>
    <xf numFmtId="44" fontId="0" fillId="0" borderId="0" xfId="0" applyNumberFormat="1"/>
    <xf numFmtId="0" fontId="0" fillId="9" borderId="0" xfId="0" applyFill="1" applyAlignment="1">
      <alignment horizontal="left" vertical="center" wrapText="1"/>
    </xf>
    <xf numFmtId="0" fontId="0" fillId="9" borderId="0" xfId="0" applyFill="1" applyAlignment="1">
      <alignment horizontal="right" vertical="center" wrapText="1"/>
    </xf>
    <xf numFmtId="0" fontId="0" fillId="9" borderId="0" xfId="0" applyFill="1" applyAlignment="1">
      <alignment horizontal="left" vertical="top"/>
    </xf>
    <xf numFmtId="6" fontId="0" fillId="0" borderId="0" xfId="0" applyNumberFormat="1"/>
    <xf numFmtId="6" fontId="0" fillId="9" borderId="0" xfId="0" applyNumberFormat="1" applyFill="1" applyAlignment="1">
      <alignment horizontal="right" vertical="top"/>
    </xf>
    <xf numFmtId="0" fontId="0" fillId="9" borderId="0" xfId="0" applyFill="1" applyAlignment="1">
      <alignment horizontal="right" vertical="top"/>
    </xf>
    <xf numFmtId="0" fontId="0" fillId="9" borderId="0" xfId="0" applyFill="1" applyAlignment="1">
      <alignment horizontal="left" vertical="center"/>
    </xf>
    <xf numFmtId="6" fontId="0" fillId="9" borderId="0" xfId="0" applyNumberFormat="1" applyFill="1" applyAlignment="1">
      <alignment horizontal="right" vertical="center" wrapText="1"/>
    </xf>
    <xf numFmtId="0" fontId="0" fillId="7" borderId="0" xfId="0" applyFill="1"/>
    <xf numFmtId="8" fontId="0" fillId="0" borderId="0" xfId="0" applyNumberFormat="1" applyFill="1"/>
    <xf numFmtId="165" fontId="0" fillId="0" borderId="0" xfId="2" applyNumberFormat="1" applyFont="1" applyAlignment="1">
      <alignment horizontal="left" vertical="top" wrapText="1"/>
    </xf>
    <xf numFmtId="3" fontId="0" fillId="0" borderId="0" xfId="0" applyNumberFormat="1"/>
    <xf numFmtId="166" fontId="0" fillId="0" borderId="0" xfId="1" applyNumberFormat="1" applyFont="1"/>
    <xf numFmtId="0" fontId="0" fillId="0" borderId="0" xfId="0" applyAlignment="1">
      <alignment wrapText="1"/>
    </xf>
    <xf numFmtId="165" fontId="6" fillId="0" borderId="0" xfId="2" applyNumberFormat="1" applyFont="1" applyFill="1" applyAlignment="1">
      <alignment horizontal="left" wrapText="1"/>
    </xf>
    <xf numFmtId="0" fontId="4" fillId="0" borderId="0" xfId="0" applyFont="1"/>
    <xf numFmtId="165" fontId="0" fillId="0" borderId="0" xfId="0" applyNumberFormat="1"/>
    <xf numFmtId="165" fontId="0" fillId="7" borderId="0" xfId="2" applyNumberFormat="1" applyFont="1" applyFill="1"/>
    <xf numFmtId="9" fontId="0" fillId="7" borderId="0" xfId="1" applyFont="1" applyFill="1"/>
    <xf numFmtId="0" fontId="0" fillId="0" borderId="0" xfId="0" applyFill="1"/>
    <xf numFmtId="2" fontId="0" fillId="0" borderId="0" xfId="0" applyNumberFormat="1" applyFill="1"/>
    <xf numFmtId="0" fontId="0" fillId="6" borderId="0" xfId="0" applyFill="1"/>
    <xf numFmtId="2" fontId="0" fillId="6" borderId="0" xfId="0" applyNumberFormat="1" applyFill="1"/>
    <xf numFmtId="9" fontId="0" fillId="6" borderId="0" xfId="1" applyFont="1" applyFill="1"/>
    <xf numFmtId="0" fontId="0" fillId="0" borderId="0" xfId="0" applyBorder="1"/>
    <xf numFmtId="0" fontId="0" fillId="6" borderId="0" xfId="0" applyFill="1" applyBorder="1"/>
    <xf numFmtId="2" fontId="0" fillId="6" borderId="0" xfId="0" applyNumberFormat="1" applyFill="1" applyBorder="1"/>
    <xf numFmtId="9" fontId="0" fillId="6" borderId="0" xfId="1" applyFont="1" applyFill="1" applyBorder="1"/>
    <xf numFmtId="2" fontId="0" fillId="0" borderId="0" xfId="0" applyNumberFormat="1" applyBorder="1"/>
    <xf numFmtId="9" fontId="0" fillId="0" borderId="0" xfId="1" applyFont="1" applyBorder="1"/>
    <xf numFmtId="2" fontId="0" fillId="10" borderId="0" xfId="0" applyNumberFormat="1" applyFill="1"/>
    <xf numFmtId="2" fontId="0" fillId="4" borderId="0" xfId="0" applyNumberFormat="1" applyFill="1" applyBorder="1"/>
    <xf numFmtId="2" fontId="3" fillId="6" borderId="0" xfId="0" applyNumberFormat="1" applyFont="1" applyFill="1"/>
    <xf numFmtId="165" fontId="3" fillId="0" borderId="0" xfId="2" applyNumberFormat="1" applyFont="1" applyFill="1" applyBorder="1" applyAlignment="1">
      <alignment wrapText="1"/>
    </xf>
    <xf numFmtId="165" fontId="0" fillId="0" borderId="0" xfId="2" applyNumberFormat="1" applyFont="1" applyFill="1" applyBorder="1"/>
    <xf numFmtId="164" fontId="4" fillId="0" borderId="0" xfId="0" applyNumberFormat="1" applyFont="1"/>
    <xf numFmtId="9" fontId="4" fillId="0" borderId="0" xfId="1" applyFont="1"/>
    <xf numFmtId="0" fontId="0" fillId="11" borderId="0" xfId="0" applyFill="1"/>
    <xf numFmtId="0" fontId="4" fillId="11" borderId="0" xfId="0" applyFont="1" applyFill="1"/>
    <xf numFmtId="2" fontId="0" fillId="3" borderId="1" xfId="0" applyNumberFormat="1" applyFill="1" applyBorder="1"/>
    <xf numFmtId="0" fontId="0" fillId="6" borderId="0" xfId="0" applyFont="1" applyFill="1"/>
    <xf numFmtId="2" fontId="0" fillId="6" borderId="0" xfId="0" applyNumberFormat="1" applyFont="1" applyFill="1"/>
    <xf numFmtId="9" fontId="1" fillId="6" borderId="0" xfId="1" applyFont="1" applyFill="1"/>
    <xf numFmtId="0" fontId="4" fillId="0" borderId="0" xfId="0" applyFont="1" applyFill="1"/>
    <xf numFmtId="0" fontId="0" fillId="6" borderId="1" xfId="0" applyFill="1" applyBorder="1"/>
    <xf numFmtId="2" fontId="0" fillId="6" borderId="1" xfId="0" applyNumberFormat="1" applyFill="1" applyBorder="1"/>
    <xf numFmtId="9" fontId="0" fillId="6" borderId="1" xfId="1" applyFont="1" applyFill="1" applyBorder="1"/>
    <xf numFmtId="165" fontId="6" fillId="8" borderId="0" xfId="2" applyNumberFormat="1" applyFont="1" applyFill="1" applyAlignment="1">
      <alignment horizontal="left" wrapText="1"/>
    </xf>
    <xf numFmtId="2" fontId="0" fillId="10" borderId="0" xfId="0" applyNumberFormat="1" applyFont="1" applyFill="1"/>
    <xf numFmtId="0" fontId="4" fillId="6" borderId="0" xfId="0" applyFont="1" applyFill="1" applyBorder="1"/>
    <xf numFmtId="0" fontId="4" fillId="0" borderId="0" xfId="0" applyFont="1" applyBorder="1"/>
    <xf numFmtId="0" fontId="4" fillId="6" borderId="0" xfId="0" applyFon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10" fillId="12" borderId="0" xfId="0" applyFont="1" applyFill="1" applyAlignment="1">
      <alignment horizontal="center"/>
    </xf>
    <xf numFmtId="165" fontId="0" fillId="6" borderId="0" xfId="2" applyNumberFormat="1" applyFont="1" applyFill="1" applyAlignment="1">
      <alignment horizontal="center"/>
    </xf>
    <xf numFmtId="165" fontId="5" fillId="8" borderId="0" xfId="2" applyNumberFormat="1" applyFont="1" applyFill="1" applyAlignment="1">
      <alignment horizontal="center" wrapText="1"/>
    </xf>
    <xf numFmtId="165" fontId="8" fillId="8" borderId="0" xfId="2" applyNumberFormat="1" applyFont="1" applyFill="1" applyAlignment="1">
      <alignment horizontal="center"/>
    </xf>
    <xf numFmtId="165" fontId="7" fillId="8" borderId="0" xfId="2" applyNumberFormat="1" applyFont="1" applyFill="1" applyAlignment="1">
      <alignment horizontal="center"/>
    </xf>
    <xf numFmtId="165" fontId="9" fillId="8" borderId="0" xfId="2" applyNumberFormat="1" applyFont="1" applyFill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"/>
  <sheetViews>
    <sheetView tabSelected="1" zoomScale="95" zoomScaleNormal="95" workbookViewId="0">
      <selection activeCell="G141" sqref="G141"/>
    </sheetView>
  </sheetViews>
  <sheetFormatPr defaultRowHeight="15" x14ac:dyDescent="0.25"/>
  <cols>
    <col min="1" max="1" width="5.7109375" customWidth="1"/>
    <col min="2" max="3" width="13.7109375" customWidth="1"/>
    <col min="4" max="4" width="13.5703125" customWidth="1"/>
    <col min="5" max="7" width="7.85546875" customWidth="1"/>
    <col min="8" max="8" width="57.140625" customWidth="1"/>
    <col min="10" max="10" width="69.7109375" customWidth="1"/>
  </cols>
  <sheetData>
    <row r="1" spans="1:8" x14ac:dyDescent="0.25">
      <c r="A1" s="79" t="s">
        <v>0</v>
      </c>
      <c r="B1" s="79"/>
      <c r="C1" s="79"/>
      <c r="D1" s="79"/>
      <c r="E1" s="79"/>
      <c r="F1" s="79"/>
      <c r="G1" s="79"/>
      <c r="H1" s="79"/>
    </row>
    <row r="3" spans="1:8" x14ac:dyDescent="0.25">
      <c r="A3" s="1" t="s">
        <v>5</v>
      </c>
      <c r="B3" s="1" t="s">
        <v>122</v>
      </c>
      <c r="C3" s="1" t="s">
        <v>123</v>
      </c>
      <c r="D3" s="1" t="s">
        <v>124</v>
      </c>
      <c r="E3" s="1" t="s">
        <v>1</v>
      </c>
      <c r="F3" s="1" t="s">
        <v>2</v>
      </c>
      <c r="G3" s="1" t="s">
        <v>3</v>
      </c>
      <c r="H3" s="1" t="s">
        <v>4</v>
      </c>
    </row>
    <row r="4" spans="1:8" x14ac:dyDescent="0.25">
      <c r="A4" s="76">
        <v>1985</v>
      </c>
      <c r="B4" s="53">
        <v>62500</v>
      </c>
      <c r="C4" s="53">
        <v>62500</v>
      </c>
      <c r="D4" s="53">
        <v>0</v>
      </c>
      <c r="E4" s="54">
        <f>B4/(B4+C4+D4)</f>
        <v>0.5</v>
      </c>
      <c r="F4" s="54">
        <f>C4/(B4+C4+D4)</f>
        <v>0.5</v>
      </c>
      <c r="G4" s="54">
        <f>D4/(B4+C4+D4)</f>
        <v>0</v>
      </c>
      <c r="H4" s="52" t="s">
        <v>10</v>
      </c>
    </row>
    <row r="5" spans="1:8" x14ac:dyDescent="0.25">
      <c r="A5" s="52"/>
      <c r="B5" s="53">
        <f>357/2</f>
        <v>178.5</v>
      </c>
      <c r="C5" s="53">
        <f>357/2</f>
        <v>178.5</v>
      </c>
      <c r="D5" s="53"/>
      <c r="E5" s="54">
        <f t="shared" ref="E5:E85" si="0">B5/(B5+C5+D5)</f>
        <v>0.5</v>
      </c>
      <c r="F5" s="54">
        <f t="shared" ref="F5:F85" si="1">C5/(B5+C5+D5)</f>
        <v>0.5</v>
      </c>
      <c r="G5" s="54">
        <f t="shared" ref="G5:G85" si="2">D5/(B5+C5+D5)</f>
        <v>0</v>
      </c>
      <c r="H5" s="52" t="s">
        <v>120</v>
      </c>
    </row>
    <row r="6" spans="1:8" x14ac:dyDescent="0.25">
      <c r="A6" s="52"/>
      <c r="B6" s="53">
        <f>3420/2</f>
        <v>1710</v>
      </c>
      <c r="C6" s="53">
        <f>3420/2</f>
        <v>1710</v>
      </c>
      <c r="D6" s="53"/>
      <c r="E6" s="54">
        <f t="shared" si="0"/>
        <v>0.5</v>
      </c>
      <c r="F6" s="54">
        <f t="shared" si="1"/>
        <v>0.5</v>
      </c>
      <c r="G6" s="54">
        <f t="shared" si="2"/>
        <v>0</v>
      </c>
      <c r="H6" s="52" t="s">
        <v>121</v>
      </c>
    </row>
    <row r="7" spans="1:8" x14ac:dyDescent="0.25">
      <c r="A7" s="77">
        <v>1986</v>
      </c>
      <c r="B7" s="55">
        <v>4499.0200000000004</v>
      </c>
      <c r="C7" s="55">
        <v>4499.2</v>
      </c>
      <c r="D7" s="55"/>
      <c r="E7" s="56">
        <f t="shared" si="0"/>
        <v>0.49998999802183097</v>
      </c>
      <c r="F7" s="56">
        <f t="shared" si="1"/>
        <v>0.50001000197816892</v>
      </c>
      <c r="G7" s="56">
        <f t="shared" si="2"/>
        <v>0</v>
      </c>
      <c r="H7" s="51" t="s">
        <v>11</v>
      </c>
    </row>
    <row r="8" spans="1:8" x14ac:dyDescent="0.25">
      <c r="A8" s="51"/>
      <c r="B8" s="55">
        <f>365/2</f>
        <v>182.5</v>
      </c>
      <c r="C8" s="55">
        <f>365/2</f>
        <v>182.5</v>
      </c>
      <c r="D8" s="55"/>
      <c r="E8" s="56">
        <f t="shared" si="0"/>
        <v>0.5</v>
      </c>
      <c r="F8" s="56">
        <f t="shared" si="1"/>
        <v>0.5</v>
      </c>
      <c r="G8" s="56">
        <f t="shared" si="2"/>
        <v>0</v>
      </c>
      <c r="H8" s="51" t="s">
        <v>120</v>
      </c>
    </row>
    <row r="9" spans="1:8" x14ac:dyDescent="0.25">
      <c r="A9" s="51"/>
      <c r="B9" s="55">
        <f>3490.8/2</f>
        <v>1745.4</v>
      </c>
      <c r="C9" s="55">
        <f>3490.8/2</f>
        <v>1745.4</v>
      </c>
      <c r="D9" s="55"/>
      <c r="E9" s="56">
        <f t="shared" si="0"/>
        <v>0.5</v>
      </c>
      <c r="F9" s="56">
        <f t="shared" si="1"/>
        <v>0.5</v>
      </c>
      <c r="G9" s="56">
        <f t="shared" si="2"/>
        <v>0</v>
      </c>
      <c r="H9" s="51" t="s">
        <v>121</v>
      </c>
    </row>
    <row r="10" spans="1:8" x14ac:dyDescent="0.25">
      <c r="A10" s="76">
        <v>1987</v>
      </c>
      <c r="B10" s="53">
        <v>4499.0200000000004</v>
      </c>
      <c r="C10" s="53">
        <v>4499.2</v>
      </c>
      <c r="D10" s="53"/>
      <c r="E10" s="54">
        <f t="shared" si="0"/>
        <v>0.49998999802183097</v>
      </c>
      <c r="F10" s="54">
        <f t="shared" si="1"/>
        <v>0.50001000197816892</v>
      </c>
      <c r="G10" s="54">
        <f t="shared" si="2"/>
        <v>0</v>
      </c>
      <c r="H10" s="52" t="s">
        <v>11</v>
      </c>
    </row>
    <row r="11" spans="1:8" x14ac:dyDescent="0.25">
      <c r="A11" s="52"/>
      <c r="B11" s="53">
        <f>372/2</f>
        <v>186</v>
      </c>
      <c r="C11" s="53">
        <f>372/2</f>
        <v>186</v>
      </c>
      <c r="D11" s="53"/>
      <c r="E11" s="54">
        <f t="shared" si="0"/>
        <v>0.5</v>
      </c>
      <c r="F11" s="54">
        <f t="shared" si="1"/>
        <v>0.5</v>
      </c>
      <c r="G11" s="54">
        <f t="shared" si="2"/>
        <v>0</v>
      </c>
      <c r="H11" s="52" t="s">
        <v>120</v>
      </c>
    </row>
    <row r="12" spans="1:8" x14ac:dyDescent="0.25">
      <c r="A12" s="52"/>
      <c r="B12" s="53">
        <f>3561.6/2</f>
        <v>1780.8</v>
      </c>
      <c r="C12" s="53">
        <f>3561.6/2</f>
        <v>1780.8</v>
      </c>
      <c r="D12" s="53"/>
      <c r="E12" s="54">
        <f t="shared" si="0"/>
        <v>0.5</v>
      </c>
      <c r="F12" s="54">
        <f t="shared" si="1"/>
        <v>0.5</v>
      </c>
      <c r="G12" s="54">
        <f t="shared" si="2"/>
        <v>0</v>
      </c>
      <c r="H12" s="52" t="s">
        <v>121</v>
      </c>
    </row>
    <row r="13" spans="1:8" x14ac:dyDescent="0.25">
      <c r="A13" s="77">
        <v>1988</v>
      </c>
      <c r="B13" s="55">
        <v>4499.0200000000004</v>
      </c>
      <c r="C13" s="55">
        <v>4499.2</v>
      </c>
      <c r="D13" s="55"/>
      <c r="E13" s="56">
        <f t="shared" si="0"/>
        <v>0.49998999802183097</v>
      </c>
      <c r="F13" s="56">
        <f t="shared" si="1"/>
        <v>0.50001000197816892</v>
      </c>
      <c r="G13" s="56">
        <f t="shared" si="2"/>
        <v>0</v>
      </c>
      <c r="H13" s="51" t="s">
        <v>11</v>
      </c>
    </row>
    <row r="14" spans="1:8" x14ac:dyDescent="0.25">
      <c r="A14" s="51"/>
      <c r="B14" s="55">
        <f>379/2</f>
        <v>189.5</v>
      </c>
      <c r="C14" s="55">
        <f>379/2</f>
        <v>189.5</v>
      </c>
      <c r="D14" s="55"/>
      <c r="E14" s="56">
        <f t="shared" si="0"/>
        <v>0.5</v>
      </c>
      <c r="F14" s="56">
        <f t="shared" si="1"/>
        <v>0.5</v>
      </c>
      <c r="G14" s="56">
        <f t="shared" si="2"/>
        <v>0</v>
      </c>
      <c r="H14" s="51" t="s">
        <v>120</v>
      </c>
    </row>
    <row r="15" spans="1:8" x14ac:dyDescent="0.25">
      <c r="A15" s="51"/>
      <c r="B15" s="55">
        <f>3632.39/2</f>
        <v>1816.1949999999999</v>
      </c>
      <c r="C15" s="55">
        <f>3632.39/2</f>
        <v>1816.1949999999999</v>
      </c>
      <c r="D15" s="55"/>
      <c r="E15" s="56">
        <f t="shared" si="0"/>
        <v>0.5</v>
      </c>
      <c r="F15" s="56">
        <f t="shared" si="1"/>
        <v>0.5</v>
      </c>
      <c r="G15" s="56">
        <f t="shared" si="2"/>
        <v>0</v>
      </c>
      <c r="H15" s="51" t="s">
        <v>121</v>
      </c>
    </row>
    <row r="16" spans="1:8" x14ac:dyDescent="0.25">
      <c r="A16" s="76">
        <v>1989</v>
      </c>
      <c r="B16" s="53">
        <v>4499.0200000000004</v>
      </c>
      <c r="C16" s="53">
        <v>4499.2</v>
      </c>
      <c r="D16" s="53"/>
      <c r="E16" s="54">
        <f t="shared" si="0"/>
        <v>0.49998999802183097</v>
      </c>
      <c r="F16" s="54">
        <f t="shared" si="1"/>
        <v>0.50001000197816892</v>
      </c>
      <c r="G16" s="54">
        <f t="shared" si="2"/>
        <v>0</v>
      </c>
      <c r="H16" s="52" t="s">
        <v>11</v>
      </c>
    </row>
    <row r="17" spans="1:8" x14ac:dyDescent="0.25">
      <c r="A17" s="52"/>
      <c r="B17" s="53">
        <f>387/2</f>
        <v>193.5</v>
      </c>
      <c r="C17" s="53">
        <f>387/2</f>
        <v>193.5</v>
      </c>
      <c r="D17" s="53"/>
      <c r="E17" s="54">
        <f t="shared" si="0"/>
        <v>0.5</v>
      </c>
      <c r="F17" s="54">
        <f t="shared" si="1"/>
        <v>0.5</v>
      </c>
      <c r="G17" s="54">
        <f t="shared" si="2"/>
        <v>0</v>
      </c>
      <c r="H17" s="52" t="s">
        <v>120</v>
      </c>
    </row>
    <row r="18" spans="1:8" x14ac:dyDescent="0.25">
      <c r="A18" s="52"/>
      <c r="B18" s="53">
        <f>3703.19/2</f>
        <v>1851.595</v>
      </c>
      <c r="C18" s="53">
        <f>3703.19/2</f>
        <v>1851.595</v>
      </c>
      <c r="D18" s="53"/>
      <c r="E18" s="54">
        <f t="shared" si="0"/>
        <v>0.5</v>
      </c>
      <c r="F18" s="54">
        <f t="shared" si="1"/>
        <v>0.5</v>
      </c>
      <c r="G18" s="54">
        <f t="shared" si="2"/>
        <v>0</v>
      </c>
      <c r="H18" s="52" t="s">
        <v>121</v>
      </c>
    </row>
    <row r="19" spans="1:8" x14ac:dyDescent="0.25">
      <c r="A19" s="77">
        <v>1990</v>
      </c>
      <c r="B19" s="55">
        <v>4499.0200000000004</v>
      </c>
      <c r="C19" s="55">
        <v>4499.2</v>
      </c>
      <c r="D19" s="55"/>
      <c r="E19" s="56">
        <f t="shared" si="0"/>
        <v>0.49998999802183097</v>
      </c>
      <c r="F19" s="56">
        <f t="shared" si="1"/>
        <v>0.50001000197816892</v>
      </c>
      <c r="G19" s="56">
        <f t="shared" si="2"/>
        <v>0</v>
      </c>
      <c r="H19" s="51" t="s">
        <v>11</v>
      </c>
    </row>
    <row r="20" spans="1:8" x14ac:dyDescent="0.25">
      <c r="A20" s="51"/>
      <c r="B20" s="55">
        <f>394/2</f>
        <v>197</v>
      </c>
      <c r="C20" s="55">
        <f>394/2</f>
        <v>197</v>
      </c>
      <c r="D20" s="55"/>
      <c r="E20" s="56">
        <f t="shared" si="0"/>
        <v>0.5</v>
      </c>
      <c r="F20" s="56">
        <f t="shared" si="1"/>
        <v>0.5</v>
      </c>
      <c r="G20" s="56">
        <f t="shared" si="2"/>
        <v>0</v>
      </c>
      <c r="H20" s="51" t="s">
        <v>120</v>
      </c>
    </row>
    <row r="21" spans="1:8" x14ac:dyDescent="0.25">
      <c r="A21" s="51"/>
      <c r="B21" s="55">
        <f>3773.99/2</f>
        <v>1886.9949999999999</v>
      </c>
      <c r="C21" s="55">
        <f>3773.99/2</f>
        <v>1886.9949999999999</v>
      </c>
      <c r="D21" s="55"/>
      <c r="E21" s="56">
        <f t="shared" si="0"/>
        <v>0.5</v>
      </c>
      <c r="F21" s="56">
        <f t="shared" si="1"/>
        <v>0.5</v>
      </c>
      <c r="G21" s="56">
        <f t="shared" si="2"/>
        <v>0</v>
      </c>
      <c r="H21" s="51" t="s">
        <v>121</v>
      </c>
    </row>
    <row r="22" spans="1:8" x14ac:dyDescent="0.25">
      <c r="A22" s="76">
        <v>1991</v>
      </c>
      <c r="B22" s="53">
        <f>4499.02</f>
        <v>4499.0200000000004</v>
      </c>
      <c r="C22" s="53">
        <v>4499.2</v>
      </c>
      <c r="D22" s="53"/>
      <c r="E22" s="54">
        <f t="shared" si="0"/>
        <v>0.49998999802183097</v>
      </c>
      <c r="F22" s="54">
        <f t="shared" si="1"/>
        <v>0.50001000197816892</v>
      </c>
      <c r="G22" s="54">
        <f t="shared" si="2"/>
        <v>0</v>
      </c>
      <c r="H22" s="52" t="s">
        <v>11</v>
      </c>
    </row>
    <row r="23" spans="1:8" x14ac:dyDescent="0.25">
      <c r="A23" s="52"/>
      <c r="B23" s="53">
        <f>-((2695*6))</f>
        <v>-16170</v>
      </c>
      <c r="C23" s="53"/>
      <c r="D23" s="53"/>
      <c r="E23" s="54">
        <f t="shared" si="0"/>
        <v>1</v>
      </c>
      <c r="F23" s="54">
        <f t="shared" si="1"/>
        <v>0</v>
      </c>
      <c r="G23" s="54">
        <f t="shared" si="2"/>
        <v>0</v>
      </c>
      <c r="H23" s="52" t="s">
        <v>151</v>
      </c>
    </row>
    <row r="24" spans="1:8" x14ac:dyDescent="0.25">
      <c r="A24" s="52"/>
      <c r="B24" s="53"/>
      <c r="C24" s="53"/>
      <c r="D24" s="53">
        <v>3844.79</v>
      </c>
      <c r="E24" s="54">
        <f t="shared" ref="E24" si="3">B24/(B24+C24+D24)</f>
        <v>0</v>
      </c>
      <c r="F24" s="54">
        <f t="shared" ref="F24" si="4">C24/(B24+C24+D24)</f>
        <v>0</v>
      </c>
      <c r="G24" s="54">
        <f t="shared" ref="G24" si="5">D24/(B24+C24+D24)</f>
        <v>1</v>
      </c>
      <c r="H24" s="52" t="s">
        <v>153</v>
      </c>
    </row>
    <row r="25" spans="1:8" x14ac:dyDescent="0.25">
      <c r="A25" s="52"/>
      <c r="B25" s="53"/>
      <c r="C25" s="53"/>
      <c r="D25" s="53">
        <v>402</v>
      </c>
      <c r="E25" s="54">
        <f t="shared" si="0"/>
        <v>0</v>
      </c>
      <c r="F25" s="54">
        <f t="shared" si="1"/>
        <v>0</v>
      </c>
      <c r="G25" s="54">
        <f t="shared" si="2"/>
        <v>1</v>
      </c>
      <c r="H25" s="52" t="s">
        <v>135</v>
      </c>
    </row>
    <row r="26" spans="1:8" x14ac:dyDescent="0.25">
      <c r="A26" s="42">
        <v>1992</v>
      </c>
      <c r="B26" s="3">
        <f>4499.02</f>
        <v>4499.0200000000004</v>
      </c>
      <c r="C26" s="3">
        <v>4499.2</v>
      </c>
      <c r="D26" s="3"/>
      <c r="E26" s="2">
        <f t="shared" si="0"/>
        <v>0.49998999802183097</v>
      </c>
      <c r="F26" s="2">
        <f t="shared" si="1"/>
        <v>0.50001000197816892</v>
      </c>
      <c r="G26" s="2">
        <f t="shared" si="2"/>
        <v>0</v>
      </c>
      <c r="H26" t="s">
        <v>11</v>
      </c>
    </row>
    <row r="27" spans="1:8" x14ac:dyDescent="0.25">
      <c r="B27" s="3"/>
      <c r="C27" s="3"/>
      <c r="D27" s="3">
        <v>4658.63</v>
      </c>
      <c r="E27" s="2">
        <f t="shared" si="0"/>
        <v>0</v>
      </c>
      <c r="F27" s="2">
        <f t="shared" si="1"/>
        <v>0</v>
      </c>
      <c r="G27" s="2">
        <f t="shared" si="2"/>
        <v>1</v>
      </c>
      <c r="H27" t="s">
        <v>127</v>
      </c>
    </row>
    <row r="28" spans="1:8" x14ac:dyDescent="0.25">
      <c r="B28" s="3">
        <f>-(2695*12)</f>
        <v>-32340</v>
      </c>
      <c r="C28" s="3"/>
      <c r="D28" s="3"/>
      <c r="E28" s="2">
        <f t="shared" si="0"/>
        <v>1</v>
      </c>
      <c r="F28" s="2">
        <f t="shared" si="1"/>
        <v>0</v>
      </c>
      <c r="G28" s="2">
        <f t="shared" si="2"/>
        <v>0</v>
      </c>
      <c r="H28" t="s">
        <v>151</v>
      </c>
    </row>
    <row r="29" spans="1:8" x14ac:dyDescent="0.25">
      <c r="B29" s="3"/>
      <c r="C29" s="3"/>
      <c r="D29" s="3">
        <v>409</v>
      </c>
      <c r="E29" s="2">
        <f t="shared" ref="E29" si="6">B29/(B29+C29+D29)</f>
        <v>0</v>
      </c>
      <c r="F29" s="2">
        <f t="shared" ref="F29" si="7">C29/(B29+C29+D29)</f>
        <v>0</v>
      </c>
      <c r="G29" s="2">
        <f t="shared" ref="G29" si="8">D29/(B29+C29+D29)</f>
        <v>1</v>
      </c>
      <c r="H29" t="s">
        <v>135</v>
      </c>
    </row>
    <row r="30" spans="1:8" x14ac:dyDescent="0.25">
      <c r="A30" s="78">
        <v>1993</v>
      </c>
      <c r="B30" s="49">
        <f>56006.85</f>
        <v>56006.85</v>
      </c>
      <c r="C30" s="49">
        <v>56006.85</v>
      </c>
      <c r="D30" s="49"/>
      <c r="E30" s="50">
        <f t="shared" si="0"/>
        <v>0.5</v>
      </c>
      <c r="F30" s="50">
        <f t="shared" si="1"/>
        <v>0.5</v>
      </c>
      <c r="G30" s="50">
        <f t="shared" si="2"/>
        <v>0</v>
      </c>
      <c r="H30" s="48" t="s">
        <v>129</v>
      </c>
    </row>
    <row r="31" spans="1:8" x14ac:dyDescent="0.25">
      <c r="A31" s="48"/>
      <c r="B31" s="49"/>
      <c r="C31" s="49"/>
      <c r="D31" s="49">
        <v>4742.8663127614773</v>
      </c>
      <c r="E31" s="50">
        <f t="shared" si="0"/>
        <v>0</v>
      </c>
      <c r="F31" s="50">
        <f t="shared" si="1"/>
        <v>0</v>
      </c>
      <c r="G31" s="50">
        <f t="shared" si="2"/>
        <v>1</v>
      </c>
      <c r="H31" s="48" t="s">
        <v>127</v>
      </c>
    </row>
    <row r="32" spans="1:8" x14ac:dyDescent="0.25">
      <c r="A32" s="48"/>
      <c r="B32" s="49">
        <f>-(2695*12)</f>
        <v>-32340</v>
      </c>
      <c r="C32" s="49"/>
      <c r="D32" s="49"/>
      <c r="E32" s="50">
        <f t="shared" si="0"/>
        <v>1</v>
      </c>
      <c r="F32" s="50">
        <f t="shared" si="1"/>
        <v>0</v>
      </c>
      <c r="G32" s="50">
        <f t="shared" si="2"/>
        <v>0</v>
      </c>
      <c r="H32" s="48" t="s">
        <v>151</v>
      </c>
    </row>
    <row r="33" spans="1:10" x14ac:dyDescent="0.25">
      <c r="A33" s="48"/>
      <c r="B33" s="49"/>
      <c r="C33" s="49"/>
      <c r="D33" s="49">
        <v>416</v>
      </c>
      <c r="E33" s="50">
        <f t="shared" si="0"/>
        <v>0</v>
      </c>
      <c r="F33" s="50">
        <f t="shared" si="1"/>
        <v>0</v>
      </c>
      <c r="G33" s="50">
        <f t="shared" si="2"/>
        <v>1</v>
      </c>
      <c r="H33" s="48" t="s">
        <v>135</v>
      </c>
    </row>
    <row r="34" spans="1:10" x14ac:dyDescent="0.25">
      <c r="A34" s="42">
        <v>1994</v>
      </c>
      <c r="B34" s="3"/>
      <c r="C34" s="3"/>
      <c r="D34" s="3">
        <v>4827.0992003634346</v>
      </c>
      <c r="E34" s="2">
        <f t="shared" si="0"/>
        <v>0</v>
      </c>
      <c r="F34" s="2">
        <f t="shared" si="1"/>
        <v>0</v>
      </c>
      <c r="G34" s="2">
        <f t="shared" si="2"/>
        <v>1</v>
      </c>
      <c r="H34" t="s">
        <v>127</v>
      </c>
    </row>
    <row r="35" spans="1:10" x14ac:dyDescent="0.25">
      <c r="B35" s="3">
        <f>-(2695*12)</f>
        <v>-32340</v>
      </c>
      <c r="C35" s="3"/>
      <c r="D35" s="3"/>
      <c r="E35" s="2">
        <f t="shared" si="0"/>
        <v>1</v>
      </c>
      <c r="F35" s="2">
        <f t="shared" si="1"/>
        <v>0</v>
      </c>
      <c r="G35" s="2">
        <f t="shared" si="2"/>
        <v>0</v>
      </c>
      <c r="H35" t="s">
        <v>151</v>
      </c>
    </row>
    <row r="36" spans="1:10" x14ac:dyDescent="0.25">
      <c r="B36" s="3"/>
      <c r="C36" s="3"/>
      <c r="D36" s="3">
        <v>424</v>
      </c>
      <c r="E36" s="2">
        <f t="shared" ref="E36" si="9">B36/(B36+C36+D36)</f>
        <v>0</v>
      </c>
      <c r="F36" s="2">
        <f t="shared" ref="F36" si="10">C36/(B36+C36+D36)</f>
        <v>0</v>
      </c>
      <c r="G36" s="2">
        <f t="shared" ref="G36" si="11">D36/(B36+C36+D36)</f>
        <v>1</v>
      </c>
      <c r="H36" t="s">
        <v>135</v>
      </c>
    </row>
    <row r="37" spans="1:10" x14ac:dyDescent="0.25">
      <c r="A37" s="78">
        <v>1995</v>
      </c>
      <c r="B37" s="49"/>
      <c r="C37" s="49"/>
      <c r="D37" s="49">
        <v>4911.3320879653938</v>
      </c>
      <c r="E37" s="50">
        <f t="shared" si="0"/>
        <v>0</v>
      </c>
      <c r="F37" s="50">
        <f t="shared" si="1"/>
        <v>0</v>
      </c>
      <c r="G37" s="50">
        <f t="shared" si="2"/>
        <v>1</v>
      </c>
      <c r="H37" s="48" t="s">
        <v>127</v>
      </c>
    </row>
    <row r="38" spans="1:10" x14ac:dyDescent="0.25">
      <c r="A38" s="48"/>
      <c r="B38" s="49">
        <f>-((2695*12))</f>
        <v>-32340</v>
      </c>
      <c r="C38" s="49"/>
      <c r="D38" s="49"/>
      <c r="E38" s="50">
        <f t="shared" si="0"/>
        <v>1</v>
      </c>
      <c r="F38" s="50">
        <f t="shared" si="1"/>
        <v>0</v>
      </c>
      <c r="G38" s="50">
        <f t="shared" si="2"/>
        <v>0</v>
      </c>
      <c r="H38" s="48" t="s">
        <v>151</v>
      </c>
    </row>
    <row r="39" spans="1:10" x14ac:dyDescent="0.25">
      <c r="A39" s="48"/>
      <c r="B39" s="49"/>
      <c r="C39" s="49"/>
      <c r="D39" s="49">
        <v>431</v>
      </c>
      <c r="E39" s="50">
        <f t="shared" si="0"/>
        <v>0</v>
      </c>
      <c r="F39" s="50">
        <f t="shared" si="1"/>
        <v>0</v>
      </c>
      <c r="G39" s="50">
        <f t="shared" si="2"/>
        <v>1</v>
      </c>
      <c r="H39" s="48" t="s">
        <v>135</v>
      </c>
    </row>
    <row r="40" spans="1:10" x14ac:dyDescent="0.25">
      <c r="A40" s="42">
        <v>1996</v>
      </c>
      <c r="B40" s="3"/>
      <c r="C40" s="3"/>
      <c r="D40" s="3">
        <v>4995.5649755673512</v>
      </c>
      <c r="E40" s="2">
        <f t="shared" si="0"/>
        <v>0</v>
      </c>
      <c r="F40" s="2">
        <f t="shared" si="1"/>
        <v>0</v>
      </c>
      <c r="G40" s="2">
        <f t="shared" si="2"/>
        <v>1</v>
      </c>
      <c r="H40" t="s">
        <v>127</v>
      </c>
    </row>
    <row r="41" spans="1:10" x14ac:dyDescent="0.25">
      <c r="B41" s="3">
        <f>-(2695*12)</f>
        <v>-32340</v>
      </c>
      <c r="C41" s="3"/>
      <c r="D41" s="3"/>
      <c r="E41" s="2">
        <f t="shared" si="0"/>
        <v>1</v>
      </c>
      <c r="F41" s="2">
        <f t="shared" si="1"/>
        <v>0</v>
      </c>
      <c r="G41" s="2">
        <f t="shared" si="2"/>
        <v>0</v>
      </c>
      <c r="H41" t="s">
        <v>151</v>
      </c>
    </row>
    <row r="42" spans="1:10" x14ac:dyDescent="0.25">
      <c r="B42" s="3"/>
      <c r="C42" s="3">
        <v>2264.75</v>
      </c>
      <c r="D42" s="3"/>
      <c r="E42" s="2">
        <f t="shared" si="0"/>
        <v>0</v>
      </c>
      <c r="F42" s="2">
        <f t="shared" si="1"/>
        <v>1</v>
      </c>
      <c r="G42" s="2">
        <f t="shared" si="2"/>
        <v>0</v>
      </c>
      <c r="H42" s="46" t="s">
        <v>142</v>
      </c>
    </row>
    <row r="43" spans="1:10" x14ac:dyDescent="0.25">
      <c r="B43" s="3"/>
      <c r="C43" s="3"/>
      <c r="D43" s="3">
        <v>439</v>
      </c>
      <c r="E43" s="2">
        <f t="shared" si="0"/>
        <v>0</v>
      </c>
      <c r="F43" s="2">
        <f t="shared" si="1"/>
        <v>0</v>
      </c>
      <c r="G43" s="2">
        <f t="shared" si="2"/>
        <v>1</v>
      </c>
      <c r="H43" t="s">
        <v>135</v>
      </c>
    </row>
    <row r="44" spans="1:10" x14ac:dyDescent="0.25">
      <c r="A44" s="78">
        <v>1997</v>
      </c>
      <c r="B44" s="49"/>
      <c r="C44" s="4">
        <v>2681.97</v>
      </c>
      <c r="D44" s="49">
        <f>5079.8-2681.97</f>
        <v>2397.8300000000004</v>
      </c>
      <c r="E44" s="50">
        <f t="shared" si="0"/>
        <v>0</v>
      </c>
      <c r="F44" s="50">
        <f t="shared" si="1"/>
        <v>0.52796763652112277</v>
      </c>
      <c r="G44" s="50">
        <f t="shared" si="2"/>
        <v>0.47203236347887717</v>
      </c>
      <c r="H44" s="48" t="s">
        <v>130</v>
      </c>
      <c r="J44" s="46"/>
    </row>
    <row r="45" spans="1:10" x14ac:dyDescent="0.25">
      <c r="A45" s="48"/>
      <c r="B45" s="6">
        <v>2194.33</v>
      </c>
      <c r="C45" s="49"/>
      <c r="D45" s="49"/>
      <c r="E45" s="50">
        <f t="shared" si="0"/>
        <v>1</v>
      </c>
      <c r="F45" s="50">
        <f t="shared" si="1"/>
        <v>0</v>
      </c>
      <c r="G45" s="50">
        <f t="shared" si="2"/>
        <v>0</v>
      </c>
      <c r="H45" s="48" t="s">
        <v>137</v>
      </c>
    </row>
    <row r="46" spans="1:10" x14ac:dyDescent="0.25">
      <c r="A46" s="48"/>
      <c r="B46" s="49">
        <f>-((2695*12))</f>
        <v>-32340</v>
      </c>
      <c r="C46" s="49"/>
      <c r="D46" s="49"/>
      <c r="E46" s="50">
        <f t="shared" si="0"/>
        <v>1</v>
      </c>
      <c r="F46" s="50">
        <f t="shared" si="1"/>
        <v>0</v>
      </c>
      <c r="G46" s="50">
        <f t="shared" si="2"/>
        <v>0</v>
      </c>
      <c r="H46" s="48" t="s">
        <v>151</v>
      </c>
    </row>
    <row r="47" spans="1:10" x14ac:dyDescent="0.25">
      <c r="A47" s="48"/>
      <c r="B47" s="49"/>
      <c r="C47" s="49"/>
      <c r="D47" s="49">
        <v>446</v>
      </c>
      <c r="E47" s="50">
        <f t="shared" si="0"/>
        <v>0</v>
      </c>
      <c r="F47" s="50">
        <f t="shared" si="1"/>
        <v>0</v>
      </c>
      <c r="G47" s="50">
        <f t="shared" si="2"/>
        <v>1</v>
      </c>
      <c r="H47" s="48" t="s">
        <v>135</v>
      </c>
    </row>
    <row r="48" spans="1:10" x14ac:dyDescent="0.25">
      <c r="A48" s="42">
        <v>1998</v>
      </c>
      <c r="B48" s="3"/>
      <c r="C48" s="4">
        <v>5915.99</v>
      </c>
      <c r="D48" s="3"/>
      <c r="E48" s="2">
        <f t="shared" si="0"/>
        <v>0</v>
      </c>
      <c r="F48" s="2">
        <f t="shared" si="1"/>
        <v>1</v>
      </c>
      <c r="G48" s="2">
        <f t="shared" si="2"/>
        <v>0</v>
      </c>
      <c r="H48" t="s">
        <v>12</v>
      </c>
    </row>
    <row r="49" spans="1:10" x14ac:dyDescent="0.25">
      <c r="B49" s="3">
        <f>-((2695*12))</f>
        <v>-32340</v>
      </c>
      <c r="C49" s="47"/>
      <c r="D49" s="3"/>
      <c r="E49" s="2">
        <f t="shared" si="0"/>
        <v>1</v>
      </c>
      <c r="F49" s="2">
        <f t="shared" si="1"/>
        <v>0</v>
      </c>
      <c r="G49" s="2">
        <f t="shared" si="2"/>
        <v>0</v>
      </c>
      <c r="H49" t="s">
        <v>151</v>
      </c>
    </row>
    <row r="50" spans="1:10" x14ac:dyDescent="0.25">
      <c r="B50" s="6">
        <v>2326.4699999999998</v>
      </c>
      <c r="C50" s="47"/>
      <c r="D50" s="3"/>
      <c r="E50" s="2">
        <f t="shared" si="0"/>
        <v>1</v>
      </c>
      <c r="F50" s="2">
        <f t="shared" si="1"/>
        <v>0</v>
      </c>
      <c r="G50" s="2">
        <f t="shared" si="2"/>
        <v>0</v>
      </c>
      <c r="H50" t="s">
        <v>137</v>
      </c>
    </row>
    <row r="51" spans="1:10" x14ac:dyDescent="0.25">
      <c r="B51" s="3"/>
      <c r="C51" s="5">
        <v>453</v>
      </c>
      <c r="D51" s="3"/>
      <c r="E51" s="2">
        <f t="shared" si="0"/>
        <v>0</v>
      </c>
      <c r="F51" s="2">
        <f t="shared" si="1"/>
        <v>1</v>
      </c>
      <c r="G51" s="2">
        <f t="shared" si="2"/>
        <v>0</v>
      </c>
      <c r="H51" t="s">
        <v>154</v>
      </c>
    </row>
    <row r="52" spans="1:10" x14ac:dyDescent="0.25">
      <c r="A52" s="78">
        <v>1999</v>
      </c>
      <c r="B52" s="49"/>
      <c r="C52" s="4">
        <v>5915.99</v>
      </c>
      <c r="D52" s="49"/>
      <c r="E52" s="50">
        <f t="shared" si="0"/>
        <v>0</v>
      </c>
      <c r="F52" s="50">
        <f t="shared" si="1"/>
        <v>1</v>
      </c>
      <c r="G52" s="50">
        <f t="shared" si="2"/>
        <v>0</v>
      </c>
      <c r="H52" s="48" t="s">
        <v>13</v>
      </c>
    </row>
    <row r="53" spans="1:10" x14ac:dyDescent="0.25">
      <c r="A53" s="48"/>
      <c r="B53" s="49">
        <f>-((2695*12))</f>
        <v>-32340</v>
      </c>
      <c r="C53" s="49"/>
      <c r="D53" s="49"/>
      <c r="E53" s="50">
        <f t="shared" si="0"/>
        <v>1</v>
      </c>
      <c r="F53" s="50">
        <f t="shared" si="1"/>
        <v>0</v>
      </c>
      <c r="G53" s="50">
        <f t="shared" si="2"/>
        <v>0</v>
      </c>
      <c r="H53" s="48" t="s">
        <v>151</v>
      </c>
    </row>
    <row r="54" spans="1:10" x14ac:dyDescent="0.25">
      <c r="A54" s="48"/>
      <c r="B54" s="6">
        <v>363.3</v>
      </c>
      <c r="C54" s="49"/>
      <c r="D54" s="49"/>
      <c r="E54" s="50">
        <f t="shared" si="0"/>
        <v>1</v>
      </c>
      <c r="F54" s="50">
        <f t="shared" si="1"/>
        <v>0</v>
      </c>
      <c r="G54" s="50">
        <f t="shared" si="2"/>
        <v>0</v>
      </c>
      <c r="H54" s="48" t="s">
        <v>137</v>
      </c>
      <c r="J54" s="46"/>
    </row>
    <row r="55" spans="1:10" x14ac:dyDescent="0.25">
      <c r="A55" s="48"/>
      <c r="B55" s="49"/>
      <c r="C55" s="5">
        <v>461</v>
      </c>
      <c r="D55" s="49"/>
      <c r="E55" s="50">
        <f t="shared" si="0"/>
        <v>0</v>
      </c>
      <c r="F55" s="50">
        <f t="shared" si="1"/>
        <v>1</v>
      </c>
      <c r="G55" s="50">
        <f t="shared" si="2"/>
        <v>0</v>
      </c>
      <c r="H55" s="48" t="s">
        <v>154</v>
      </c>
    </row>
    <row r="56" spans="1:10" x14ac:dyDescent="0.25">
      <c r="A56" s="42">
        <v>2000</v>
      </c>
      <c r="B56" s="3"/>
      <c r="C56" s="4">
        <v>6085.52</v>
      </c>
      <c r="D56" s="3"/>
      <c r="E56" s="2">
        <f t="shared" si="0"/>
        <v>0</v>
      </c>
      <c r="F56" s="2">
        <f t="shared" si="1"/>
        <v>1</v>
      </c>
      <c r="G56" s="2">
        <f t="shared" si="2"/>
        <v>0</v>
      </c>
      <c r="H56" t="s">
        <v>14</v>
      </c>
    </row>
    <row r="57" spans="1:10" x14ac:dyDescent="0.25">
      <c r="B57" s="3">
        <f>-((2695*6))-((2795*6))</f>
        <v>-32940</v>
      </c>
      <c r="C57" s="47"/>
      <c r="D57" s="3"/>
      <c r="E57" s="2">
        <f t="shared" si="0"/>
        <v>1</v>
      </c>
      <c r="F57" s="2">
        <f t="shared" si="1"/>
        <v>0</v>
      </c>
      <c r="G57" s="2">
        <f t="shared" si="2"/>
        <v>0</v>
      </c>
      <c r="H57" t="s">
        <v>151</v>
      </c>
    </row>
    <row r="58" spans="1:10" x14ac:dyDescent="0.25">
      <c r="B58" s="6">
        <v>961.42</v>
      </c>
      <c r="C58" s="47"/>
      <c r="D58" s="3"/>
      <c r="E58" s="2">
        <f t="shared" si="0"/>
        <v>1</v>
      </c>
      <c r="F58" s="2">
        <f t="shared" si="1"/>
        <v>0</v>
      </c>
      <c r="G58" s="2">
        <f t="shared" si="2"/>
        <v>0</v>
      </c>
      <c r="H58" t="s">
        <v>137</v>
      </c>
    </row>
    <row r="59" spans="1:10" x14ac:dyDescent="0.25">
      <c r="B59" s="3"/>
      <c r="C59" s="5">
        <v>468</v>
      </c>
      <c r="D59" s="3"/>
      <c r="E59" s="2">
        <f t="shared" si="0"/>
        <v>0</v>
      </c>
      <c r="F59" s="2">
        <f t="shared" si="1"/>
        <v>1</v>
      </c>
      <c r="G59" s="2">
        <f t="shared" si="2"/>
        <v>0</v>
      </c>
      <c r="H59" t="s">
        <v>154</v>
      </c>
    </row>
    <row r="60" spans="1:10" x14ac:dyDescent="0.25">
      <c r="A60" s="78">
        <v>2001</v>
      </c>
      <c r="B60" s="49"/>
      <c r="C60" s="4">
        <v>3461.05</v>
      </c>
      <c r="D60" s="49">
        <v>3461.05</v>
      </c>
      <c r="E60" s="50">
        <f t="shared" si="0"/>
        <v>0</v>
      </c>
      <c r="F60" s="50">
        <f t="shared" si="1"/>
        <v>0.5</v>
      </c>
      <c r="G60" s="50">
        <f t="shared" si="2"/>
        <v>0.5</v>
      </c>
      <c r="H60" s="48" t="s">
        <v>15</v>
      </c>
    </row>
    <row r="61" spans="1:10" x14ac:dyDescent="0.25">
      <c r="A61" s="48"/>
      <c r="B61" s="49">
        <f>-((2795*6))-((211.67+3175+3975+3975+1575+3175+3175))</f>
        <v>-36031.67</v>
      </c>
      <c r="C61" s="59"/>
      <c r="D61" s="49"/>
      <c r="E61" s="50">
        <f t="shared" si="0"/>
        <v>1</v>
      </c>
      <c r="F61" s="50">
        <f t="shared" si="1"/>
        <v>0</v>
      </c>
      <c r="G61" s="50">
        <f t="shared" si="2"/>
        <v>0</v>
      </c>
      <c r="H61" s="48" t="s">
        <v>151</v>
      </c>
    </row>
    <row r="62" spans="1:10" x14ac:dyDescent="0.25">
      <c r="A62" s="48"/>
      <c r="B62" s="49"/>
      <c r="C62" s="49"/>
      <c r="D62" s="49">
        <v>538</v>
      </c>
      <c r="E62" s="50">
        <f t="shared" si="0"/>
        <v>0</v>
      </c>
      <c r="F62" s="50">
        <f t="shared" si="1"/>
        <v>0</v>
      </c>
      <c r="G62" s="50">
        <f t="shared" si="2"/>
        <v>1</v>
      </c>
      <c r="H62" s="48" t="s">
        <v>135</v>
      </c>
    </row>
    <row r="63" spans="1:10" x14ac:dyDescent="0.25">
      <c r="A63" s="42">
        <v>2002</v>
      </c>
      <c r="B63" s="3"/>
      <c r="C63" s="4">
        <v>3687.62</v>
      </c>
      <c r="D63" s="3">
        <v>3687.62</v>
      </c>
      <c r="E63" s="2">
        <f t="shared" si="0"/>
        <v>0</v>
      </c>
      <c r="F63" s="2">
        <f t="shared" si="1"/>
        <v>0.5</v>
      </c>
      <c r="G63" s="2">
        <f t="shared" si="2"/>
        <v>0.5</v>
      </c>
      <c r="H63" t="s">
        <v>16</v>
      </c>
      <c r="J63" s="46"/>
    </row>
    <row r="64" spans="1:10" x14ac:dyDescent="0.25">
      <c r="B64" s="3">
        <f>-((3175*7)+((3568.7*5)))</f>
        <v>-40068.5</v>
      </c>
      <c r="C64" s="47"/>
      <c r="D64" s="3"/>
      <c r="E64" s="2">
        <f t="shared" si="0"/>
        <v>1</v>
      </c>
      <c r="F64" s="2">
        <f t="shared" si="1"/>
        <v>0</v>
      </c>
      <c r="G64" s="2">
        <f t="shared" si="2"/>
        <v>0</v>
      </c>
      <c r="H64" t="s">
        <v>151</v>
      </c>
      <c r="J64" s="46"/>
    </row>
    <row r="65" spans="1:10" x14ac:dyDescent="0.25">
      <c r="B65" s="3"/>
      <c r="C65" s="3"/>
      <c r="D65" s="3">
        <v>576</v>
      </c>
      <c r="E65" s="2">
        <f t="shared" si="0"/>
        <v>0</v>
      </c>
      <c r="F65" s="2">
        <f t="shared" si="1"/>
        <v>0</v>
      </c>
      <c r="G65" s="2">
        <f t="shared" si="2"/>
        <v>1</v>
      </c>
      <c r="H65" t="s">
        <v>135</v>
      </c>
      <c r="J65" s="70"/>
    </row>
    <row r="66" spans="1:10" x14ac:dyDescent="0.25">
      <c r="A66" s="78">
        <v>2003</v>
      </c>
      <c r="B66" s="6">
        <f>3650.85+864.75</f>
        <v>4515.6000000000004</v>
      </c>
      <c r="C66" s="49"/>
      <c r="D66" s="49">
        <f>8530.19-B66</f>
        <v>4014.59</v>
      </c>
      <c r="E66" s="50">
        <f t="shared" si="0"/>
        <v>0.52936687225020784</v>
      </c>
      <c r="F66" s="50">
        <f t="shared" si="1"/>
        <v>0</v>
      </c>
      <c r="G66" s="50">
        <f t="shared" si="2"/>
        <v>0.47063312774979221</v>
      </c>
      <c r="H66" s="48" t="s">
        <v>127</v>
      </c>
    </row>
    <row r="67" spans="1:10" x14ac:dyDescent="0.25">
      <c r="A67" s="48"/>
      <c r="B67" s="49">
        <f>-(47506.58)</f>
        <v>-47506.58</v>
      </c>
      <c r="C67" s="49"/>
      <c r="D67" s="49"/>
      <c r="E67" s="50">
        <f t="shared" si="0"/>
        <v>1</v>
      </c>
      <c r="F67" s="50">
        <f t="shared" si="1"/>
        <v>0</v>
      </c>
      <c r="G67" s="50">
        <f t="shared" si="2"/>
        <v>0</v>
      </c>
      <c r="H67" s="48" t="s">
        <v>151</v>
      </c>
    </row>
    <row r="68" spans="1:10" x14ac:dyDescent="0.25">
      <c r="A68" s="48"/>
      <c r="B68" s="6">
        <v>1039.1500000000001</v>
      </c>
      <c r="C68" s="49"/>
      <c r="D68" s="49"/>
      <c r="E68" s="50">
        <f t="shared" si="0"/>
        <v>1</v>
      </c>
      <c r="F68" s="50">
        <f t="shared" si="1"/>
        <v>0</v>
      </c>
      <c r="G68" s="50">
        <f t="shared" si="2"/>
        <v>0</v>
      </c>
      <c r="H68" s="48" t="s">
        <v>137</v>
      </c>
    </row>
    <row r="69" spans="1:10" x14ac:dyDescent="0.25">
      <c r="A69" s="48"/>
      <c r="B69" s="49"/>
      <c r="C69" s="49"/>
      <c r="D69" s="49">
        <v>749</v>
      </c>
      <c r="E69" s="50">
        <f t="shared" si="0"/>
        <v>0</v>
      </c>
      <c r="F69" s="50">
        <f t="shared" si="1"/>
        <v>0</v>
      </c>
      <c r="G69" s="50">
        <f t="shared" si="2"/>
        <v>1</v>
      </c>
      <c r="H69" s="48" t="s">
        <v>135</v>
      </c>
    </row>
    <row r="70" spans="1:10" x14ac:dyDescent="0.25">
      <c r="A70" s="42">
        <v>2004</v>
      </c>
      <c r="B70" s="3"/>
      <c r="C70" s="4">
        <v>627.4</v>
      </c>
      <c r="D70" s="3">
        <f>627.4+8173.4</f>
        <v>8800.7999999999993</v>
      </c>
      <c r="E70" s="2">
        <f t="shared" si="0"/>
        <v>0</v>
      </c>
      <c r="F70" s="2">
        <f t="shared" si="1"/>
        <v>6.6545045713922071E-2</v>
      </c>
      <c r="G70" s="2">
        <f t="shared" si="2"/>
        <v>0.93345495428607794</v>
      </c>
      <c r="H70" t="s">
        <v>128</v>
      </c>
    </row>
    <row r="71" spans="1:10" x14ac:dyDescent="0.25">
      <c r="B71" s="3">
        <f>-(30034.24)</f>
        <v>-30034.240000000002</v>
      </c>
      <c r="C71" s="47"/>
      <c r="D71" s="3"/>
      <c r="E71" s="2">
        <f t="shared" si="0"/>
        <v>1</v>
      </c>
      <c r="F71" s="2">
        <f t="shared" si="1"/>
        <v>0</v>
      </c>
      <c r="G71" s="2">
        <f t="shared" si="2"/>
        <v>0</v>
      </c>
      <c r="H71" t="s">
        <v>151</v>
      </c>
    </row>
    <row r="72" spans="1:10" x14ac:dyDescent="0.25">
      <c r="B72" s="6">
        <v>4181</v>
      </c>
      <c r="C72" s="47"/>
      <c r="D72" s="3"/>
      <c r="E72" s="2">
        <f t="shared" si="0"/>
        <v>1</v>
      </c>
      <c r="F72" s="2">
        <f t="shared" si="1"/>
        <v>0</v>
      </c>
      <c r="G72" s="2">
        <f t="shared" si="2"/>
        <v>0</v>
      </c>
      <c r="H72" t="s">
        <v>138</v>
      </c>
    </row>
    <row r="73" spans="1:10" x14ac:dyDescent="0.25">
      <c r="B73" s="47"/>
      <c r="C73" s="4">
        <v>750</v>
      </c>
      <c r="D73" s="3"/>
      <c r="E73" s="2">
        <f t="shared" ref="E73" si="12">B73/(B73+C73+D73)</f>
        <v>0</v>
      </c>
      <c r="F73" s="2">
        <f t="shared" ref="F73" si="13">C73/(B73+C73+D73)</f>
        <v>1</v>
      </c>
      <c r="G73" s="2">
        <f t="shared" ref="G73" si="14">D73/(B73+C73+D73)</f>
        <v>0</v>
      </c>
      <c r="H73" t="s">
        <v>162</v>
      </c>
    </row>
    <row r="74" spans="1:10" x14ac:dyDescent="0.25">
      <c r="B74" s="3"/>
      <c r="C74" s="5">
        <v>854</v>
      </c>
      <c r="D74" s="3"/>
      <c r="E74" s="2">
        <f t="shared" si="0"/>
        <v>0</v>
      </c>
      <c r="F74" s="2">
        <f t="shared" si="1"/>
        <v>1</v>
      </c>
      <c r="G74" s="2">
        <f t="shared" si="2"/>
        <v>0</v>
      </c>
      <c r="H74" t="s">
        <v>154</v>
      </c>
    </row>
    <row r="75" spans="1:10" x14ac:dyDescent="0.25">
      <c r="A75" s="78">
        <v>2005</v>
      </c>
      <c r="B75" s="68"/>
      <c r="C75" s="68"/>
      <c r="D75" s="68">
        <v>12270.892986264989</v>
      </c>
      <c r="E75" s="69">
        <f t="shared" si="0"/>
        <v>0</v>
      </c>
      <c r="F75" s="69">
        <f t="shared" si="1"/>
        <v>0</v>
      </c>
      <c r="G75" s="69">
        <f t="shared" si="2"/>
        <v>1</v>
      </c>
      <c r="H75" s="67" t="s">
        <v>127</v>
      </c>
    </row>
    <row r="76" spans="1:10" x14ac:dyDescent="0.25">
      <c r="A76" s="67"/>
      <c r="B76" s="68">
        <v>-37916</v>
      </c>
      <c r="C76" s="68"/>
      <c r="D76" s="68"/>
      <c r="E76" s="69">
        <f t="shared" si="0"/>
        <v>1</v>
      </c>
      <c r="F76" s="69">
        <f t="shared" si="1"/>
        <v>0</v>
      </c>
      <c r="G76" s="69">
        <f t="shared" si="2"/>
        <v>0</v>
      </c>
      <c r="H76" s="67" t="s">
        <v>151</v>
      </c>
    </row>
    <row r="77" spans="1:10" x14ac:dyDescent="0.25">
      <c r="A77" s="67"/>
      <c r="B77" s="68"/>
      <c r="C77" s="68"/>
      <c r="D77" s="68">
        <v>1077</v>
      </c>
      <c r="E77" s="69">
        <f t="shared" si="0"/>
        <v>0</v>
      </c>
      <c r="F77" s="69">
        <f t="shared" si="1"/>
        <v>0</v>
      </c>
      <c r="G77" s="69">
        <f t="shared" si="2"/>
        <v>1</v>
      </c>
      <c r="H77" s="67" t="s">
        <v>135</v>
      </c>
    </row>
    <row r="78" spans="1:10" x14ac:dyDescent="0.25">
      <c r="A78" s="42">
        <v>2006</v>
      </c>
      <c r="B78" s="3"/>
      <c r="C78" s="3"/>
      <c r="D78" s="3">
        <v>12609.976587260473</v>
      </c>
      <c r="E78" s="2">
        <f t="shared" si="0"/>
        <v>0</v>
      </c>
      <c r="F78" s="2">
        <f t="shared" si="1"/>
        <v>0</v>
      </c>
      <c r="G78" s="2">
        <f t="shared" si="2"/>
        <v>1</v>
      </c>
      <c r="H78" t="s">
        <v>127</v>
      </c>
    </row>
    <row r="79" spans="1:10" x14ac:dyDescent="0.25">
      <c r="B79" s="57">
        <v>-37916</v>
      </c>
      <c r="C79" s="47"/>
      <c r="D79" s="3"/>
      <c r="E79" s="2">
        <f t="shared" si="0"/>
        <v>1</v>
      </c>
      <c r="F79" s="2">
        <f t="shared" si="1"/>
        <v>0</v>
      </c>
      <c r="G79" s="2">
        <f t="shared" si="2"/>
        <v>0</v>
      </c>
      <c r="H79" t="s">
        <v>151</v>
      </c>
    </row>
    <row r="80" spans="1:10" x14ac:dyDescent="0.25">
      <c r="B80" s="3"/>
      <c r="C80" s="3"/>
      <c r="D80" s="3">
        <v>1107</v>
      </c>
      <c r="E80" s="2">
        <f t="shared" si="0"/>
        <v>0</v>
      </c>
      <c r="F80" s="2">
        <f t="shared" si="1"/>
        <v>0</v>
      </c>
      <c r="G80" s="2">
        <f t="shared" si="2"/>
        <v>1</v>
      </c>
      <c r="H80" t="s">
        <v>135</v>
      </c>
    </row>
    <row r="81" spans="1:10" x14ac:dyDescent="0.25">
      <c r="A81" s="78">
        <v>2007</v>
      </c>
      <c r="B81" s="6">
        <f>961.48+4291.07</f>
        <v>5252.5499999999993</v>
      </c>
      <c r="C81" s="49"/>
      <c r="D81" s="49">
        <f>961.48+4291.07</f>
        <v>5252.5499999999993</v>
      </c>
      <c r="E81" s="50">
        <f t="shared" si="0"/>
        <v>0.5</v>
      </c>
      <c r="F81" s="50">
        <f t="shared" si="1"/>
        <v>0</v>
      </c>
      <c r="G81" s="50">
        <f t="shared" si="2"/>
        <v>0.5</v>
      </c>
      <c r="H81" s="48" t="s">
        <v>9</v>
      </c>
    </row>
    <row r="82" spans="1:10" x14ac:dyDescent="0.25">
      <c r="A82" s="67"/>
      <c r="B82" s="75">
        <v>-37916</v>
      </c>
      <c r="C82" s="68"/>
      <c r="D82" s="68"/>
      <c r="E82" s="50">
        <f t="shared" si="0"/>
        <v>1</v>
      </c>
      <c r="F82" s="50">
        <f t="shared" si="1"/>
        <v>0</v>
      </c>
      <c r="G82" s="50">
        <f t="shared" si="2"/>
        <v>0</v>
      </c>
      <c r="H82" s="67" t="s">
        <v>151</v>
      </c>
    </row>
    <row r="83" spans="1:10" x14ac:dyDescent="0.25">
      <c r="A83" s="52"/>
      <c r="B83" s="53"/>
      <c r="C83" s="49"/>
      <c r="D83" s="49">
        <v>1147</v>
      </c>
      <c r="E83" s="50">
        <f t="shared" si="0"/>
        <v>0</v>
      </c>
      <c r="F83" s="50">
        <f t="shared" si="1"/>
        <v>0</v>
      </c>
      <c r="G83" s="50">
        <f t="shared" si="2"/>
        <v>1</v>
      </c>
      <c r="H83" s="48" t="s">
        <v>135</v>
      </c>
    </row>
    <row r="84" spans="1:10" x14ac:dyDescent="0.25">
      <c r="A84" s="42">
        <v>2008</v>
      </c>
      <c r="B84" s="6">
        <f>880.72+3879.22+3879.21+880.72</f>
        <v>9519.869999999999</v>
      </c>
      <c r="C84" s="3"/>
      <c r="D84" s="3"/>
      <c r="E84" s="2">
        <f t="shared" si="0"/>
        <v>1</v>
      </c>
      <c r="F84" s="2">
        <f t="shared" si="1"/>
        <v>0</v>
      </c>
      <c r="G84" s="2">
        <f t="shared" si="2"/>
        <v>0</v>
      </c>
      <c r="H84" t="s">
        <v>9</v>
      </c>
    </row>
    <row r="85" spans="1:10" x14ac:dyDescent="0.25">
      <c r="B85" s="3">
        <v>-37916</v>
      </c>
      <c r="C85" s="47"/>
      <c r="D85" s="3"/>
      <c r="E85" s="2">
        <f t="shared" si="0"/>
        <v>1</v>
      </c>
      <c r="F85" s="2">
        <f t="shared" si="1"/>
        <v>0</v>
      </c>
      <c r="G85" s="2">
        <f t="shared" si="2"/>
        <v>0</v>
      </c>
      <c r="H85" t="s">
        <v>151</v>
      </c>
    </row>
    <row r="86" spans="1:10" x14ac:dyDescent="0.25">
      <c r="B86" s="3"/>
      <c r="C86" s="3"/>
      <c r="D86" s="3">
        <v>1003</v>
      </c>
      <c r="E86" s="2">
        <f t="shared" ref="E86" si="15">B86/(B86+C86+D86)</f>
        <v>0</v>
      </c>
      <c r="F86" s="2">
        <f t="shared" ref="F86" si="16">C86/(B86+C86+D86)</f>
        <v>0</v>
      </c>
      <c r="G86" s="2">
        <f t="shared" ref="G86" si="17">D86/(B86+C86+D86)</f>
        <v>1</v>
      </c>
      <c r="H86" t="s">
        <v>135</v>
      </c>
    </row>
    <row r="87" spans="1:10" x14ac:dyDescent="0.25">
      <c r="A87" s="78">
        <v>2009</v>
      </c>
      <c r="B87" s="6">
        <f>4281.82+938.22</f>
        <v>5220.04</v>
      </c>
      <c r="C87" s="49"/>
      <c r="D87" s="57">
        <f>4322.97+938.99</f>
        <v>5261.96</v>
      </c>
      <c r="E87" s="50">
        <f t="shared" ref="E87:E118" si="18">B87/(B87+C87+D87)</f>
        <v>0.49800038160656362</v>
      </c>
      <c r="F87" s="50">
        <f t="shared" ref="F87:F133" si="19">C87/(B87+C87+D87)</f>
        <v>0</v>
      </c>
      <c r="G87" s="50">
        <f t="shared" ref="G87:G125" si="20">D87/(B87+C87+D87)</f>
        <v>0.50199961839343632</v>
      </c>
      <c r="H87" s="48" t="s">
        <v>159</v>
      </c>
    </row>
    <row r="88" spans="1:10" x14ac:dyDescent="0.25">
      <c r="A88" s="67"/>
      <c r="B88" s="75">
        <v>-42178</v>
      </c>
      <c r="C88" s="68"/>
      <c r="D88" s="68"/>
      <c r="E88" s="50">
        <f t="shared" si="18"/>
        <v>1</v>
      </c>
      <c r="F88" s="50">
        <f t="shared" si="19"/>
        <v>0</v>
      </c>
      <c r="G88" s="50">
        <f t="shared" si="20"/>
        <v>0</v>
      </c>
      <c r="H88" s="67" t="s">
        <v>151</v>
      </c>
    </row>
    <row r="89" spans="1:10" x14ac:dyDescent="0.25">
      <c r="A89" s="48"/>
      <c r="B89" s="6">
        <v>979</v>
      </c>
      <c r="C89" s="49"/>
      <c r="D89" s="49"/>
      <c r="E89" s="50">
        <f t="shared" si="18"/>
        <v>1</v>
      </c>
      <c r="F89" s="50">
        <f t="shared" si="19"/>
        <v>0</v>
      </c>
      <c r="G89" s="50">
        <f t="shared" si="20"/>
        <v>0</v>
      </c>
      <c r="H89" s="48" t="s">
        <v>135</v>
      </c>
    </row>
    <row r="90" spans="1:10" x14ac:dyDescent="0.25">
      <c r="A90" s="42">
        <v>2010</v>
      </c>
      <c r="B90" s="6">
        <v>981.78</v>
      </c>
      <c r="C90" s="3"/>
      <c r="D90" s="3">
        <f>10879.2938877795-981.78</f>
        <v>9897.5138877794998</v>
      </c>
      <c r="E90" s="2">
        <f t="shared" si="18"/>
        <v>9.0242989124764278E-2</v>
      </c>
      <c r="F90" s="56">
        <f t="shared" si="19"/>
        <v>0</v>
      </c>
      <c r="G90" s="56">
        <f t="shared" si="20"/>
        <v>0.90975701087523564</v>
      </c>
      <c r="H90" s="51" t="s">
        <v>127</v>
      </c>
    </row>
    <row r="91" spans="1:10" x14ac:dyDescent="0.25">
      <c r="B91" s="57">
        <f>(4000*6)/2</f>
        <v>12000</v>
      </c>
      <c r="C91" s="57">
        <f>(4000*6)/2</f>
        <v>12000</v>
      </c>
      <c r="D91" s="3"/>
      <c r="E91" s="2">
        <f t="shared" si="18"/>
        <v>0.5</v>
      </c>
      <c r="F91" s="56">
        <f t="shared" si="19"/>
        <v>0.5</v>
      </c>
      <c r="G91" s="56">
        <f t="shared" si="20"/>
        <v>0</v>
      </c>
      <c r="H91" s="51" t="s">
        <v>156</v>
      </c>
    </row>
    <row r="92" spans="1:10" x14ac:dyDescent="0.25">
      <c r="B92" s="3"/>
      <c r="C92" s="3"/>
      <c r="D92" s="3">
        <v>955</v>
      </c>
      <c r="E92" s="2">
        <f t="shared" si="18"/>
        <v>0</v>
      </c>
      <c r="F92" s="56">
        <f t="shared" si="19"/>
        <v>0</v>
      </c>
      <c r="G92" s="56">
        <f t="shared" si="20"/>
        <v>1</v>
      </c>
      <c r="H92" s="51" t="s">
        <v>135</v>
      </c>
    </row>
    <row r="93" spans="1:10" x14ac:dyDescent="0.25">
      <c r="A93" s="78">
        <v>2011</v>
      </c>
      <c r="B93" s="49"/>
      <c r="C93" s="49"/>
      <c r="D93" s="49">
        <v>10986.17</v>
      </c>
      <c r="E93" s="50">
        <f t="shared" si="18"/>
        <v>0</v>
      </c>
      <c r="F93" s="50">
        <f t="shared" si="19"/>
        <v>0</v>
      </c>
      <c r="G93" s="50">
        <f t="shared" si="20"/>
        <v>1</v>
      </c>
      <c r="H93" s="48" t="s">
        <v>127</v>
      </c>
    </row>
    <row r="94" spans="1:10" x14ac:dyDescent="0.25">
      <c r="A94" s="48"/>
      <c r="B94" s="49"/>
      <c r="C94" s="49"/>
      <c r="D94" s="49">
        <v>964</v>
      </c>
      <c r="E94" s="50">
        <f t="shared" si="18"/>
        <v>0</v>
      </c>
      <c r="F94" s="50">
        <f t="shared" si="19"/>
        <v>0</v>
      </c>
      <c r="G94" s="50">
        <f t="shared" si="20"/>
        <v>1</v>
      </c>
      <c r="H94" s="48" t="s">
        <v>135</v>
      </c>
    </row>
    <row r="95" spans="1:10" x14ac:dyDescent="0.25">
      <c r="A95" s="42">
        <v>2012</v>
      </c>
      <c r="B95" s="6">
        <f>4524.89+999.52</f>
        <v>5524.41</v>
      </c>
      <c r="C95" s="3"/>
      <c r="D95" s="3">
        <f>4524.89+999.52</f>
        <v>5524.41</v>
      </c>
      <c r="E95" s="2">
        <f t="shared" si="18"/>
        <v>0.5</v>
      </c>
      <c r="F95" s="2">
        <f t="shared" si="19"/>
        <v>0</v>
      </c>
      <c r="G95" s="2">
        <f t="shared" si="20"/>
        <v>0.5</v>
      </c>
      <c r="H95" t="s">
        <v>9</v>
      </c>
    </row>
    <row r="96" spans="1:10" x14ac:dyDescent="0.25">
      <c r="B96" s="47">
        <v>-5915</v>
      </c>
      <c r="C96" s="57">
        <v>-5915</v>
      </c>
      <c r="D96" s="3"/>
      <c r="E96" s="2">
        <f t="shared" si="18"/>
        <v>0.5</v>
      </c>
      <c r="F96" s="2">
        <f t="shared" si="19"/>
        <v>0.5</v>
      </c>
      <c r="G96" s="2">
        <f t="shared" si="20"/>
        <v>0</v>
      </c>
      <c r="H96" t="s">
        <v>149</v>
      </c>
      <c r="J96" s="46"/>
    </row>
    <row r="97" spans="1:10" x14ac:dyDescent="0.25">
      <c r="B97" s="47"/>
      <c r="C97" s="3">
        <f>10509.55</f>
        <v>10509.55</v>
      </c>
      <c r="D97" s="3"/>
      <c r="E97" s="2">
        <f t="shared" si="18"/>
        <v>0</v>
      </c>
      <c r="F97" s="2">
        <f t="shared" si="19"/>
        <v>1</v>
      </c>
      <c r="G97" s="2">
        <f t="shared" si="20"/>
        <v>0</v>
      </c>
      <c r="H97" t="s">
        <v>150</v>
      </c>
      <c r="J97" s="46"/>
    </row>
    <row r="98" spans="1:10" x14ac:dyDescent="0.25">
      <c r="B98" s="57">
        <v>110</v>
      </c>
      <c r="C98" s="3"/>
      <c r="D98" s="3"/>
      <c r="E98" s="2">
        <f t="shared" si="18"/>
        <v>1</v>
      </c>
      <c r="F98" s="2">
        <f t="shared" si="19"/>
        <v>0</v>
      </c>
      <c r="G98" s="2">
        <f t="shared" si="20"/>
        <v>0</v>
      </c>
      <c r="H98" t="s">
        <v>131</v>
      </c>
      <c r="J98" s="46"/>
    </row>
    <row r="99" spans="1:10" x14ac:dyDescent="0.25">
      <c r="B99" s="57">
        <f>(4000*6)/2</f>
        <v>12000</v>
      </c>
      <c r="C99" s="57">
        <f>(4000*6)/2</f>
        <v>12000</v>
      </c>
      <c r="D99" s="3"/>
      <c r="E99" s="2">
        <f t="shared" si="18"/>
        <v>0.5</v>
      </c>
      <c r="F99" s="2">
        <f t="shared" si="19"/>
        <v>0.5</v>
      </c>
      <c r="G99" s="2">
        <f t="shared" si="20"/>
        <v>0</v>
      </c>
      <c r="H99" t="s">
        <v>156</v>
      </c>
      <c r="J99" s="46"/>
    </row>
    <row r="100" spans="1:10" x14ac:dyDescent="0.25">
      <c r="B100" s="6">
        <v>983</v>
      </c>
      <c r="C100" s="3"/>
      <c r="D100" s="3"/>
      <c r="E100" s="2">
        <f t="shared" si="18"/>
        <v>1</v>
      </c>
      <c r="F100" s="2">
        <f t="shared" si="19"/>
        <v>0</v>
      </c>
      <c r="G100" s="2">
        <f t="shared" si="20"/>
        <v>0</v>
      </c>
      <c r="H100" t="s">
        <v>135</v>
      </c>
    </row>
    <row r="101" spans="1:10" x14ac:dyDescent="0.25">
      <c r="A101" s="78">
        <v>2013</v>
      </c>
      <c r="B101" s="49"/>
      <c r="C101" s="6">
        <f>4450.75+920.94+4450.75+920.94</f>
        <v>10743.380000000001</v>
      </c>
      <c r="D101" s="49"/>
      <c r="E101" s="50">
        <f t="shared" si="18"/>
        <v>0</v>
      </c>
      <c r="F101" s="50">
        <f t="shared" si="19"/>
        <v>1</v>
      </c>
      <c r="G101" s="50">
        <f t="shared" si="20"/>
        <v>0</v>
      </c>
      <c r="H101" s="48" t="s">
        <v>126</v>
      </c>
    </row>
    <row r="102" spans="1:10" x14ac:dyDescent="0.25">
      <c r="A102" s="48"/>
      <c r="B102" s="49">
        <v>-19200</v>
      </c>
      <c r="C102" s="57">
        <v>-19200</v>
      </c>
      <c r="D102" s="49"/>
      <c r="E102" s="50">
        <f t="shared" si="18"/>
        <v>0.5</v>
      </c>
      <c r="F102" s="50">
        <f t="shared" si="19"/>
        <v>0.5</v>
      </c>
      <c r="G102" s="50">
        <f t="shared" si="20"/>
        <v>0</v>
      </c>
      <c r="H102" s="48" t="s">
        <v>149</v>
      </c>
    </row>
    <row r="103" spans="1:10" x14ac:dyDescent="0.25">
      <c r="A103" s="48"/>
      <c r="B103" s="49"/>
      <c r="C103" s="49">
        <f>3207.36</f>
        <v>3207.36</v>
      </c>
      <c r="D103" s="49"/>
      <c r="E103" s="50">
        <f t="shared" si="18"/>
        <v>0</v>
      </c>
      <c r="F103" s="50">
        <f t="shared" si="19"/>
        <v>1</v>
      </c>
      <c r="G103" s="50">
        <f t="shared" si="20"/>
        <v>0</v>
      </c>
      <c r="H103" s="48" t="s">
        <v>150</v>
      </c>
    </row>
    <row r="104" spans="1:10" x14ac:dyDescent="0.25">
      <c r="A104" s="48"/>
      <c r="B104" s="49"/>
      <c r="C104" s="6">
        <v>958</v>
      </c>
      <c r="D104" s="49"/>
      <c r="E104" s="50">
        <f t="shared" si="18"/>
        <v>0</v>
      </c>
      <c r="F104" s="50">
        <f t="shared" si="19"/>
        <v>1</v>
      </c>
      <c r="G104" s="50">
        <f t="shared" si="20"/>
        <v>0</v>
      </c>
      <c r="H104" s="48" t="s">
        <v>135</v>
      </c>
    </row>
    <row r="105" spans="1:10" x14ac:dyDescent="0.25">
      <c r="A105" s="42">
        <v>2014</v>
      </c>
      <c r="B105" s="6">
        <f>4661.94+957.93</f>
        <v>5619.87</v>
      </c>
      <c r="C105" s="6">
        <f>4661.95+957.93</f>
        <v>5619.88</v>
      </c>
      <c r="D105" s="3"/>
      <c r="E105" s="2">
        <f t="shared" si="18"/>
        <v>0.49999955515024802</v>
      </c>
      <c r="F105" s="2">
        <f t="shared" si="19"/>
        <v>0.50000044484975203</v>
      </c>
      <c r="G105" s="2">
        <f t="shared" si="20"/>
        <v>0</v>
      </c>
      <c r="H105" t="s">
        <v>125</v>
      </c>
    </row>
    <row r="106" spans="1:10" x14ac:dyDescent="0.25">
      <c r="B106" s="47">
        <v>-12800</v>
      </c>
      <c r="C106" s="57">
        <v>-12800</v>
      </c>
      <c r="D106" s="3"/>
      <c r="E106" s="2">
        <f t="shared" si="18"/>
        <v>0.5</v>
      </c>
      <c r="F106" s="2">
        <f t="shared" si="19"/>
        <v>0.5</v>
      </c>
      <c r="G106" s="2">
        <f t="shared" si="20"/>
        <v>0</v>
      </c>
      <c r="H106" t="s">
        <v>149</v>
      </c>
    </row>
    <row r="107" spans="1:10" x14ac:dyDescent="0.25">
      <c r="B107" s="47"/>
      <c r="C107" s="3">
        <f>708.41</f>
        <v>708.41</v>
      </c>
      <c r="D107" s="3"/>
      <c r="E107" s="2">
        <f t="shared" si="18"/>
        <v>0</v>
      </c>
      <c r="F107" s="2">
        <f t="shared" si="19"/>
        <v>1</v>
      </c>
      <c r="G107" s="2">
        <f t="shared" si="20"/>
        <v>0</v>
      </c>
      <c r="H107" t="s">
        <v>150</v>
      </c>
    </row>
    <row r="108" spans="1:10" x14ac:dyDescent="0.25">
      <c r="B108" s="6">
        <v>840.23</v>
      </c>
      <c r="C108" s="6">
        <v>100</v>
      </c>
      <c r="D108" s="3"/>
      <c r="E108" s="2">
        <f t="shared" si="18"/>
        <v>0.89364304478691381</v>
      </c>
      <c r="F108" s="2">
        <f t="shared" si="19"/>
        <v>0.10635695521308616</v>
      </c>
      <c r="G108" s="2">
        <f t="shared" si="20"/>
        <v>0</v>
      </c>
      <c r="H108" t="s">
        <v>139</v>
      </c>
    </row>
    <row r="109" spans="1:10" x14ac:dyDescent="0.25">
      <c r="B109" s="3"/>
      <c r="C109" s="6">
        <v>997</v>
      </c>
      <c r="D109" s="3"/>
      <c r="E109" s="2">
        <f t="shared" si="18"/>
        <v>0</v>
      </c>
      <c r="F109" s="2">
        <f t="shared" si="19"/>
        <v>1</v>
      </c>
      <c r="G109" s="2">
        <f t="shared" si="20"/>
        <v>0</v>
      </c>
      <c r="H109" t="s">
        <v>135</v>
      </c>
    </row>
    <row r="110" spans="1:10" x14ac:dyDescent="0.25">
      <c r="A110" s="78">
        <v>2015</v>
      </c>
      <c r="B110" s="6">
        <f>4784.01+964.52</f>
        <v>5748.5300000000007</v>
      </c>
      <c r="C110" s="6">
        <f>4784.01+964.52</f>
        <v>5748.5300000000007</v>
      </c>
      <c r="D110" s="49"/>
      <c r="E110" s="50">
        <f t="shared" si="18"/>
        <v>0.5</v>
      </c>
      <c r="F110" s="50">
        <f t="shared" si="19"/>
        <v>0.5</v>
      </c>
      <c r="G110" s="50">
        <f t="shared" si="20"/>
        <v>0</v>
      </c>
      <c r="H110" s="48" t="s">
        <v>125</v>
      </c>
    </row>
    <row r="111" spans="1:10" x14ac:dyDescent="0.25">
      <c r="A111" s="48"/>
      <c r="B111" s="49"/>
      <c r="C111" s="4">
        <v>227.65</v>
      </c>
      <c r="D111" s="49"/>
      <c r="E111" s="50">
        <f t="shared" si="18"/>
        <v>0</v>
      </c>
      <c r="F111" s="50">
        <f t="shared" si="19"/>
        <v>1</v>
      </c>
      <c r="G111" s="50">
        <f t="shared" si="20"/>
        <v>0</v>
      </c>
      <c r="H111" s="48" t="s">
        <v>141</v>
      </c>
    </row>
    <row r="112" spans="1:10" x14ac:dyDescent="0.25">
      <c r="A112" s="48"/>
      <c r="B112" s="6">
        <v>1878.7</v>
      </c>
      <c r="C112" s="49"/>
      <c r="D112" s="49"/>
      <c r="E112" s="50">
        <f t="shared" si="18"/>
        <v>1</v>
      </c>
      <c r="F112" s="50">
        <f t="shared" si="19"/>
        <v>0</v>
      </c>
      <c r="G112" s="50">
        <f t="shared" si="20"/>
        <v>0</v>
      </c>
      <c r="H112" s="48" t="s">
        <v>137</v>
      </c>
    </row>
    <row r="113" spans="1:8" x14ac:dyDescent="0.25">
      <c r="A113" s="48"/>
      <c r="B113" s="6">
        <f>1021/2</f>
        <v>510.5</v>
      </c>
      <c r="C113" s="6">
        <f>1021/2</f>
        <v>510.5</v>
      </c>
      <c r="D113" s="49"/>
      <c r="E113" s="50">
        <f t="shared" si="18"/>
        <v>0.5</v>
      </c>
      <c r="F113" s="50">
        <f t="shared" si="19"/>
        <v>0.5</v>
      </c>
      <c r="G113" s="50">
        <f t="shared" si="20"/>
        <v>0</v>
      </c>
      <c r="H113" s="48" t="s">
        <v>135</v>
      </c>
    </row>
    <row r="114" spans="1:8" x14ac:dyDescent="0.25">
      <c r="A114" s="42">
        <v>2016</v>
      </c>
      <c r="B114" s="3"/>
      <c r="C114" s="5">
        <f>(5239.54+1017.61)*2</f>
        <v>12514.3</v>
      </c>
      <c r="D114" s="3"/>
      <c r="E114" s="2">
        <f t="shared" si="18"/>
        <v>0</v>
      </c>
      <c r="F114" s="2">
        <f t="shared" si="19"/>
        <v>1</v>
      </c>
      <c r="G114" s="2">
        <f t="shared" si="20"/>
        <v>0</v>
      </c>
      <c r="H114" t="s">
        <v>116</v>
      </c>
    </row>
    <row r="115" spans="1:8" x14ac:dyDescent="0.25">
      <c r="B115" s="47"/>
      <c r="C115" s="4">
        <v>77.05</v>
      </c>
      <c r="D115" s="3"/>
      <c r="E115" s="2">
        <f t="shared" ref="E115" si="21">B115/(B115+C115+D115)</f>
        <v>0</v>
      </c>
      <c r="F115" s="2">
        <f t="shared" si="19"/>
        <v>1</v>
      </c>
      <c r="G115" s="2">
        <f t="shared" ref="G115" si="22">D115/(B115+C115+D115)</f>
        <v>0</v>
      </c>
      <c r="H115" t="s">
        <v>141</v>
      </c>
    </row>
    <row r="116" spans="1:8" x14ac:dyDescent="0.25">
      <c r="B116" s="3"/>
      <c r="C116" s="6">
        <v>1077</v>
      </c>
      <c r="D116" s="3"/>
      <c r="E116" s="2">
        <f t="shared" si="18"/>
        <v>0</v>
      </c>
      <c r="F116" s="2">
        <f t="shared" si="19"/>
        <v>1</v>
      </c>
      <c r="G116" s="2">
        <f t="shared" si="20"/>
        <v>0</v>
      </c>
      <c r="H116" t="s">
        <v>135</v>
      </c>
    </row>
    <row r="117" spans="1:8" x14ac:dyDescent="0.25">
      <c r="A117" s="78">
        <v>2017</v>
      </c>
      <c r="B117" s="6">
        <f>5279.68+1023.24</f>
        <v>6302.92</v>
      </c>
      <c r="C117" s="4">
        <f>5279.88</f>
        <v>5279.88</v>
      </c>
      <c r="D117" s="49">
        <f>1023.24</f>
        <v>1023.24</v>
      </c>
      <c r="E117" s="50">
        <f t="shared" si="18"/>
        <v>0.49999206729472545</v>
      </c>
      <c r="F117" s="50">
        <f t="shared" si="19"/>
        <v>0.41883731925331036</v>
      </c>
      <c r="G117" s="50">
        <f t="shared" si="20"/>
        <v>8.1170613451964302E-2</v>
      </c>
      <c r="H117" s="48" t="s">
        <v>160</v>
      </c>
    </row>
    <row r="118" spans="1:8" x14ac:dyDescent="0.25">
      <c r="A118" s="48"/>
      <c r="B118" s="49"/>
      <c r="C118" s="4">
        <f>210.93+5980</f>
        <v>6190.93</v>
      </c>
      <c r="D118" s="49"/>
      <c r="E118" s="50">
        <f t="shared" si="18"/>
        <v>0</v>
      </c>
      <c r="F118" s="50">
        <f t="shared" ref="F118" si="23">C118/(B118+C118+D118)</f>
        <v>1</v>
      </c>
      <c r="G118" s="50">
        <f t="shared" si="20"/>
        <v>0</v>
      </c>
      <c r="H118" s="48" t="s">
        <v>163</v>
      </c>
    </row>
    <row r="119" spans="1:8" x14ac:dyDescent="0.25">
      <c r="A119" s="48"/>
      <c r="B119" s="49"/>
      <c r="C119" s="4">
        <v>198.53</v>
      </c>
      <c r="D119" s="49"/>
      <c r="E119" s="50">
        <f t="shared" ref="E119" si="24">B119/(B119+C119+D119)</f>
        <v>0</v>
      </c>
      <c r="F119" s="50">
        <f t="shared" ref="F119" si="25">C119/(B119+C119+D119)</f>
        <v>1</v>
      </c>
      <c r="G119" s="50">
        <f t="shared" ref="G119" si="26">D119/(B119+C119+D119)</f>
        <v>0</v>
      </c>
      <c r="H119" s="48" t="s">
        <v>141</v>
      </c>
    </row>
    <row r="120" spans="1:8" x14ac:dyDescent="0.25">
      <c r="A120" s="48"/>
      <c r="B120" s="6">
        <v>1083</v>
      </c>
      <c r="C120" s="49"/>
      <c r="D120" s="49"/>
      <c r="E120" s="50">
        <f t="shared" ref="E120" si="27">B120/(B120+C120+D120)</f>
        <v>1</v>
      </c>
      <c r="F120" s="50">
        <f t="shared" si="19"/>
        <v>0</v>
      </c>
      <c r="G120" s="50">
        <f t="shared" si="20"/>
        <v>0</v>
      </c>
      <c r="H120" s="48" t="s">
        <v>135</v>
      </c>
    </row>
    <row r="121" spans="1:8" x14ac:dyDescent="0.25">
      <c r="A121" s="42">
        <v>2018</v>
      </c>
      <c r="B121" s="6">
        <f>5415.89+1029.64</f>
        <v>6445.5300000000007</v>
      </c>
      <c r="C121" s="4">
        <v>5415.86</v>
      </c>
      <c r="D121" s="3">
        <f>1029.64</f>
        <v>1029.6400000000001</v>
      </c>
      <c r="E121" s="2">
        <f t="shared" ref="E121:E133" si="28">B121/(B121+C121+D121)</f>
        <v>0.50000116359980551</v>
      </c>
      <c r="F121" s="2">
        <f t="shared" si="19"/>
        <v>0.42012624282155886</v>
      </c>
      <c r="G121" s="2">
        <f t="shared" si="20"/>
        <v>7.9872593578635701E-2</v>
      </c>
      <c r="H121" t="s">
        <v>117</v>
      </c>
    </row>
    <row r="122" spans="1:8" x14ac:dyDescent="0.25">
      <c r="B122" s="6">
        <f>1090/2</f>
        <v>545</v>
      </c>
      <c r="C122" s="6">
        <f>1090/2</f>
        <v>545</v>
      </c>
      <c r="D122" s="3"/>
      <c r="E122" s="2">
        <f t="shared" si="28"/>
        <v>0.5</v>
      </c>
      <c r="F122" s="2">
        <f t="shared" si="19"/>
        <v>0.5</v>
      </c>
      <c r="G122" s="2">
        <f t="shared" si="20"/>
        <v>0</v>
      </c>
      <c r="H122" t="s">
        <v>135</v>
      </c>
    </row>
    <row r="123" spans="1:8" x14ac:dyDescent="0.25">
      <c r="A123" s="78">
        <v>2019</v>
      </c>
      <c r="B123" s="49"/>
      <c r="C123" s="5">
        <f>8824.42+6840+125</f>
        <v>15789.42</v>
      </c>
      <c r="D123" s="49"/>
      <c r="E123" s="50">
        <f t="shared" si="28"/>
        <v>0</v>
      </c>
      <c r="F123" s="50">
        <f t="shared" si="19"/>
        <v>1</v>
      </c>
      <c r="G123" s="50">
        <f t="shared" si="20"/>
        <v>0</v>
      </c>
      <c r="H123" s="48" t="s">
        <v>161</v>
      </c>
    </row>
    <row r="124" spans="1:8" x14ac:dyDescent="0.25">
      <c r="A124" s="48"/>
      <c r="B124" s="49"/>
      <c r="C124" s="4">
        <v>448.17</v>
      </c>
      <c r="D124" s="49"/>
      <c r="E124" s="50">
        <f t="shared" si="28"/>
        <v>0</v>
      </c>
      <c r="F124" s="50">
        <f t="shared" si="19"/>
        <v>1</v>
      </c>
      <c r="G124" s="50">
        <f t="shared" si="20"/>
        <v>0</v>
      </c>
      <c r="H124" s="48" t="s">
        <v>143</v>
      </c>
    </row>
    <row r="125" spans="1:8" x14ac:dyDescent="0.25">
      <c r="A125" s="48"/>
      <c r="B125" s="49"/>
      <c r="C125" s="4">
        <v>1049.02</v>
      </c>
      <c r="D125" s="49">
        <f>6224*2-1049.02</f>
        <v>11398.98</v>
      </c>
      <c r="E125" s="50">
        <f t="shared" si="28"/>
        <v>0</v>
      </c>
      <c r="F125" s="50">
        <f t="shared" si="19"/>
        <v>8.4272172236503851E-2</v>
      </c>
      <c r="G125" s="50">
        <f t="shared" si="20"/>
        <v>0.91572782776349615</v>
      </c>
      <c r="H125" s="48" t="s">
        <v>165</v>
      </c>
    </row>
    <row r="126" spans="1:8" x14ac:dyDescent="0.25">
      <c r="A126" s="48"/>
      <c r="B126" s="6">
        <v>1110</v>
      </c>
      <c r="C126" s="49"/>
      <c r="D126" s="49"/>
      <c r="E126" s="50">
        <f t="shared" ref="E126:E127" si="29">B126/(B126+C126+D126)</f>
        <v>1</v>
      </c>
      <c r="F126" s="50">
        <f t="shared" si="19"/>
        <v>0</v>
      </c>
      <c r="G126" s="50">
        <f t="shared" ref="G126:G136" si="30">D126/(B126+C126+D126)</f>
        <v>0</v>
      </c>
      <c r="H126" s="48" t="s">
        <v>135</v>
      </c>
    </row>
    <row r="127" spans="1:8" x14ac:dyDescent="0.25">
      <c r="A127" s="48"/>
      <c r="B127" s="49"/>
      <c r="C127" s="4">
        <v>58.73</v>
      </c>
      <c r="D127" s="49"/>
      <c r="E127" s="50">
        <f t="shared" si="29"/>
        <v>0</v>
      </c>
      <c r="F127" s="50">
        <f t="shared" ref="F127" si="31">C127/(B127+C127+D127)</f>
        <v>1</v>
      </c>
      <c r="G127" s="50">
        <f t="shared" ref="G127" si="32">D127/(B127+C127+D127)</f>
        <v>0</v>
      </c>
      <c r="H127" s="48" t="s">
        <v>141</v>
      </c>
    </row>
    <row r="128" spans="1:8" x14ac:dyDescent="0.25">
      <c r="A128" s="42">
        <v>2020</v>
      </c>
      <c r="B128" s="6">
        <v>6726.39</v>
      </c>
      <c r="C128" s="4">
        <f>5652.4+1074.6</f>
        <v>6727</v>
      </c>
      <c r="D128" s="3"/>
      <c r="E128" s="2">
        <f t="shared" si="28"/>
        <v>0.49997732913414394</v>
      </c>
      <c r="F128" s="2">
        <f t="shared" si="19"/>
        <v>0.50002267086585617</v>
      </c>
      <c r="G128" s="2">
        <f t="shared" si="30"/>
        <v>0</v>
      </c>
      <c r="H128" t="s">
        <v>158</v>
      </c>
    </row>
    <row r="129" spans="1:8" x14ac:dyDescent="0.25">
      <c r="B129" s="47"/>
      <c r="C129" s="4">
        <f>1204.96+100</f>
        <v>1304.96</v>
      </c>
      <c r="D129" s="3"/>
      <c r="E129" s="2">
        <f t="shared" ref="E129" si="33">B129/(B129+C129+D129)</f>
        <v>0</v>
      </c>
      <c r="F129" s="2">
        <f t="shared" ref="F129" si="34">C129/(B129+C129+D129)</f>
        <v>1</v>
      </c>
      <c r="G129" s="2">
        <f t="shared" si="30"/>
        <v>0</v>
      </c>
      <c r="H129" t="s">
        <v>157</v>
      </c>
    </row>
    <row r="130" spans="1:8" x14ac:dyDescent="0.25">
      <c r="B130" s="47"/>
      <c r="C130" s="4">
        <v>200</v>
      </c>
      <c r="D130" s="3"/>
      <c r="E130" s="2">
        <f t="shared" si="28"/>
        <v>0</v>
      </c>
      <c r="F130" s="2">
        <f t="shared" si="19"/>
        <v>1</v>
      </c>
      <c r="G130" s="2">
        <f t="shared" si="30"/>
        <v>0</v>
      </c>
      <c r="H130" t="s">
        <v>141</v>
      </c>
    </row>
    <row r="131" spans="1:8" x14ac:dyDescent="0.25">
      <c r="B131" s="47"/>
      <c r="C131" s="4">
        <f>90*12</f>
        <v>1080</v>
      </c>
      <c r="D131" s="3"/>
      <c r="E131" s="2">
        <f t="shared" si="28"/>
        <v>0</v>
      </c>
      <c r="F131" s="2">
        <f t="shared" si="19"/>
        <v>1</v>
      </c>
      <c r="G131" s="2">
        <f t="shared" si="30"/>
        <v>0</v>
      </c>
      <c r="H131" t="s">
        <v>155</v>
      </c>
    </row>
    <row r="132" spans="1:8" x14ac:dyDescent="0.25">
      <c r="B132" s="6">
        <v>1137</v>
      </c>
      <c r="C132" s="3"/>
      <c r="D132" s="3"/>
      <c r="E132" s="2">
        <f t="shared" si="28"/>
        <v>1</v>
      </c>
      <c r="F132" s="2">
        <f t="shared" si="19"/>
        <v>0</v>
      </c>
      <c r="G132" s="2">
        <f t="shared" si="30"/>
        <v>0</v>
      </c>
      <c r="H132" t="s">
        <v>135</v>
      </c>
    </row>
    <row r="133" spans="1:8" x14ac:dyDescent="0.25">
      <c r="A133" s="76">
        <v>2021</v>
      </c>
      <c r="B133" s="58">
        <v>14069.46</v>
      </c>
      <c r="C133" s="53"/>
      <c r="D133" s="53"/>
      <c r="E133" s="54">
        <f t="shared" si="28"/>
        <v>1</v>
      </c>
      <c r="F133" s="50">
        <f t="shared" si="19"/>
        <v>0</v>
      </c>
      <c r="G133" s="50">
        <f t="shared" si="30"/>
        <v>0</v>
      </c>
      <c r="H133" s="52" t="s">
        <v>167</v>
      </c>
    </row>
    <row r="134" spans="1:8" x14ac:dyDescent="0.25">
      <c r="A134" s="48"/>
      <c r="B134" s="49"/>
      <c r="C134" s="4">
        <f>2282.2+12894.66</f>
        <v>15176.86</v>
      </c>
      <c r="D134" s="49"/>
      <c r="E134" s="50">
        <f t="shared" ref="E134:E136" si="35">B134/(B134+C134+D134)</f>
        <v>0</v>
      </c>
      <c r="F134" s="50">
        <f t="shared" ref="F134:F136" si="36">C134/(B134+C134+D134)</f>
        <v>1</v>
      </c>
      <c r="G134" s="50">
        <f t="shared" si="30"/>
        <v>0</v>
      </c>
      <c r="H134" s="48" t="s">
        <v>144</v>
      </c>
    </row>
    <row r="135" spans="1:8" x14ac:dyDescent="0.25">
      <c r="A135" s="48"/>
      <c r="B135" s="49"/>
      <c r="C135" s="4">
        <f>90*12+304</f>
        <v>1384</v>
      </c>
      <c r="D135" s="49"/>
      <c r="E135" s="50">
        <f t="shared" si="35"/>
        <v>0</v>
      </c>
      <c r="F135" s="50">
        <f t="shared" si="36"/>
        <v>1</v>
      </c>
      <c r="G135" s="50">
        <f t="shared" si="30"/>
        <v>0</v>
      </c>
      <c r="H135" s="48" t="s">
        <v>166</v>
      </c>
    </row>
    <row r="136" spans="1:8" x14ac:dyDescent="0.25">
      <c r="A136" s="52"/>
      <c r="B136" s="58">
        <v>1200</v>
      </c>
      <c r="C136" s="53"/>
      <c r="D136" s="53"/>
      <c r="E136" s="50">
        <f t="shared" si="35"/>
        <v>1</v>
      </c>
      <c r="F136" s="50">
        <f t="shared" si="36"/>
        <v>0</v>
      </c>
      <c r="G136" s="50">
        <f t="shared" si="30"/>
        <v>0</v>
      </c>
      <c r="H136" s="52" t="s">
        <v>135</v>
      </c>
    </row>
    <row r="137" spans="1:8" ht="15.75" thickBot="1" x14ac:dyDescent="0.3">
      <c r="A137" s="71"/>
      <c r="B137" s="72"/>
      <c r="C137" s="66">
        <v>200</v>
      </c>
      <c r="D137" s="72"/>
      <c r="E137" s="73">
        <f t="shared" ref="E137" si="37">B137/(B137+C137+D137)</f>
        <v>0</v>
      </c>
      <c r="F137" s="73">
        <f t="shared" ref="F137" si="38">C137/(B137+C137+D137)</f>
        <v>1</v>
      </c>
      <c r="G137" s="73">
        <f t="shared" ref="G137" si="39">D137/(B137+C137+D137)</f>
        <v>0</v>
      </c>
      <c r="H137" s="71" t="s">
        <v>141</v>
      </c>
    </row>
    <row r="138" spans="1:8" ht="15.75" thickTop="1" x14ac:dyDescent="0.25">
      <c r="A138">
        <f>A133-A4</f>
        <v>36</v>
      </c>
      <c r="B138" s="62">
        <f>SUM(B4:B137)</f>
        <v>-409940.96499999991</v>
      </c>
      <c r="C138" s="62">
        <f>SUM(C4:C133)</f>
        <v>278916.63499999989</v>
      </c>
      <c r="D138" s="62">
        <f>SUM(D4:D137)</f>
        <v>136680.50603796265</v>
      </c>
      <c r="E138" s="2"/>
      <c r="F138" s="2"/>
      <c r="G138" s="2"/>
    </row>
    <row r="139" spans="1:8" x14ac:dyDescent="0.25">
      <c r="B139" s="63"/>
      <c r="C139" s="63"/>
      <c r="D139" s="63"/>
    </row>
    <row r="140" spans="1:8" x14ac:dyDescent="0.25">
      <c r="A140" s="84" t="s">
        <v>6</v>
      </c>
      <c r="B140" s="84"/>
      <c r="C140" s="84"/>
    </row>
    <row r="141" spans="1:8" x14ac:dyDescent="0.25">
      <c r="A141" s="80" t="s">
        <v>132</v>
      </c>
      <c r="B141" s="80"/>
      <c r="C141" s="80"/>
    </row>
    <row r="142" spans="1:8" x14ac:dyDescent="0.25">
      <c r="A142" s="81" t="s">
        <v>7</v>
      </c>
      <c r="B142" s="81"/>
      <c r="C142" s="81"/>
    </row>
    <row r="143" spans="1:8" x14ac:dyDescent="0.25">
      <c r="A143" s="82" t="s">
        <v>136</v>
      </c>
      <c r="B143" s="82"/>
      <c r="C143" s="82"/>
    </row>
    <row r="144" spans="1:8" x14ac:dyDescent="0.25">
      <c r="A144" s="83" t="s">
        <v>133</v>
      </c>
      <c r="B144" s="83"/>
      <c r="C144" s="83"/>
    </row>
    <row r="146" spans="1:4" x14ac:dyDescent="0.25">
      <c r="A146" s="65" t="s">
        <v>8</v>
      </c>
      <c r="B146" s="64"/>
      <c r="C146" s="64"/>
      <c r="D146" s="64"/>
    </row>
    <row r="147" spans="1:4" x14ac:dyDescent="0.25">
      <c r="A147" s="64" t="s">
        <v>118</v>
      </c>
      <c r="B147" s="64"/>
      <c r="C147" s="64"/>
      <c r="D147" s="64"/>
    </row>
    <row r="148" spans="1:4" x14ac:dyDescent="0.25">
      <c r="A148" s="64" t="s">
        <v>164</v>
      </c>
      <c r="B148" s="64"/>
      <c r="C148" s="64"/>
      <c r="D148" s="64"/>
    </row>
    <row r="149" spans="1:4" x14ac:dyDescent="0.25">
      <c r="A149" s="64" t="s">
        <v>119</v>
      </c>
      <c r="B149" s="64"/>
      <c r="C149" s="64"/>
      <c r="D149" s="64"/>
    </row>
    <row r="150" spans="1:4" x14ac:dyDescent="0.25">
      <c r="A150" s="64" t="s">
        <v>134</v>
      </c>
      <c r="B150" s="64"/>
      <c r="C150" s="64"/>
      <c r="D150" s="64"/>
    </row>
    <row r="151" spans="1:4" x14ac:dyDescent="0.25">
      <c r="A151" s="46"/>
    </row>
  </sheetData>
  <mergeCells count="6">
    <mergeCell ref="A1:H1"/>
    <mergeCell ref="A141:C141"/>
    <mergeCell ref="A142:C142"/>
    <mergeCell ref="A143:C143"/>
    <mergeCell ref="A144:C144"/>
    <mergeCell ref="A140:C140"/>
  </mergeCells>
  <printOptions horizontalCentered="1"/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workbookViewId="0"/>
  </sheetViews>
  <sheetFormatPr defaultRowHeight="15" x14ac:dyDescent="0.25"/>
  <cols>
    <col min="2" max="2" width="16.7109375" customWidth="1"/>
    <col min="3" max="5" width="16.140625" customWidth="1"/>
    <col min="6" max="7" width="17.42578125" customWidth="1"/>
    <col min="8" max="8" width="15.85546875" customWidth="1"/>
  </cols>
  <sheetData>
    <row r="1" spans="1:8" x14ac:dyDescent="0.25">
      <c r="A1" s="42" t="s">
        <v>108</v>
      </c>
    </row>
    <row r="2" spans="1:8" s="40" customFormat="1" ht="60" x14ac:dyDescent="0.25">
      <c r="B2" s="40" t="s">
        <v>107</v>
      </c>
      <c r="C2" s="40" t="s">
        <v>112</v>
      </c>
      <c r="D2" s="40" t="s">
        <v>110</v>
      </c>
      <c r="G2" s="40" t="s">
        <v>114</v>
      </c>
    </row>
    <row r="3" spans="1:8" x14ac:dyDescent="0.25">
      <c r="A3" t="s">
        <v>105</v>
      </c>
      <c r="B3" s="9">
        <f>'Cash flows (Approx)'!H43</f>
        <v>250995.37638598421</v>
      </c>
      <c r="C3" s="9">
        <f>'Cash flows (Approx)'!I43</f>
        <v>640873.54</v>
      </c>
      <c r="D3" s="9">
        <f>'Cash flows (Approx)'!J43</f>
        <v>389878.16361401579</v>
      </c>
      <c r="E3" s="9"/>
      <c r="G3" s="2">
        <f>D3/B3</f>
        <v>1.5533280701332748</v>
      </c>
    </row>
    <row r="4" spans="1:8" x14ac:dyDescent="0.25">
      <c r="A4" t="s">
        <v>106</v>
      </c>
      <c r="B4" s="9">
        <f>'Cash flows (Approx)'!R43</f>
        <v>459287.04055753374</v>
      </c>
      <c r="C4" s="9">
        <f>'Cash flows (Approx)'!S43</f>
        <v>0</v>
      </c>
      <c r="D4" s="9">
        <f>'Cash flows (Approx)'!T43</f>
        <v>-459287.04055753368</v>
      </c>
      <c r="E4" s="9"/>
      <c r="G4" s="2">
        <f t="shared" ref="G4:G5" si="0">D4/B4</f>
        <v>-0.99999999999999989</v>
      </c>
    </row>
    <row r="5" spans="1:8" x14ac:dyDescent="0.25">
      <c r="A5" t="s">
        <v>22</v>
      </c>
      <c r="B5" s="43">
        <f>SUM(B3:B4)</f>
        <v>710282.41694351798</v>
      </c>
      <c r="C5" s="43">
        <f t="shared" ref="C5" si="1">SUM(C3:C4)</f>
        <v>640873.54</v>
      </c>
      <c r="D5" s="43">
        <f>'Cash flows (Approx)'!AD43</f>
        <v>-69408.876943517884</v>
      </c>
      <c r="E5" s="43"/>
      <c r="G5" s="2">
        <f t="shared" si="0"/>
        <v>-9.7720111448341418E-2</v>
      </c>
    </row>
    <row r="6" spans="1:8" x14ac:dyDescent="0.25">
      <c r="B6" s="43"/>
      <c r="C6" s="43"/>
      <c r="D6" s="43"/>
      <c r="E6" s="43"/>
      <c r="F6" s="2"/>
      <c r="G6" s="2"/>
    </row>
    <row r="7" spans="1:8" x14ac:dyDescent="0.25">
      <c r="B7" s="43"/>
      <c r="C7" s="43"/>
      <c r="D7" s="43"/>
      <c r="E7" s="43"/>
      <c r="F7" s="2"/>
      <c r="G7" s="2"/>
    </row>
    <row r="8" spans="1:8" x14ac:dyDescent="0.25">
      <c r="A8" s="42" t="s">
        <v>113</v>
      </c>
    </row>
    <row r="9" spans="1:8" ht="60" x14ac:dyDescent="0.25">
      <c r="B9" t="s">
        <v>107</v>
      </c>
      <c r="C9" s="40" t="s">
        <v>112</v>
      </c>
      <c r="D9" s="40" t="s">
        <v>110</v>
      </c>
      <c r="E9" s="40" t="s">
        <v>109</v>
      </c>
      <c r="F9" s="40" t="s">
        <v>111</v>
      </c>
      <c r="G9" s="40" t="s">
        <v>115</v>
      </c>
    </row>
    <row r="10" spans="1:8" x14ac:dyDescent="0.25">
      <c r="A10" t="s">
        <v>105</v>
      </c>
      <c r="B10" s="9">
        <f>B3</f>
        <v>250995.37638598421</v>
      </c>
      <c r="C10" s="9">
        <f t="shared" ref="C10:D10" si="2">C3</f>
        <v>640873.54</v>
      </c>
      <c r="D10" s="9">
        <f t="shared" si="2"/>
        <v>389878.16361401579</v>
      </c>
      <c r="E10" s="9">
        <v>0</v>
      </c>
      <c r="F10" s="43">
        <f>SUM(D10:E10)</f>
        <v>389878.16361401579</v>
      </c>
      <c r="G10" s="45">
        <f>F10/B10</f>
        <v>1.5533280701332748</v>
      </c>
      <c r="H10" s="2"/>
    </row>
    <row r="11" spans="1:8" x14ac:dyDescent="0.25">
      <c r="A11" t="s">
        <v>106</v>
      </c>
      <c r="B11" s="9">
        <f t="shared" ref="B11:D11" si="3">B4</f>
        <v>459287.04055753374</v>
      </c>
      <c r="C11" s="9">
        <f t="shared" si="3"/>
        <v>0</v>
      </c>
      <c r="D11" s="9">
        <f t="shared" si="3"/>
        <v>-459287.04055753368</v>
      </c>
      <c r="E11" s="44">
        <f>E12-E10</f>
        <v>1000000</v>
      </c>
      <c r="F11" s="43">
        <f>SUM(D11:E11)</f>
        <v>540712.95944246626</v>
      </c>
      <c r="G11" s="45">
        <f t="shared" ref="G11:G12" si="4">F11/B11</f>
        <v>1.1772876473633758</v>
      </c>
      <c r="H11" s="2"/>
    </row>
    <row r="12" spans="1:8" x14ac:dyDescent="0.25">
      <c r="A12" t="s">
        <v>22</v>
      </c>
      <c r="B12" s="9">
        <f t="shared" ref="B12:D12" si="5">B5</f>
        <v>710282.41694351798</v>
      </c>
      <c r="C12" s="9">
        <f t="shared" si="5"/>
        <v>640873.54</v>
      </c>
      <c r="D12" s="9">
        <f t="shared" si="5"/>
        <v>-69408.876943517884</v>
      </c>
      <c r="E12" s="9">
        <v>1000000</v>
      </c>
      <c r="F12" s="43">
        <f>SUM(D12:E12)</f>
        <v>930591.12305648206</v>
      </c>
      <c r="G12" s="2">
        <f t="shared" si="4"/>
        <v>1.3101705756155346</v>
      </c>
    </row>
    <row r="14" spans="1:8" x14ac:dyDescent="0.25">
      <c r="A14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workbookViewId="0">
      <selection activeCell="E7" sqref="E7"/>
    </sheetView>
  </sheetViews>
  <sheetFormatPr defaultRowHeight="15" x14ac:dyDescent="0.25"/>
  <cols>
    <col min="1" max="1" width="12.5703125" customWidth="1"/>
    <col min="2" max="2" width="12.7109375" bestFit="1" customWidth="1"/>
    <col min="3" max="3" width="9.42578125" bestFit="1" customWidth="1"/>
    <col min="4" max="4" width="12.5703125" bestFit="1" customWidth="1"/>
    <col min="5" max="5" width="11.7109375" bestFit="1" customWidth="1"/>
    <col min="6" max="7" width="9.42578125" bestFit="1" customWidth="1"/>
    <col min="8" max="9" width="12.7109375" bestFit="1" customWidth="1"/>
    <col min="10" max="10" width="13.42578125" bestFit="1" customWidth="1"/>
    <col min="11" max="11" width="11.5703125" customWidth="1"/>
  </cols>
  <sheetData>
    <row r="1" spans="1:11" x14ac:dyDescent="0.25">
      <c r="A1" s="42" t="s">
        <v>146</v>
      </c>
    </row>
    <row r="2" spans="1:11" ht="40.5" customHeight="1" x14ac:dyDescent="0.3">
      <c r="B2" s="85" t="s">
        <v>100</v>
      </c>
      <c r="C2" s="85"/>
      <c r="D2" s="85"/>
      <c r="E2" s="85"/>
      <c r="F2" s="85"/>
      <c r="G2" s="85"/>
      <c r="H2" s="86" t="s">
        <v>102</v>
      </c>
      <c r="I2" s="86"/>
      <c r="J2" s="86"/>
    </row>
    <row r="3" spans="1:11" ht="75" x14ac:dyDescent="0.25">
      <c r="B3" s="13" t="s">
        <v>20</v>
      </c>
      <c r="C3" s="13" t="s">
        <v>17</v>
      </c>
      <c r="D3" s="13" t="s">
        <v>18</v>
      </c>
      <c r="E3" s="13" t="s">
        <v>76</v>
      </c>
      <c r="F3" s="13" t="s">
        <v>19</v>
      </c>
      <c r="G3" s="13" t="s">
        <v>140</v>
      </c>
      <c r="H3" s="41" t="s">
        <v>101</v>
      </c>
      <c r="I3" s="41" t="s">
        <v>104</v>
      </c>
      <c r="J3" s="13" t="s">
        <v>103</v>
      </c>
      <c r="K3" s="74" t="s">
        <v>145</v>
      </c>
    </row>
    <row r="4" spans="1:11" x14ac:dyDescent="0.25">
      <c r="A4" t="s">
        <v>105</v>
      </c>
      <c r="B4" s="9">
        <f>'Cash flows (Approx)'!B43</f>
        <v>163669.67065709157</v>
      </c>
      <c r="C4" s="9">
        <f>'Cash flows (Approx)'!C43</f>
        <v>0</v>
      </c>
      <c r="D4" s="9">
        <f>'Cash flows (Approx)'!D43</f>
        <v>66375.786432178938</v>
      </c>
      <c r="E4" s="9">
        <f>'Cash flows (Approx)'!E43</f>
        <v>7055.3192967137638</v>
      </c>
      <c r="F4" s="9">
        <f>'Cash flows (Approx)'!F43</f>
        <v>13894.6</v>
      </c>
      <c r="G4" s="9">
        <f>'Cash flows (Approx)'!G43</f>
        <v>0</v>
      </c>
      <c r="H4" s="9">
        <f>'Cash flows (Approx)'!H43</f>
        <v>250995.37638598421</v>
      </c>
      <c r="I4" s="9">
        <f>'Cash flows (Approx)'!I43</f>
        <v>640873.54</v>
      </c>
      <c r="J4" s="9">
        <f>'Cash flows (Approx)'!J43</f>
        <v>389878.16361401579</v>
      </c>
      <c r="K4" s="2">
        <f>J4/H4</f>
        <v>1.5533280701332748</v>
      </c>
    </row>
    <row r="5" spans="1:11" x14ac:dyDescent="0.25">
      <c r="A5" t="s">
        <v>106</v>
      </c>
      <c r="B5" s="9">
        <f>'Cash flows (Approx)'!L43</f>
        <v>150001.24999999997</v>
      </c>
      <c r="C5" s="9">
        <f>'Cash flows (Approx)'!M43</f>
        <v>0</v>
      </c>
      <c r="D5" s="9">
        <f>'Cash flows (Approx)'!N43</f>
        <v>229255.61142116287</v>
      </c>
      <c r="E5" s="9">
        <f>'Cash flows (Approx)'!O43</f>
        <v>20153.809136370848</v>
      </c>
      <c r="F5" s="9">
        <f>'Cash flows (Approx)'!P43</f>
        <v>59876.37</v>
      </c>
      <c r="G5" s="9">
        <f>'Cash flows (Approx)'!Q43</f>
        <v>0</v>
      </c>
      <c r="H5" s="9">
        <f>'Cash flows (Approx)'!R43</f>
        <v>459287.04055753374</v>
      </c>
      <c r="I5" s="9">
        <f>'Cash flows (Approx)'!S43</f>
        <v>0</v>
      </c>
      <c r="J5" s="9">
        <f>'Cash flows (Approx)'!T43</f>
        <v>-459287.04055753368</v>
      </c>
      <c r="K5" s="2">
        <f>J5/H5</f>
        <v>-0.99999999999999989</v>
      </c>
    </row>
    <row r="6" spans="1:11" x14ac:dyDescent="0.25">
      <c r="A6" t="s">
        <v>22</v>
      </c>
      <c r="B6" s="9">
        <f>'Cash flows (Approx)'!V43</f>
        <v>313670.92065709154</v>
      </c>
      <c r="C6" s="9">
        <f>'Cash flows (Approx)'!W43</f>
        <v>0</v>
      </c>
      <c r="D6" s="9">
        <f>'Cash flows (Approx)'!X43</f>
        <v>295631.39785334183</v>
      </c>
      <c r="E6" s="9">
        <f>'Cash flows (Approx)'!Y43</f>
        <v>27209.12843308461</v>
      </c>
      <c r="F6" s="9">
        <f>'Cash flows (Approx)'!Z43</f>
        <v>73770.97</v>
      </c>
      <c r="G6" s="9">
        <f>'Cash flows (Approx)'!AA43</f>
        <v>0</v>
      </c>
      <c r="H6" s="9">
        <f>'Cash flows (Approx)'!AB43</f>
        <v>710282.41694351798</v>
      </c>
      <c r="I6" s="9">
        <f>'Cash flows (Approx)'!AC43</f>
        <v>640873.54</v>
      </c>
      <c r="J6" s="9">
        <f>'Cash flows (Approx)'!AD43</f>
        <v>-69408.876943517884</v>
      </c>
      <c r="K6" s="2">
        <f>J6/H6</f>
        <v>-9.7720111448341418E-2</v>
      </c>
    </row>
  </sheetData>
  <mergeCells count="2">
    <mergeCell ref="B2:G2"/>
    <mergeCell ref="H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45"/>
  <sheetViews>
    <sheetView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P42" sqref="P42"/>
    </sheetView>
  </sheetViews>
  <sheetFormatPr defaultRowHeight="15" x14ac:dyDescent="0.25"/>
  <cols>
    <col min="1" max="1" width="5.7109375" style="17" customWidth="1"/>
    <col min="2" max="2" width="13.140625" style="9" customWidth="1"/>
    <col min="3" max="3" width="9.28515625" style="9" customWidth="1"/>
    <col min="4" max="4" width="9.7109375" style="9" customWidth="1"/>
    <col min="5" max="6" width="9.85546875" style="9" customWidth="1"/>
    <col min="7" max="8" width="9.7109375" style="9" customWidth="1"/>
    <col min="9" max="9" width="10.42578125" style="9" customWidth="1"/>
    <col min="10" max="10" width="10.85546875" style="9" customWidth="1"/>
    <col min="11" max="11" width="1.85546875" style="9" customWidth="1"/>
    <col min="12" max="12" width="13.140625" style="9" customWidth="1"/>
    <col min="13" max="13" width="9.28515625" style="9" customWidth="1"/>
    <col min="14" max="14" width="10" style="9" customWidth="1"/>
    <col min="15" max="15" width="9.5703125" style="9" customWidth="1"/>
    <col min="16" max="16" width="9.85546875" style="9" customWidth="1"/>
    <col min="17" max="18" width="9.7109375" style="9" customWidth="1"/>
    <col min="19" max="19" width="9.28515625" style="9" customWidth="1"/>
    <col min="20" max="20" width="10.42578125" style="9" customWidth="1"/>
    <col min="21" max="21" width="1.85546875" style="9" customWidth="1"/>
    <col min="22" max="22" width="13.140625" style="9" customWidth="1"/>
    <col min="23" max="23" width="9.28515625" style="9" customWidth="1"/>
    <col min="24" max="24" width="10.140625" style="9" customWidth="1"/>
    <col min="25" max="25" width="10" style="9" customWidth="1"/>
    <col min="26" max="26" width="9.85546875" style="9" customWidth="1"/>
    <col min="27" max="28" width="9.7109375" style="9" customWidth="1"/>
    <col min="29" max="30" width="11.42578125" style="9" customWidth="1"/>
    <col min="31" max="31" width="1.85546875" style="9" customWidth="1"/>
    <col min="32" max="38" width="5.7109375" style="9" customWidth="1"/>
    <col min="39" max="39" width="11.7109375" style="9" customWidth="1"/>
    <col min="40" max="40" width="14.42578125" style="9" customWidth="1"/>
    <col min="41" max="41" width="11.85546875" style="9" customWidth="1"/>
    <col min="42" max="44" width="7.42578125" style="9" customWidth="1"/>
    <col min="45" max="45" width="20.7109375" style="9" customWidth="1"/>
    <col min="46" max="48" width="9.140625" style="9"/>
    <col min="49" max="49" width="15.7109375" style="9" customWidth="1"/>
    <col min="50" max="16384" width="9.140625" style="9"/>
  </cols>
  <sheetData>
    <row r="1" spans="1:51" x14ac:dyDescent="0.25">
      <c r="A1" s="16" t="s">
        <v>148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/>
      <c r="V1" s="7"/>
      <c r="W1" s="7"/>
      <c r="X1" s="7"/>
      <c r="Y1" s="7"/>
      <c r="Z1" s="7"/>
      <c r="AA1" s="7"/>
      <c r="AB1" s="7"/>
      <c r="AC1" s="7"/>
      <c r="AD1" s="7"/>
      <c r="AE1" s="8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51" ht="31.5" x14ac:dyDescent="0.5">
      <c r="A2" s="16"/>
      <c r="B2" s="87" t="s">
        <v>23</v>
      </c>
      <c r="C2" s="87"/>
      <c r="D2" s="87"/>
      <c r="E2" s="87"/>
      <c r="F2" s="87"/>
      <c r="G2" s="87"/>
      <c r="H2" s="87"/>
      <c r="I2" s="87"/>
      <c r="J2" s="87"/>
      <c r="K2" s="8"/>
      <c r="L2" s="88" t="s">
        <v>152</v>
      </c>
      <c r="M2" s="88"/>
      <c r="N2" s="88"/>
      <c r="O2" s="88"/>
      <c r="P2" s="88"/>
      <c r="Q2" s="88"/>
      <c r="R2" s="88"/>
      <c r="S2" s="88"/>
      <c r="T2" s="88"/>
      <c r="U2" s="10"/>
      <c r="V2" s="89" t="s">
        <v>24</v>
      </c>
      <c r="W2" s="89"/>
      <c r="X2" s="89"/>
      <c r="Y2" s="89"/>
      <c r="Z2" s="89"/>
      <c r="AA2" s="89"/>
      <c r="AB2" s="89"/>
      <c r="AC2" s="89"/>
      <c r="AD2" s="89"/>
      <c r="AE2" s="10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51" ht="45" customHeight="1" x14ac:dyDescent="0.3">
      <c r="B3" s="85" t="s">
        <v>100</v>
      </c>
      <c r="C3" s="85"/>
      <c r="D3" s="85"/>
      <c r="E3" s="85"/>
      <c r="F3" s="85"/>
      <c r="G3" s="85"/>
      <c r="H3" s="86" t="s">
        <v>102</v>
      </c>
      <c r="I3" s="86"/>
      <c r="J3" s="86"/>
      <c r="K3" s="10"/>
      <c r="L3" s="85" t="s">
        <v>100</v>
      </c>
      <c r="M3" s="85"/>
      <c r="N3" s="85"/>
      <c r="O3" s="85"/>
      <c r="P3" s="85"/>
      <c r="Q3" s="85"/>
      <c r="R3" s="86" t="s">
        <v>102</v>
      </c>
      <c r="S3" s="86"/>
      <c r="T3" s="86"/>
      <c r="U3" s="11"/>
      <c r="V3" s="85" t="s">
        <v>100</v>
      </c>
      <c r="W3" s="85"/>
      <c r="X3" s="85"/>
      <c r="Y3" s="85"/>
      <c r="Z3" s="85"/>
      <c r="AA3" s="85"/>
      <c r="AB3" s="86" t="s">
        <v>102</v>
      </c>
      <c r="AC3" s="86"/>
      <c r="AD3" s="86"/>
      <c r="AE3" s="11"/>
    </row>
    <row r="4" spans="1:51" s="12" customFormat="1" ht="105" x14ac:dyDescent="0.25">
      <c r="A4" s="18" t="s">
        <v>5</v>
      </c>
      <c r="B4" s="13" t="s">
        <v>20</v>
      </c>
      <c r="C4" s="13" t="s">
        <v>17</v>
      </c>
      <c r="D4" s="13" t="s">
        <v>18</v>
      </c>
      <c r="E4" s="13" t="s">
        <v>76</v>
      </c>
      <c r="F4" s="13" t="s">
        <v>19</v>
      </c>
      <c r="G4" s="13" t="s">
        <v>140</v>
      </c>
      <c r="H4" s="41" t="s">
        <v>101</v>
      </c>
      <c r="I4" s="41" t="s">
        <v>104</v>
      </c>
      <c r="J4" s="13" t="s">
        <v>103</v>
      </c>
      <c r="K4" s="11"/>
      <c r="L4" s="13" t="s">
        <v>20</v>
      </c>
      <c r="M4" s="13" t="s">
        <v>17</v>
      </c>
      <c r="N4" s="13" t="s">
        <v>18</v>
      </c>
      <c r="O4" s="13" t="s">
        <v>76</v>
      </c>
      <c r="P4" s="13" t="s">
        <v>19</v>
      </c>
      <c r="Q4" s="13" t="s">
        <v>140</v>
      </c>
      <c r="R4" s="41" t="s">
        <v>101</v>
      </c>
      <c r="S4" s="41" t="s">
        <v>104</v>
      </c>
      <c r="T4" s="13" t="s">
        <v>103</v>
      </c>
      <c r="U4" s="10"/>
      <c r="V4" s="13" t="s">
        <v>20</v>
      </c>
      <c r="W4" s="13" t="s">
        <v>17</v>
      </c>
      <c r="X4" s="13" t="s">
        <v>18</v>
      </c>
      <c r="Y4" s="13" t="s">
        <v>76</v>
      </c>
      <c r="Z4" s="13" t="s">
        <v>19</v>
      </c>
      <c r="AA4" s="13" t="s">
        <v>21</v>
      </c>
      <c r="AB4" s="41" t="s">
        <v>101</v>
      </c>
      <c r="AC4" s="41" t="s">
        <v>104</v>
      </c>
      <c r="AD4" s="13" t="s">
        <v>103</v>
      </c>
      <c r="AE4" s="1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</row>
    <row r="5" spans="1:51" x14ac:dyDescent="0.25">
      <c r="A5" s="17">
        <v>1985</v>
      </c>
      <c r="B5" s="9">
        <v>62500</v>
      </c>
      <c r="D5" s="9">
        <f>'Taxes (Estimated)'!I8/2</f>
        <v>1710.0005953325924</v>
      </c>
      <c r="E5" s="9">
        <f>'Insurance (Estimated)'!C2/2</f>
        <v>178.59977774249879</v>
      </c>
      <c r="H5" s="9">
        <f>SUM(B5:G5)</f>
        <v>64388.600373075089</v>
      </c>
      <c r="J5" s="9">
        <f t="shared" ref="J5:J42" si="0">I5-SUM(B5:G5)</f>
        <v>-64388.600373075089</v>
      </c>
      <c r="K5" s="10"/>
      <c r="L5" s="9">
        <v>62500</v>
      </c>
      <c r="N5" s="9">
        <f>'Taxes (Estimated)'!I8/2</f>
        <v>1710.0005953325924</v>
      </c>
      <c r="O5" s="9">
        <f>'Insurance (Estimated)'!C2/2</f>
        <v>178.59977774249879</v>
      </c>
      <c r="R5" s="9">
        <f>SUM(L5:Q5)</f>
        <v>64388.600373075089</v>
      </c>
      <c r="T5" s="9">
        <f t="shared" ref="T5:T42" si="1">S5-SUM(L5:Q5)</f>
        <v>-64388.600373075089</v>
      </c>
      <c r="U5" s="10"/>
      <c r="V5" s="9">
        <f>B5+L5</f>
        <v>125000</v>
      </c>
      <c r="W5" s="9">
        <f t="shared" ref="W5:W43" si="2">C5+M5</f>
        <v>0</v>
      </c>
      <c r="X5" s="9">
        <f t="shared" ref="X5:X43" si="3">D5+N5</f>
        <v>3420.0011906651848</v>
      </c>
      <c r="Y5" s="9">
        <f t="shared" ref="Y5:Y43" si="4">E5+O5</f>
        <v>357.19955548499757</v>
      </c>
      <c r="Z5" s="9">
        <f t="shared" ref="Z5:Z43" si="5">F5+P5</f>
        <v>0</v>
      </c>
      <c r="AA5" s="9">
        <f t="shared" ref="AA5:AB43" si="6">G5+Q5</f>
        <v>0</v>
      </c>
      <c r="AB5" s="9">
        <f>SUM(V5:AA5)</f>
        <v>128777.20074615018</v>
      </c>
      <c r="AC5" s="9">
        <f t="shared" ref="AC5:AC43" si="7">I5+S5</f>
        <v>0</v>
      </c>
      <c r="AD5" s="9">
        <f t="shared" ref="AD5:AD43" si="8">J5+T5</f>
        <v>-128777.20074615018</v>
      </c>
      <c r="AE5" s="10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</row>
    <row r="6" spans="1:51" x14ac:dyDescent="0.25">
      <c r="A6" s="17">
        <v>1986</v>
      </c>
      <c r="B6" s="9">
        <v>4499.0200000000004</v>
      </c>
      <c r="D6" s="9">
        <f>'Taxes (Estimated)'!I9/2</f>
        <v>2076.6180497738856</v>
      </c>
      <c r="E6" s="9">
        <f>'Insurance (Estimated)'!C3/2</f>
        <v>182.296991585966</v>
      </c>
      <c r="H6" s="9">
        <f t="shared" ref="H6:H42" si="9">SUM(B6:G6)</f>
        <v>6757.9350413598522</v>
      </c>
      <c r="J6" s="9">
        <f t="shared" si="0"/>
        <v>-6757.9350413598522</v>
      </c>
      <c r="K6" s="10"/>
      <c r="L6" s="9">
        <v>4499.2</v>
      </c>
      <c r="N6" s="9">
        <f>'Taxes (Estimated)'!I9/2</f>
        <v>2076.6180497738856</v>
      </c>
      <c r="O6" s="9">
        <f>'Insurance (Estimated)'!C3/2</f>
        <v>182.296991585966</v>
      </c>
      <c r="R6" s="9">
        <f t="shared" ref="R6:R42" si="10">SUM(L6:Q6)</f>
        <v>6758.1150413598507</v>
      </c>
      <c r="T6" s="9">
        <f t="shared" si="1"/>
        <v>-6758.1150413598507</v>
      </c>
      <c r="U6" s="10"/>
      <c r="V6" s="9">
        <f t="shared" ref="V6:V43" si="11">B6+L6</f>
        <v>8998.2200000000012</v>
      </c>
      <c r="W6" s="9">
        <f t="shared" si="2"/>
        <v>0</v>
      </c>
      <c r="X6" s="9">
        <f t="shared" si="3"/>
        <v>4153.2360995477711</v>
      </c>
      <c r="Y6" s="9">
        <f t="shared" si="4"/>
        <v>364.593983171932</v>
      </c>
      <c r="Z6" s="9">
        <f t="shared" si="5"/>
        <v>0</v>
      </c>
      <c r="AA6" s="9">
        <f t="shared" si="6"/>
        <v>0</v>
      </c>
      <c r="AB6" s="9">
        <f t="shared" ref="AB6:AB42" si="12">SUM(V6:AA6)</f>
        <v>13516.050082719705</v>
      </c>
      <c r="AC6" s="9">
        <f t="shared" si="7"/>
        <v>0</v>
      </c>
      <c r="AD6" s="9">
        <f t="shared" si="8"/>
        <v>-13516.050082719703</v>
      </c>
      <c r="AE6" s="10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</row>
    <row r="7" spans="1:51" x14ac:dyDescent="0.25">
      <c r="A7" s="17">
        <v>1987</v>
      </c>
      <c r="B7" s="9">
        <v>4499.0200000000004</v>
      </c>
      <c r="D7" s="9">
        <f>'Taxes (Estimated)'!I10/2</f>
        <v>2118.7344935748647</v>
      </c>
      <c r="E7" s="9">
        <f>'Insurance (Estimated)'!C4/2</f>
        <v>185.99420542943321</v>
      </c>
      <c r="H7" s="9">
        <f t="shared" si="9"/>
        <v>6803.748699004298</v>
      </c>
      <c r="J7" s="9">
        <f t="shared" si="0"/>
        <v>-6803.748699004298</v>
      </c>
      <c r="K7" s="10"/>
      <c r="L7" s="9">
        <v>4499.2</v>
      </c>
      <c r="N7" s="9">
        <f>'Taxes (Estimated)'!I10/2</f>
        <v>2118.7344935748647</v>
      </c>
      <c r="O7" s="9">
        <f>'Insurance (Estimated)'!C4/2</f>
        <v>185.99420542943321</v>
      </c>
      <c r="R7" s="9">
        <f t="shared" si="10"/>
        <v>6803.9286990042983</v>
      </c>
      <c r="T7" s="9">
        <f t="shared" si="1"/>
        <v>-6803.9286990042983</v>
      </c>
      <c r="U7" s="10"/>
      <c r="V7" s="9">
        <f t="shared" si="11"/>
        <v>8998.2200000000012</v>
      </c>
      <c r="W7" s="9">
        <f t="shared" si="2"/>
        <v>0</v>
      </c>
      <c r="X7" s="9">
        <f t="shared" si="3"/>
        <v>4237.4689871497294</v>
      </c>
      <c r="Y7" s="9">
        <f t="shared" si="4"/>
        <v>371.98841085886642</v>
      </c>
      <c r="Z7" s="9">
        <f t="shared" si="5"/>
        <v>0</v>
      </c>
      <c r="AA7" s="9">
        <f t="shared" si="6"/>
        <v>0</v>
      </c>
      <c r="AB7" s="9">
        <f t="shared" si="12"/>
        <v>13607.677398008596</v>
      </c>
      <c r="AC7" s="9">
        <f t="shared" si="7"/>
        <v>0</v>
      </c>
      <c r="AD7" s="9">
        <f t="shared" si="8"/>
        <v>-13607.677398008596</v>
      </c>
      <c r="AE7" s="10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</row>
    <row r="8" spans="1:51" x14ac:dyDescent="0.25">
      <c r="A8" s="17">
        <v>1988</v>
      </c>
      <c r="B8" s="9">
        <v>4499.0200000000004</v>
      </c>
      <c r="D8" s="9">
        <f>'Taxes (Estimated)'!I11/2</f>
        <v>2160.8509373758434</v>
      </c>
      <c r="E8" s="9">
        <f>'Insurance (Estimated)'!C5/2</f>
        <v>189.69141927290042</v>
      </c>
      <c r="H8" s="9">
        <f t="shared" si="9"/>
        <v>6849.5623566487438</v>
      </c>
      <c r="J8" s="9">
        <f t="shared" si="0"/>
        <v>-6849.5623566487438</v>
      </c>
      <c r="K8" s="10"/>
      <c r="L8" s="9">
        <v>4499.2</v>
      </c>
      <c r="N8" s="9">
        <f>'Taxes (Estimated)'!I11/2</f>
        <v>2160.8509373758434</v>
      </c>
      <c r="O8" s="9">
        <f>'Insurance (Estimated)'!C5/2</f>
        <v>189.69141927290042</v>
      </c>
      <c r="R8" s="9">
        <f t="shared" si="10"/>
        <v>6849.7423566487432</v>
      </c>
      <c r="T8" s="9">
        <f t="shared" si="1"/>
        <v>-6849.7423566487432</v>
      </c>
      <c r="U8" s="10"/>
      <c r="V8" s="9">
        <f t="shared" si="11"/>
        <v>8998.2200000000012</v>
      </c>
      <c r="W8" s="9">
        <f t="shared" si="2"/>
        <v>0</v>
      </c>
      <c r="X8" s="9">
        <f t="shared" si="3"/>
        <v>4321.7018747516868</v>
      </c>
      <c r="Y8" s="9">
        <f t="shared" si="4"/>
        <v>379.38283854580084</v>
      </c>
      <c r="Z8" s="9">
        <f t="shared" si="5"/>
        <v>0</v>
      </c>
      <c r="AA8" s="9">
        <f t="shared" si="6"/>
        <v>0</v>
      </c>
      <c r="AB8" s="9">
        <f t="shared" si="12"/>
        <v>13699.304713297488</v>
      </c>
      <c r="AC8" s="9">
        <f t="shared" si="7"/>
        <v>0</v>
      </c>
      <c r="AD8" s="9">
        <f t="shared" si="8"/>
        <v>-13699.304713297486</v>
      </c>
      <c r="AE8" s="10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</row>
    <row r="9" spans="1:51" x14ac:dyDescent="0.25">
      <c r="A9" s="17">
        <v>1989</v>
      </c>
      <c r="B9" s="9">
        <v>4499.0200000000004</v>
      </c>
      <c r="D9" s="9">
        <f>'Taxes (Estimated)'!I12/2</f>
        <v>2202.9673811768225</v>
      </c>
      <c r="E9" s="9">
        <f>'Insurance (Estimated)'!C6/2</f>
        <v>193.38863311636763</v>
      </c>
      <c r="H9" s="9">
        <f t="shared" si="9"/>
        <v>6895.3760142931906</v>
      </c>
      <c r="J9" s="9">
        <f t="shared" si="0"/>
        <v>-6895.3760142931906</v>
      </c>
      <c r="K9" s="10"/>
      <c r="L9" s="9">
        <v>4499.2</v>
      </c>
      <c r="N9" s="9">
        <f>'Taxes (Estimated)'!I12/2</f>
        <v>2202.9673811768225</v>
      </c>
      <c r="O9" s="9">
        <f>'Insurance (Estimated)'!C6/2</f>
        <v>193.38863311636763</v>
      </c>
      <c r="R9" s="9">
        <f t="shared" si="10"/>
        <v>6895.5560142931899</v>
      </c>
      <c r="T9" s="9">
        <f t="shared" si="1"/>
        <v>-6895.5560142931899</v>
      </c>
      <c r="U9" s="10"/>
      <c r="V9" s="9">
        <f t="shared" si="11"/>
        <v>8998.2200000000012</v>
      </c>
      <c r="W9" s="9">
        <f t="shared" si="2"/>
        <v>0</v>
      </c>
      <c r="X9" s="9">
        <f t="shared" si="3"/>
        <v>4405.9347623536451</v>
      </c>
      <c r="Y9" s="9">
        <f t="shared" si="4"/>
        <v>386.77726623273526</v>
      </c>
      <c r="Z9" s="9">
        <f t="shared" si="5"/>
        <v>0</v>
      </c>
      <c r="AA9" s="9">
        <f t="shared" si="6"/>
        <v>0</v>
      </c>
      <c r="AB9" s="9">
        <f t="shared" si="12"/>
        <v>13790.932028586381</v>
      </c>
      <c r="AC9" s="9">
        <f t="shared" si="7"/>
        <v>0</v>
      </c>
      <c r="AD9" s="9">
        <f t="shared" si="8"/>
        <v>-13790.93202858638</v>
      </c>
      <c r="AE9" s="10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</row>
    <row r="10" spans="1:51" x14ac:dyDescent="0.25">
      <c r="A10" s="17">
        <v>1990</v>
      </c>
      <c r="B10" s="9">
        <v>4499.0200000000004</v>
      </c>
      <c r="D10" s="9">
        <f>'Taxes (Estimated)'!I13/2</f>
        <v>2245.0838249778017</v>
      </c>
      <c r="E10" s="9">
        <f>'Insurance (Estimated)'!C7/2</f>
        <v>197.08584695983484</v>
      </c>
      <c r="H10" s="9">
        <f t="shared" si="9"/>
        <v>6941.1896719376373</v>
      </c>
      <c r="J10" s="9">
        <f t="shared" si="0"/>
        <v>-6941.1896719376373</v>
      </c>
      <c r="K10" s="10"/>
      <c r="L10" s="9">
        <v>4499.2</v>
      </c>
      <c r="N10" s="9">
        <f>'Taxes (Estimated)'!I13/2</f>
        <v>2245.0838249778017</v>
      </c>
      <c r="O10" s="9">
        <f>'Insurance (Estimated)'!C7/2</f>
        <v>197.08584695983484</v>
      </c>
      <c r="R10" s="9">
        <f t="shared" si="10"/>
        <v>6941.3696719376367</v>
      </c>
      <c r="T10" s="9">
        <f t="shared" si="1"/>
        <v>-6941.3696719376367</v>
      </c>
      <c r="U10" s="10"/>
      <c r="V10" s="9">
        <f t="shared" si="11"/>
        <v>8998.2200000000012</v>
      </c>
      <c r="W10" s="9">
        <f t="shared" si="2"/>
        <v>0</v>
      </c>
      <c r="X10" s="9">
        <f t="shared" si="3"/>
        <v>4490.1676499556033</v>
      </c>
      <c r="Y10" s="9">
        <f t="shared" si="4"/>
        <v>394.17169391966968</v>
      </c>
      <c r="Z10" s="9">
        <f t="shared" si="5"/>
        <v>0</v>
      </c>
      <c r="AA10" s="9">
        <f t="shared" si="6"/>
        <v>0</v>
      </c>
      <c r="AB10" s="9">
        <f t="shared" si="12"/>
        <v>13882.559343875275</v>
      </c>
      <c r="AC10" s="9">
        <f t="shared" si="7"/>
        <v>0</v>
      </c>
      <c r="AD10" s="9">
        <f t="shared" si="8"/>
        <v>-13882.559343875273</v>
      </c>
      <c r="AE10" s="10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</row>
    <row r="11" spans="1:51" x14ac:dyDescent="0.25">
      <c r="A11" s="17">
        <v>1991</v>
      </c>
      <c r="B11" s="9">
        <v>4499.0200000000004</v>
      </c>
      <c r="H11" s="9">
        <f t="shared" si="9"/>
        <v>4499.0200000000004</v>
      </c>
      <c r="I11" s="9">
        <f>'Rental income'!E1</f>
        <v>32340</v>
      </c>
      <c r="J11" s="9">
        <f t="shared" si="0"/>
        <v>27840.98</v>
      </c>
      <c r="K11" s="10"/>
      <c r="L11" s="9">
        <v>4499.2</v>
      </c>
      <c r="N11" s="9">
        <f>'Taxes (Estimated)'!I14</f>
        <v>4574.4005375575607</v>
      </c>
      <c r="O11" s="9">
        <f>'Insurance (Estimated)'!C8</f>
        <v>401.56612160660404</v>
      </c>
      <c r="R11" s="9">
        <f t="shared" si="10"/>
        <v>9475.1666591641642</v>
      </c>
      <c r="T11" s="9">
        <f t="shared" si="1"/>
        <v>-9475.1666591641642</v>
      </c>
      <c r="U11" s="10"/>
      <c r="V11" s="9">
        <f t="shared" si="11"/>
        <v>8998.2200000000012</v>
      </c>
      <c r="W11" s="9">
        <f t="shared" si="2"/>
        <v>0</v>
      </c>
      <c r="X11" s="9">
        <f t="shared" si="3"/>
        <v>4574.4005375575607</v>
      </c>
      <c r="Y11" s="9">
        <f t="shared" si="4"/>
        <v>401.56612160660404</v>
      </c>
      <c r="Z11" s="9">
        <f t="shared" si="5"/>
        <v>0</v>
      </c>
      <c r="AA11" s="9">
        <f t="shared" si="6"/>
        <v>0</v>
      </c>
      <c r="AB11" s="9">
        <f t="shared" si="12"/>
        <v>13974.186659164166</v>
      </c>
      <c r="AC11" s="9">
        <f t="shared" si="7"/>
        <v>32340</v>
      </c>
      <c r="AD11" s="9">
        <f t="shared" si="8"/>
        <v>18365.813340835834</v>
      </c>
      <c r="AE11" s="10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</row>
    <row r="12" spans="1:51" x14ac:dyDescent="0.25">
      <c r="A12" s="17">
        <v>1992</v>
      </c>
      <c r="B12" s="9">
        <v>4499.0200000000004</v>
      </c>
      <c r="H12" s="9">
        <f t="shared" si="9"/>
        <v>4499.0200000000004</v>
      </c>
      <c r="I12" s="9">
        <f>'Rental income'!E2</f>
        <v>32340</v>
      </c>
      <c r="J12" s="9">
        <f t="shared" si="0"/>
        <v>27840.98</v>
      </c>
      <c r="K12" s="10"/>
      <c r="L12" s="9">
        <v>4499.2</v>
      </c>
      <c r="N12" s="9">
        <f>'Taxes (Estimated)'!I15</f>
        <v>4658.633425159519</v>
      </c>
      <c r="O12" s="9">
        <f>'Insurance (Estimated)'!C9</f>
        <v>408.96054929353846</v>
      </c>
      <c r="R12" s="9">
        <f t="shared" si="10"/>
        <v>9566.7939744530577</v>
      </c>
      <c r="T12" s="9">
        <f t="shared" si="1"/>
        <v>-9566.7939744530577</v>
      </c>
      <c r="U12" s="10"/>
      <c r="V12" s="9">
        <f t="shared" si="11"/>
        <v>8998.2200000000012</v>
      </c>
      <c r="W12" s="9">
        <f t="shared" si="2"/>
        <v>0</v>
      </c>
      <c r="X12" s="9">
        <f t="shared" si="3"/>
        <v>4658.633425159519</v>
      </c>
      <c r="Y12" s="9">
        <f t="shared" si="4"/>
        <v>408.96054929353846</v>
      </c>
      <c r="Z12" s="9">
        <f t="shared" si="5"/>
        <v>0</v>
      </c>
      <c r="AA12" s="9">
        <f t="shared" si="6"/>
        <v>0</v>
      </c>
      <c r="AB12" s="9">
        <f t="shared" si="12"/>
        <v>14065.813974453058</v>
      </c>
      <c r="AC12" s="9">
        <f t="shared" si="7"/>
        <v>32340</v>
      </c>
      <c r="AD12" s="9">
        <f t="shared" si="8"/>
        <v>18274.186025546944</v>
      </c>
      <c r="AE12" s="10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</row>
    <row r="13" spans="1:51" x14ac:dyDescent="0.25">
      <c r="A13" s="17">
        <v>1993</v>
      </c>
      <c r="B13" s="9">
        <v>56006.85</v>
      </c>
      <c r="H13" s="9">
        <f t="shared" si="9"/>
        <v>56006.85</v>
      </c>
      <c r="I13" s="9">
        <f>'Rental income'!E3</f>
        <v>32340</v>
      </c>
      <c r="J13" s="9">
        <f t="shared" si="0"/>
        <v>-23666.85</v>
      </c>
      <c r="K13" s="10"/>
      <c r="L13" s="9">
        <v>56006.85</v>
      </c>
      <c r="N13" s="9">
        <f>'Taxes (Estimated)'!I16</f>
        <v>4742.8663127614773</v>
      </c>
      <c r="O13" s="9">
        <f>'Insurance (Estimated)'!C10</f>
        <v>416.35497698047288</v>
      </c>
      <c r="R13" s="9">
        <f t="shared" si="10"/>
        <v>61166.071289741951</v>
      </c>
      <c r="T13" s="9">
        <f t="shared" si="1"/>
        <v>-61166.071289741951</v>
      </c>
      <c r="U13" s="10"/>
      <c r="V13" s="9">
        <f t="shared" si="11"/>
        <v>112013.7</v>
      </c>
      <c r="W13" s="9">
        <f t="shared" si="2"/>
        <v>0</v>
      </c>
      <c r="X13" s="9">
        <f t="shared" si="3"/>
        <v>4742.8663127614773</v>
      </c>
      <c r="Y13" s="9">
        <f t="shared" si="4"/>
        <v>416.35497698047288</v>
      </c>
      <c r="Z13" s="9">
        <f t="shared" si="5"/>
        <v>0</v>
      </c>
      <c r="AA13" s="9">
        <f t="shared" si="6"/>
        <v>0</v>
      </c>
      <c r="AB13" s="9">
        <f t="shared" si="12"/>
        <v>117172.92128974193</v>
      </c>
      <c r="AC13" s="9">
        <f t="shared" si="7"/>
        <v>32340</v>
      </c>
      <c r="AD13" s="9">
        <f t="shared" si="8"/>
        <v>-84832.921289741949</v>
      </c>
      <c r="AE13" s="10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</row>
    <row r="14" spans="1:51" x14ac:dyDescent="0.25">
      <c r="A14" s="17">
        <v>1994</v>
      </c>
      <c r="H14" s="9">
        <f t="shared" si="9"/>
        <v>0</v>
      </c>
      <c r="I14" s="9">
        <f>'Rental income'!E4</f>
        <v>32340</v>
      </c>
      <c r="J14" s="9">
        <f t="shared" si="0"/>
        <v>32340</v>
      </c>
      <c r="K14" s="10"/>
      <c r="N14" s="9">
        <f>'Taxes (Estimated)'!I17</f>
        <v>4827.0992003634346</v>
      </c>
      <c r="O14" s="9">
        <f>'Insurance (Estimated)'!C11</f>
        <v>423.7494046674073</v>
      </c>
      <c r="R14" s="9">
        <f t="shared" si="10"/>
        <v>5250.848605030842</v>
      </c>
      <c r="T14" s="9">
        <f t="shared" si="1"/>
        <v>-5250.848605030842</v>
      </c>
      <c r="U14" s="10"/>
      <c r="V14" s="9">
        <f t="shared" si="11"/>
        <v>0</v>
      </c>
      <c r="W14" s="9">
        <f t="shared" si="2"/>
        <v>0</v>
      </c>
      <c r="X14" s="9">
        <f t="shared" si="3"/>
        <v>4827.0992003634346</v>
      </c>
      <c r="Y14" s="9">
        <f t="shared" si="4"/>
        <v>423.7494046674073</v>
      </c>
      <c r="Z14" s="9">
        <f t="shared" si="5"/>
        <v>0</v>
      </c>
      <c r="AA14" s="9">
        <f t="shared" si="6"/>
        <v>0</v>
      </c>
      <c r="AB14" s="9">
        <f t="shared" si="12"/>
        <v>5250.848605030842</v>
      </c>
      <c r="AC14" s="9">
        <f t="shared" si="7"/>
        <v>32340</v>
      </c>
      <c r="AD14" s="9">
        <f t="shared" si="8"/>
        <v>27089.151394969158</v>
      </c>
      <c r="AE14" s="10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</row>
    <row r="15" spans="1:51" x14ac:dyDescent="0.25">
      <c r="A15" s="17">
        <v>1995</v>
      </c>
      <c r="H15" s="9">
        <f t="shared" si="9"/>
        <v>0</v>
      </c>
      <c r="I15" s="9">
        <f>'Rental income'!E5</f>
        <v>32340</v>
      </c>
      <c r="J15" s="9">
        <f t="shared" si="0"/>
        <v>32340</v>
      </c>
      <c r="K15" s="10"/>
      <c r="N15" s="9">
        <f>'Taxes (Estimated)'!I18</f>
        <v>4911.3320879653938</v>
      </c>
      <c r="O15" s="9">
        <f>'Insurance (Estimated)'!C12</f>
        <v>431.14383235434173</v>
      </c>
      <c r="R15" s="9">
        <f t="shared" si="10"/>
        <v>5342.4759203197355</v>
      </c>
      <c r="T15" s="9">
        <f t="shared" si="1"/>
        <v>-5342.4759203197355</v>
      </c>
      <c r="U15" s="10"/>
      <c r="V15" s="9">
        <f t="shared" si="11"/>
        <v>0</v>
      </c>
      <c r="W15" s="9">
        <f t="shared" si="2"/>
        <v>0</v>
      </c>
      <c r="X15" s="9">
        <f t="shared" si="3"/>
        <v>4911.3320879653938</v>
      </c>
      <c r="Y15" s="9">
        <f t="shared" si="4"/>
        <v>431.14383235434173</v>
      </c>
      <c r="Z15" s="9">
        <f t="shared" si="5"/>
        <v>0</v>
      </c>
      <c r="AA15" s="9">
        <f t="shared" si="6"/>
        <v>0</v>
      </c>
      <c r="AB15" s="9">
        <f t="shared" si="12"/>
        <v>5342.4759203197355</v>
      </c>
      <c r="AC15" s="9">
        <f t="shared" si="7"/>
        <v>32340</v>
      </c>
      <c r="AD15" s="9">
        <f t="shared" si="8"/>
        <v>26997.524079680265</v>
      </c>
      <c r="AE15" s="10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</row>
    <row r="16" spans="1:51" x14ac:dyDescent="0.25">
      <c r="A16" s="17">
        <v>1996</v>
      </c>
      <c r="H16" s="9">
        <f t="shared" si="9"/>
        <v>0</v>
      </c>
      <c r="I16" s="9">
        <f>'Rental income'!E6</f>
        <v>32340</v>
      </c>
      <c r="J16" s="9">
        <f t="shared" si="0"/>
        <v>32340</v>
      </c>
      <c r="K16" s="10"/>
      <c r="N16" s="9">
        <f>'Taxes (Estimated)'!I19</f>
        <v>4995.5649755673512</v>
      </c>
      <c r="O16" s="9">
        <f>'Insurance (Estimated)'!C13</f>
        <v>438.53826004127609</v>
      </c>
      <c r="P16" s="9">
        <v>2264.75</v>
      </c>
      <c r="R16" s="9">
        <f t="shared" si="10"/>
        <v>7698.8532356086271</v>
      </c>
      <c r="T16" s="9">
        <f t="shared" si="1"/>
        <v>-7698.8532356086271</v>
      </c>
      <c r="U16" s="10"/>
      <c r="V16" s="9">
        <f t="shared" si="11"/>
        <v>0</v>
      </c>
      <c r="W16" s="9">
        <f t="shared" si="2"/>
        <v>0</v>
      </c>
      <c r="X16" s="9">
        <f t="shared" si="3"/>
        <v>4995.5649755673512</v>
      </c>
      <c r="Y16" s="9">
        <f t="shared" si="4"/>
        <v>438.53826004127609</v>
      </c>
      <c r="Z16" s="9">
        <f t="shared" si="5"/>
        <v>2264.75</v>
      </c>
      <c r="AA16" s="9">
        <f t="shared" si="6"/>
        <v>0</v>
      </c>
      <c r="AB16" s="9">
        <f t="shared" si="12"/>
        <v>7698.8532356086271</v>
      </c>
      <c r="AC16" s="9">
        <f t="shared" si="7"/>
        <v>32340</v>
      </c>
      <c r="AD16" s="9">
        <f t="shared" si="8"/>
        <v>24641.146764391371</v>
      </c>
      <c r="AE16" s="10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</row>
    <row r="17" spans="1:51" x14ac:dyDescent="0.25">
      <c r="A17" s="17">
        <v>1997</v>
      </c>
      <c r="F17" s="9">
        <v>2194.33</v>
      </c>
      <c r="H17" s="9">
        <f t="shared" si="9"/>
        <v>2194.33</v>
      </c>
      <c r="I17" s="9">
        <f>'Rental income'!E7</f>
        <v>32340</v>
      </c>
      <c r="J17" s="9">
        <f t="shared" si="0"/>
        <v>30145.67</v>
      </c>
      <c r="K17" s="10"/>
      <c r="N17" s="9">
        <f>'Taxes (Estimated)'!I20</f>
        <v>5079.7978631693095</v>
      </c>
      <c r="O17" s="9">
        <f>'Insurance (Estimated)'!C14</f>
        <v>445.93268772821051</v>
      </c>
      <c r="R17" s="9">
        <f t="shared" si="10"/>
        <v>5525.7305508975196</v>
      </c>
      <c r="T17" s="9">
        <f t="shared" si="1"/>
        <v>-5525.7305508975196</v>
      </c>
      <c r="U17" s="10"/>
      <c r="V17" s="9">
        <f t="shared" si="11"/>
        <v>0</v>
      </c>
      <c r="W17" s="9">
        <f t="shared" si="2"/>
        <v>0</v>
      </c>
      <c r="X17" s="9">
        <f t="shared" si="3"/>
        <v>5079.7978631693095</v>
      </c>
      <c r="Y17" s="9">
        <f t="shared" si="4"/>
        <v>445.93268772821051</v>
      </c>
      <c r="Z17" s="9">
        <f t="shared" si="5"/>
        <v>2194.33</v>
      </c>
      <c r="AA17" s="9">
        <f t="shared" si="6"/>
        <v>0</v>
      </c>
      <c r="AB17" s="9">
        <f t="shared" si="12"/>
        <v>7720.0605508975195</v>
      </c>
      <c r="AC17" s="9">
        <f t="shared" si="7"/>
        <v>32340</v>
      </c>
      <c r="AD17" s="9">
        <f t="shared" si="8"/>
        <v>24619.93944910248</v>
      </c>
      <c r="AE17" s="10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</row>
    <row r="18" spans="1:51" x14ac:dyDescent="0.25">
      <c r="A18" s="17">
        <v>1998</v>
      </c>
      <c r="F18" s="9">
        <v>2326.4699999999998</v>
      </c>
      <c r="H18" s="9">
        <f t="shared" si="9"/>
        <v>2326.4699999999998</v>
      </c>
      <c r="I18" s="9">
        <f>'Rental income'!E8</f>
        <v>32340</v>
      </c>
      <c r="J18" s="9">
        <f t="shared" si="0"/>
        <v>30013.53</v>
      </c>
      <c r="K18" s="10"/>
      <c r="N18" s="9">
        <f>'Taxes (Estimated)'!I21</f>
        <v>5164.0307507712669</v>
      </c>
      <c r="O18" s="9">
        <f>'Insurance (Estimated)'!C15</f>
        <v>453.32711541514493</v>
      </c>
      <c r="R18" s="9">
        <f t="shared" si="10"/>
        <v>5617.3578661864121</v>
      </c>
      <c r="T18" s="9">
        <f t="shared" si="1"/>
        <v>-5617.3578661864121</v>
      </c>
      <c r="U18" s="10"/>
      <c r="V18" s="9">
        <f t="shared" si="11"/>
        <v>0</v>
      </c>
      <c r="W18" s="9">
        <f t="shared" si="2"/>
        <v>0</v>
      </c>
      <c r="X18" s="9">
        <f t="shared" si="3"/>
        <v>5164.0307507712669</v>
      </c>
      <c r="Y18" s="9">
        <f t="shared" si="4"/>
        <v>453.32711541514493</v>
      </c>
      <c r="Z18" s="9">
        <f t="shared" si="5"/>
        <v>2326.4699999999998</v>
      </c>
      <c r="AA18" s="9">
        <f t="shared" si="6"/>
        <v>0</v>
      </c>
      <c r="AB18" s="9">
        <f t="shared" si="12"/>
        <v>7943.8278661864115</v>
      </c>
      <c r="AC18" s="9">
        <f t="shared" si="7"/>
        <v>32340</v>
      </c>
      <c r="AD18" s="9">
        <f t="shared" si="8"/>
        <v>24396.172133813587</v>
      </c>
      <c r="AE18" s="10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</row>
    <row r="19" spans="1:51" x14ac:dyDescent="0.25">
      <c r="A19" s="17">
        <v>1999</v>
      </c>
      <c r="F19" s="9">
        <v>363.3</v>
      </c>
      <c r="H19" s="9">
        <f t="shared" si="9"/>
        <v>363.3</v>
      </c>
      <c r="I19" s="9">
        <f>'Rental income'!E9</f>
        <v>32340</v>
      </c>
      <c r="J19" s="9">
        <f t="shared" si="0"/>
        <v>31976.7</v>
      </c>
      <c r="K19" s="10"/>
      <c r="N19" s="9">
        <f>'Taxes (Estimated)'!I22</f>
        <v>5248.2636383732251</v>
      </c>
      <c r="O19" s="9">
        <f>'Insurance (Estimated)'!C16</f>
        <v>460.72154310207935</v>
      </c>
      <c r="R19" s="9">
        <f t="shared" si="10"/>
        <v>5708.9851814753047</v>
      </c>
      <c r="T19" s="9">
        <f t="shared" si="1"/>
        <v>-5708.9851814753047</v>
      </c>
      <c r="U19" s="10"/>
      <c r="V19" s="9">
        <f t="shared" si="11"/>
        <v>0</v>
      </c>
      <c r="W19" s="9">
        <f t="shared" si="2"/>
        <v>0</v>
      </c>
      <c r="X19" s="9">
        <f t="shared" si="3"/>
        <v>5248.2636383732251</v>
      </c>
      <c r="Y19" s="9">
        <f t="shared" si="4"/>
        <v>460.72154310207935</v>
      </c>
      <c r="Z19" s="9">
        <f t="shared" si="5"/>
        <v>363.3</v>
      </c>
      <c r="AA19" s="9">
        <f t="shared" si="6"/>
        <v>0</v>
      </c>
      <c r="AB19" s="9">
        <f t="shared" si="12"/>
        <v>6072.2851814753049</v>
      </c>
      <c r="AC19" s="9">
        <f t="shared" si="7"/>
        <v>32340</v>
      </c>
      <c r="AD19" s="9">
        <f t="shared" si="8"/>
        <v>26267.714818524695</v>
      </c>
      <c r="AE19" s="10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</row>
    <row r="20" spans="1:51" x14ac:dyDescent="0.25">
      <c r="A20" s="17">
        <v>2000</v>
      </c>
      <c r="F20" s="9">
        <v>961.42</v>
      </c>
      <c r="H20" s="9">
        <f t="shared" si="9"/>
        <v>961.42</v>
      </c>
      <c r="I20" s="9">
        <f>'Rental income'!E10</f>
        <v>33540</v>
      </c>
      <c r="J20" s="9">
        <f t="shared" si="0"/>
        <v>32578.58</v>
      </c>
      <c r="K20" s="10"/>
      <c r="N20" s="9">
        <f>'Taxes (Estimated)'!I23</f>
        <v>5332.4965259751871</v>
      </c>
      <c r="O20" s="9">
        <f>'Insurance (Estimated)'!C17</f>
        <v>468.11597078901411</v>
      </c>
      <c r="R20" s="9">
        <f t="shared" si="10"/>
        <v>5800.6124967642008</v>
      </c>
      <c r="T20" s="9">
        <f t="shared" si="1"/>
        <v>-5800.6124967642008</v>
      </c>
      <c r="U20" s="10"/>
      <c r="V20" s="9">
        <f t="shared" si="11"/>
        <v>0</v>
      </c>
      <c r="W20" s="9">
        <f t="shared" si="2"/>
        <v>0</v>
      </c>
      <c r="X20" s="9">
        <f t="shared" si="3"/>
        <v>5332.4965259751871</v>
      </c>
      <c r="Y20" s="9">
        <f t="shared" si="4"/>
        <v>468.11597078901411</v>
      </c>
      <c r="Z20" s="9">
        <f t="shared" si="5"/>
        <v>961.42</v>
      </c>
      <c r="AA20" s="9">
        <f t="shared" si="6"/>
        <v>0</v>
      </c>
      <c r="AB20" s="9">
        <f t="shared" si="12"/>
        <v>6762.0324967642009</v>
      </c>
      <c r="AC20" s="9">
        <f t="shared" si="7"/>
        <v>33540</v>
      </c>
      <c r="AD20" s="9">
        <f t="shared" si="8"/>
        <v>26777.967503235799</v>
      </c>
      <c r="AE20" s="10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</row>
    <row r="21" spans="1:51" x14ac:dyDescent="0.25">
      <c r="A21" s="17">
        <v>2001</v>
      </c>
      <c r="H21" s="9">
        <f t="shared" si="9"/>
        <v>0</v>
      </c>
      <c r="I21" s="9">
        <f>'Rental income'!F12</f>
        <v>35136.67</v>
      </c>
      <c r="J21" s="9">
        <f t="shared" si="0"/>
        <v>35136.67</v>
      </c>
      <c r="K21" s="10"/>
      <c r="N21" s="9">
        <f>'Taxes (Estimated)'!I24</f>
        <v>6132.3947407235355</v>
      </c>
      <c r="O21" s="9">
        <f>'Insurance (Estimated)'!C18</f>
        <v>538.33545007143994</v>
      </c>
      <c r="R21" s="9">
        <f t="shared" si="10"/>
        <v>6670.730190794975</v>
      </c>
      <c r="T21" s="9">
        <f t="shared" si="1"/>
        <v>-6670.730190794975</v>
      </c>
      <c r="U21" s="10"/>
      <c r="V21" s="9">
        <f t="shared" si="11"/>
        <v>0</v>
      </c>
      <c r="W21" s="9">
        <f t="shared" si="2"/>
        <v>0</v>
      </c>
      <c r="X21" s="9">
        <f t="shared" si="3"/>
        <v>6132.3947407235355</v>
      </c>
      <c r="Y21" s="9">
        <f t="shared" si="4"/>
        <v>538.33545007143994</v>
      </c>
      <c r="Z21" s="9">
        <f t="shared" si="5"/>
        <v>0</v>
      </c>
      <c r="AA21" s="9">
        <f t="shared" si="6"/>
        <v>0</v>
      </c>
      <c r="AB21" s="9">
        <f t="shared" si="12"/>
        <v>6670.730190794975</v>
      </c>
      <c r="AC21" s="9">
        <f t="shared" si="7"/>
        <v>35136.67</v>
      </c>
      <c r="AD21" s="9">
        <f t="shared" si="8"/>
        <v>28465.939809205025</v>
      </c>
      <c r="AE21" s="10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</row>
    <row r="22" spans="1:51" x14ac:dyDescent="0.25">
      <c r="A22" s="17">
        <v>2002</v>
      </c>
      <c r="H22" s="9">
        <f t="shared" si="9"/>
        <v>0</v>
      </c>
      <c r="I22" s="9">
        <f>'Rental income'!F25</f>
        <v>42430.7</v>
      </c>
      <c r="J22" s="9">
        <f t="shared" si="0"/>
        <v>42430.7</v>
      </c>
      <c r="K22" s="10"/>
      <c r="N22" s="9">
        <f>'Taxes (Estimated)'!I25</f>
        <v>6561.6745795838187</v>
      </c>
      <c r="O22" s="9">
        <f>'Insurance (Estimated)'!C19</f>
        <v>576.02000317510715</v>
      </c>
      <c r="R22" s="9">
        <f t="shared" si="10"/>
        <v>7137.6945827589261</v>
      </c>
      <c r="T22" s="9">
        <f t="shared" si="1"/>
        <v>-7137.6945827589261</v>
      </c>
      <c r="U22" s="10"/>
      <c r="V22" s="9">
        <f t="shared" si="11"/>
        <v>0</v>
      </c>
      <c r="W22" s="9">
        <f t="shared" si="2"/>
        <v>0</v>
      </c>
      <c r="X22" s="9">
        <f t="shared" si="3"/>
        <v>6561.6745795838187</v>
      </c>
      <c r="Y22" s="9">
        <f t="shared" si="4"/>
        <v>576.02000317510715</v>
      </c>
      <c r="Z22" s="9">
        <f t="shared" si="5"/>
        <v>0</v>
      </c>
      <c r="AA22" s="9">
        <f t="shared" si="6"/>
        <v>0</v>
      </c>
      <c r="AB22" s="9">
        <f t="shared" si="12"/>
        <v>7137.6945827589261</v>
      </c>
      <c r="AC22" s="9">
        <f t="shared" si="7"/>
        <v>42430.7</v>
      </c>
      <c r="AD22" s="9">
        <f t="shared" si="8"/>
        <v>35293.005417241075</v>
      </c>
      <c r="AE22" s="10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</row>
    <row r="23" spans="1:51" x14ac:dyDescent="0.25">
      <c r="A23" s="17">
        <v>2003</v>
      </c>
      <c r="F23" s="9">
        <v>1039.1500000000001</v>
      </c>
      <c r="H23" s="9">
        <f t="shared" si="9"/>
        <v>1039.1500000000001</v>
      </c>
      <c r="I23" s="9">
        <f>'Rental income'!F37</f>
        <v>44865.78</v>
      </c>
      <c r="J23" s="9">
        <f t="shared" si="0"/>
        <v>43826.63</v>
      </c>
      <c r="K23" s="10"/>
      <c r="N23" s="9">
        <f>'Taxes (Estimated)'!I26</f>
        <v>8530.1905168030025</v>
      </c>
      <c r="O23" s="9">
        <f>'Insurance (Estimated)'!C20</f>
        <v>748.82719479282423</v>
      </c>
      <c r="R23" s="9">
        <f t="shared" si="10"/>
        <v>9279.0177115958268</v>
      </c>
      <c r="T23" s="9">
        <f t="shared" si="1"/>
        <v>-9279.0177115958268</v>
      </c>
      <c r="U23" s="10"/>
      <c r="V23" s="9">
        <f t="shared" si="11"/>
        <v>0</v>
      </c>
      <c r="W23" s="9">
        <f t="shared" si="2"/>
        <v>0</v>
      </c>
      <c r="X23" s="9">
        <f t="shared" si="3"/>
        <v>8530.1905168030025</v>
      </c>
      <c r="Y23" s="9">
        <f t="shared" si="4"/>
        <v>748.82719479282423</v>
      </c>
      <c r="Z23" s="9">
        <f t="shared" si="5"/>
        <v>1039.1500000000001</v>
      </c>
      <c r="AA23" s="9">
        <f t="shared" si="6"/>
        <v>0</v>
      </c>
      <c r="AB23" s="9">
        <f t="shared" si="12"/>
        <v>10318.167711595826</v>
      </c>
      <c r="AC23" s="9">
        <f t="shared" si="7"/>
        <v>44865.78</v>
      </c>
      <c r="AD23" s="9">
        <f t="shared" si="8"/>
        <v>34547.612288404169</v>
      </c>
      <c r="AE23" s="10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</row>
    <row r="24" spans="1:51" x14ac:dyDescent="0.25">
      <c r="A24" s="17">
        <v>2004</v>
      </c>
      <c r="F24" s="9">
        <v>4181</v>
      </c>
      <c r="H24" s="9">
        <f t="shared" si="9"/>
        <v>4181</v>
      </c>
      <c r="I24" s="9">
        <f>'Rental income'!F52</f>
        <v>37915.71</v>
      </c>
      <c r="J24" s="9">
        <f t="shared" si="0"/>
        <v>33734.71</v>
      </c>
      <c r="K24" s="10"/>
      <c r="N24" s="9">
        <f>'Taxes (Estimated)'!I27</f>
        <v>9724.4429595091005</v>
      </c>
      <c r="O24" s="9">
        <f>'Insurance (Estimated)'!C21</f>
        <v>853.66526432767103</v>
      </c>
      <c r="P24" s="9">
        <v>750</v>
      </c>
      <c r="R24" s="9">
        <f t="shared" si="10"/>
        <v>11328.108223836771</v>
      </c>
      <c r="T24" s="9">
        <f t="shared" si="1"/>
        <v>-11328.108223836771</v>
      </c>
      <c r="U24" s="10"/>
      <c r="V24" s="9">
        <f t="shared" si="11"/>
        <v>0</v>
      </c>
      <c r="W24" s="9">
        <f t="shared" si="2"/>
        <v>0</v>
      </c>
      <c r="X24" s="9">
        <f t="shared" si="3"/>
        <v>9724.4429595091005</v>
      </c>
      <c r="Y24" s="9">
        <f t="shared" si="4"/>
        <v>853.66526432767103</v>
      </c>
      <c r="Z24" s="9">
        <f t="shared" si="5"/>
        <v>4931</v>
      </c>
      <c r="AA24" s="9">
        <f t="shared" si="6"/>
        <v>0</v>
      </c>
      <c r="AB24" s="9">
        <f t="shared" si="12"/>
        <v>15509.108223836771</v>
      </c>
      <c r="AC24" s="9">
        <f t="shared" si="7"/>
        <v>37915.71</v>
      </c>
      <c r="AD24" s="9">
        <f t="shared" si="8"/>
        <v>22406.601776163228</v>
      </c>
      <c r="AE24" s="10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</row>
    <row r="25" spans="1:51" x14ac:dyDescent="0.25">
      <c r="A25" s="17">
        <v>2005</v>
      </c>
      <c r="H25" s="9">
        <f t="shared" si="9"/>
        <v>0</v>
      </c>
      <c r="I25" s="9">
        <f>'Rental income'!F52</f>
        <v>37915.71</v>
      </c>
      <c r="J25" s="9">
        <f t="shared" si="0"/>
        <v>37915.71</v>
      </c>
      <c r="K25" s="10"/>
      <c r="N25" s="9">
        <f>'Taxes (Estimated)'!I28</f>
        <v>12270.892986264989</v>
      </c>
      <c r="O25" s="9">
        <f>'Insurance (Estimated)'!C22</f>
        <v>1077.2066994761074</v>
      </c>
      <c r="R25" s="9">
        <f t="shared" si="10"/>
        <v>13348.099685741097</v>
      </c>
      <c r="T25" s="9">
        <f t="shared" si="1"/>
        <v>-13348.099685741097</v>
      </c>
      <c r="U25" s="10"/>
      <c r="V25" s="9">
        <f t="shared" si="11"/>
        <v>0</v>
      </c>
      <c r="W25" s="9">
        <f t="shared" si="2"/>
        <v>0</v>
      </c>
      <c r="X25" s="9">
        <f t="shared" si="3"/>
        <v>12270.892986264989</v>
      </c>
      <c r="Y25" s="9">
        <f t="shared" si="4"/>
        <v>1077.2066994761074</v>
      </c>
      <c r="Z25" s="9">
        <f t="shared" si="5"/>
        <v>0</v>
      </c>
      <c r="AA25" s="9">
        <f t="shared" si="6"/>
        <v>0</v>
      </c>
      <c r="AB25" s="9">
        <f t="shared" si="12"/>
        <v>13348.099685741097</v>
      </c>
      <c r="AC25" s="9">
        <f t="shared" si="7"/>
        <v>37915.71</v>
      </c>
      <c r="AD25" s="9">
        <f t="shared" si="8"/>
        <v>24567.610314258902</v>
      </c>
      <c r="AE25" s="10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</row>
    <row r="26" spans="1:51" x14ac:dyDescent="0.25">
      <c r="A26" s="17">
        <v>2006</v>
      </c>
      <c r="H26" s="9">
        <f t="shared" si="9"/>
        <v>0</v>
      </c>
      <c r="I26" s="9">
        <f>'Rental income'!F52</f>
        <v>37915.71</v>
      </c>
      <c r="J26" s="9">
        <f t="shared" si="0"/>
        <v>37915.71</v>
      </c>
      <c r="K26" s="10"/>
      <c r="N26" s="9">
        <f>'Taxes (Estimated)'!I29</f>
        <v>12609.976587260473</v>
      </c>
      <c r="O26" s="9">
        <f>'Insurance (Estimated)'!C23</f>
        <v>1106.973329099857</v>
      </c>
      <c r="R26" s="9">
        <f t="shared" si="10"/>
        <v>13716.94991636033</v>
      </c>
      <c r="T26" s="9">
        <f t="shared" si="1"/>
        <v>-13716.94991636033</v>
      </c>
      <c r="U26" s="10"/>
      <c r="V26" s="9">
        <f t="shared" si="11"/>
        <v>0</v>
      </c>
      <c r="W26" s="9">
        <f t="shared" si="2"/>
        <v>0</v>
      </c>
      <c r="X26" s="9">
        <f t="shared" si="3"/>
        <v>12609.976587260473</v>
      </c>
      <c r="Y26" s="9">
        <f t="shared" si="4"/>
        <v>1106.973329099857</v>
      </c>
      <c r="Z26" s="9">
        <f t="shared" si="5"/>
        <v>0</v>
      </c>
      <c r="AA26" s="9">
        <f t="shared" si="6"/>
        <v>0</v>
      </c>
      <c r="AB26" s="9">
        <f t="shared" si="12"/>
        <v>13716.94991636033</v>
      </c>
      <c r="AC26" s="9">
        <f t="shared" si="7"/>
        <v>37915.71</v>
      </c>
      <c r="AD26" s="9">
        <f t="shared" si="8"/>
        <v>24198.760083639667</v>
      </c>
      <c r="AE26" s="10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</row>
    <row r="27" spans="1:51" x14ac:dyDescent="0.25">
      <c r="A27" s="17">
        <v>2007</v>
      </c>
      <c r="H27" s="9">
        <f t="shared" si="9"/>
        <v>0</v>
      </c>
      <c r="I27" s="9">
        <f>'Rental income'!F52</f>
        <v>37915.71</v>
      </c>
      <c r="J27" s="9">
        <f t="shared" si="0"/>
        <v>37915.71</v>
      </c>
      <c r="K27" s="10"/>
      <c r="N27" s="9">
        <f>'Taxes (Estimated)'!I30</f>
        <v>13066.925647961989</v>
      </c>
      <c r="O27" s="9">
        <f>'Insurance (Estimated)'!C24</f>
        <v>1147.0868391808224</v>
      </c>
      <c r="R27" s="9">
        <f t="shared" si="10"/>
        <v>14214.012487142811</v>
      </c>
      <c r="T27" s="9">
        <f t="shared" si="1"/>
        <v>-14214.012487142811</v>
      </c>
      <c r="U27" s="10"/>
      <c r="V27" s="9">
        <f t="shared" si="11"/>
        <v>0</v>
      </c>
      <c r="W27" s="9">
        <f t="shared" si="2"/>
        <v>0</v>
      </c>
      <c r="X27" s="9">
        <f t="shared" si="3"/>
        <v>13066.925647961989</v>
      </c>
      <c r="Y27" s="9">
        <f t="shared" si="4"/>
        <v>1147.0868391808224</v>
      </c>
      <c r="Z27" s="9">
        <f t="shared" si="5"/>
        <v>0</v>
      </c>
      <c r="AA27" s="9">
        <f t="shared" si="6"/>
        <v>0</v>
      </c>
      <c r="AB27" s="9">
        <f t="shared" si="12"/>
        <v>14214.012487142811</v>
      </c>
      <c r="AC27" s="9">
        <f t="shared" si="7"/>
        <v>37915.71</v>
      </c>
      <c r="AD27" s="9">
        <f t="shared" si="8"/>
        <v>23701.697512857187</v>
      </c>
      <c r="AE27" s="10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</row>
    <row r="28" spans="1:51" x14ac:dyDescent="0.25">
      <c r="A28" s="17">
        <v>2008</v>
      </c>
      <c r="H28" s="9">
        <f t="shared" si="9"/>
        <v>0</v>
      </c>
      <c r="I28" s="9">
        <f>'Rental income'!F57</f>
        <v>42177.55</v>
      </c>
      <c r="J28" s="9">
        <f t="shared" si="0"/>
        <v>42177.55</v>
      </c>
      <c r="K28" s="10"/>
      <c r="N28" s="9">
        <f>'Taxes (Estimated)'!I31</f>
        <v>11425.625385703446</v>
      </c>
      <c r="O28" s="9">
        <f>'Insurance (Estimated)'!C25</f>
        <v>1003.0044451500238</v>
      </c>
      <c r="R28" s="9">
        <f t="shared" si="10"/>
        <v>12428.62983085347</v>
      </c>
      <c r="T28" s="9">
        <f t="shared" si="1"/>
        <v>-12428.62983085347</v>
      </c>
      <c r="U28" s="10"/>
      <c r="V28" s="9">
        <f t="shared" si="11"/>
        <v>0</v>
      </c>
      <c r="W28" s="9">
        <f t="shared" si="2"/>
        <v>0</v>
      </c>
      <c r="X28" s="9">
        <f t="shared" si="3"/>
        <v>11425.625385703446</v>
      </c>
      <c r="Y28" s="9">
        <f t="shared" si="4"/>
        <v>1003.0044451500238</v>
      </c>
      <c r="Z28" s="9">
        <f t="shared" si="5"/>
        <v>0</v>
      </c>
      <c r="AA28" s="9">
        <f t="shared" si="6"/>
        <v>0</v>
      </c>
      <c r="AB28" s="9">
        <f t="shared" si="12"/>
        <v>12428.62983085347</v>
      </c>
      <c r="AC28" s="9">
        <f t="shared" si="7"/>
        <v>42177.55</v>
      </c>
      <c r="AD28" s="9">
        <f t="shared" si="8"/>
        <v>29748.920169146535</v>
      </c>
      <c r="AE28" s="10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</row>
    <row r="29" spans="1:51" x14ac:dyDescent="0.25">
      <c r="A29" s="17">
        <v>2009</v>
      </c>
      <c r="H29" s="9">
        <f t="shared" si="9"/>
        <v>0</v>
      </c>
      <c r="J29" s="9">
        <f t="shared" si="0"/>
        <v>0</v>
      </c>
      <c r="K29" s="10"/>
      <c r="N29" s="9">
        <f>'Taxes (Estimated)'!I32</f>
        <v>11157.749340917011</v>
      </c>
      <c r="O29" s="9">
        <f>'Insurance (Estimated)'!C26</f>
        <v>979.48880774726138</v>
      </c>
      <c r="R29" s="9">
        <f t="shared" si="10"/>
        <v>12137.238148664272</v>
      </c>
      <c r="T29" s="9">
        <f t="shared" si="1"/>
        <v>-12137.238148664272</v>
      </c>
      <c r="U29" s="10"/>
      <c r="V29" s="9">
        <f t="shared" si="11"/>
        <v>0</v>
      </c>
      <c r="W29" s="9">
        <f t="shared" si="2"/>
        <v>0</v>
      </c>
      <c r="X29" s="9">
        <f t="shared" si="3"/>
        <v>11157.749340917011</v>
      </c>
      <c r="Y29" s="9">
        <f t="shared" si="4"/>
        <v>979.48880774726138</v>
      </c>
      <c r="Z29" s="9">
        <f t="shared" si="5"/>
        <v>0</v>
      </c>
      <c r="AA29" s="9">
        <f t="shared" si="6"/>
        <v>0</v>
      </c>
      <c r="AB29" s="9">
        <f t="shared" si="12"/>
        <v>12137.238148664272</v>
      </c>
      <c r="AC29" s="9">
        <f t="shared" si="7"/>
        <v>0</v>
      </c>
      <c r="AD29" s="9">
        <f t="shared" si="8"/>
        <v>-12137.238148664272</v>
      </c>
      <c r="AE29" s="10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</row>
    <row r="30" spans="1:51" x14ac:dyDescent="0.25">
      <c r="A30" s="17">
        <v>2010</v>
      </c>
      <c r="H30" s="9">
        <f t="shared" si="9"/>
        <v>0</v>
      </c>
      <c r="J30" s="9">
        <f t="shared" si="0"/>
        <v>0</v>
      </c>
      <c r="K30" s="10"/>
      <c r="N30" s="9">
        <f>'Taxes (Estimated)'!I33</f>
        <v>10879.293887779522</v>
      </c>
      <c r="O30" s="9">
        <f>'Insurance (Estimated)'!C27</f>
        <v>955.0444515002381</v>
      </c>
      <c r="R30" s="9">
        <f t="shared" si="10"/>
        <v>11834.33833927976</v>
      </c>
      <c r="T30" s="9">
        <f t="shared" si="1"/>
        <v>-11834.33833927976</v>
      </c>
      <c r="U30" s="10"/>
      <c r="V30" s="9">
        <f t="shared" si="11"/>
        <v>0</v>
      </c>
      <c r="W30" s="9">
        <f t="shared" si="2"/>
        <v>0</v>
      </c>
      <c r="X30" s="9">
        <f t="shared" si="3"/>
        <v>10879.293887779522</v>
      </c>
      <c r="Y30" s="9">
        <f t="shared" si="4"/>
        <v>955.0444515002381</v>
      </c>
      <c r="Z30" s="9">
        <f t="shared" si="5"/>
        <v>0</v>
      </c>
      <c r="AA30" s="9">
        <f t="shared" si="6"/>
        <v>0</v>
      </c>
      <c r="AB30" s="9">
        <f t="shared" si="12"/>
        <v>11834.33833927976</v>
      </c>
      <c r="AC30" s="9">
        <f t="shared" si="7"/>
        <v>0</v>
      </c>
      <c r="AD30" s="9">
        <f t="shared" si="8"/>
        <v>-11834.33833927976</v>
      </c>
      <c r="AE30" s="10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</row>
    <row r="31" spans="1:51" x14ac:dyDescent="0.25">
      <c r="A31" s="17">
        <v>2011</v>
      </c>
      <c r="H31" s="9">
        <f t="shared" si="9"/>
        <v>0</v>
      </c>
      <c r="J31" s="9">
        <f t="shared" si="0"/>
        <v>0</v>
      </c>
      <c r="K31" s="10"/>
      <c r="N31" s="9">
        <f>'Taxes (Estimated)'!I34</f>
        <v>10986.173038813296</v>
      </c>
      <c r="O31" s="9">
        <f>'Insurance (Estimated)'!C28</f>
        <v>964.42689315764403</v>
      </c>
      <c r="R31" s="9">
        <f t="shared" si="10"/>
        <v>11950.599931970941</v>
      </c>
      <c r="T31" s="9">
        <f t="shared" si="1"/>
        <v>-11950.599931970941</v>
      </c>
      <c r="U31" s="10"/>
      <c r="V31" s="9">
        <f t="shared" si="11"/>
        <v>0</v>
      </c>
      <c r="W31" s="9">
        <f t="shared" si="2"/>
        <v>0</v>
      </c>
      <c r="X31" s="9">
        <f t="shared" si="3"/>
        <v>10986.173038813296</v>
      </c>
      <c r="Y31" s="9">
        <f t="shared" si="4"/>
        <v>964.42689315764403</v>
      </c>
      <c r="Z31" s="9">
        <f t="shared" si="5"/>
        <v>0</v>
      </c>
      <c r="AA31" s="9">
        <f t="shared" si="6"/>
        <v>0</v>
      </c>
      <c r="AB31" s="9">
        <f t="shared" si="12"/>
        <v>11950.599931970941</v>
      </c>
      <c r="AC31" s="9">
        <f t="shared" si="7"/>
        <v>0</v>
      </c>
      <c r="AD31" s="9">
        <f t="shared" si="8"/>
        <v>-11950.599931970941</v>
      </c>
      <c r="AE31" s="10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</row>
    <row r="32" spans="1:51" x14ac:dyDescent="0.25">
      <c r="A32" s="17">
        <v>2012</v>
      </c>
      <c r="D32" s="9">
        <f>('Taxes (Estimated)'!I35/2)</f>
        <v>5599.6944035596289</v>
      </c>
      <c r="E32" s="9">
        <f>('Insurance (Estimated)'!C29)/2</f>
        <v>491.57207493252895</v>
      </c>
      <c r="F32" s="9">
        <v>110</v>
      </c>
      <c r="H32" s="9">
        <f t="shared" si="9"/>
        <v>6201.2664784921581</v>
      </c>
      <c r="J32" s="9">
        <f t="shared" si="0"/>
        <v>-6201.2664784921581</v>
      </c>
      <c r="K32" s="10"/>
      <c r="N32" s="9">
        <f>('Taxes (Estimated)'!I35/2)</f>
        <v>5599.6944035596289</v>
      </c>
      <c r="O32" s="9">
        <f>('Insurance (Estimated)'!C29)/2</f>
        <v>491.57207493252895</v>
      </c>
      <c r="P32" s="9">
        <v>10509.55</v>
      </c>
      <c r="R32" s="9">
        <f t="shared" si="10"/>
        <v>16600.816478492157</v>
      </c>
      <c r="T32" s="9">
        <f t="shared" si="1"/>
        <v>-16600.816478492157</v>
      </c>
      <c r="U32" s="10"/>
      <c r="V32" s="9">
        <f t="shared" si="11"/>
        <v>0</v>
      </c>
      <c r="W32" s="9">
        <f t="shared" si="2"/>
        <v>0</v>
      </c>
      <c r="X32" s="9">
        <f t="shared" si="3"/>
        <v>11199.388807119258</v>
      </c>
      <c r="Y32" s="9">
        <f t="shared" si="4"/>
        <v>983.1441498650579</v>
      </c>
      <c r="Z32" s="9">
        <f t="shared" si="5"/>
        <v>10619.55</v>
      </c>
      <c r="AA32" s="9">
        <f t="shared" si="6"/>
        <v>0</v>
      </c>
      <c r="AB32" s="9">
        <f t="shared" si="12"/>
        <v>22802.082956984315</v>
      </c>
      <c r="AC32" s="9">
        <f t="shared" si="7"/>
        <v>0</v>
      </c>
      <c r="AD32" s="9">
        <f t="shared" si="8"/>
        <v>-22802.082956984315</v>
      </c>
      <c r="AE32" s="10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</row>
    <row r="33" spans="1:51" x14ac:dyDescent="0.25">
      <c r="A33" s="17">
        <v>2013</v>
      </c>
      <c r="D33" s="9">
        <f>('Taxes (Estimated)'!I36/2)</f>
        <v>5458.1609085041136</v>
      </c>
      <c r="E33" s="9">
        <f>('Insurance (Estimated)'!C30)/2</f>
        <v>479.14748372757577</v>
      </c>
      <c r="H33" s="9">
        <f t="shared" si="9"/>
        <v>5937.3083922316891</v>
      </c>
      <c r="J33" s="9">
        <f t="shared" si="0"/>
        <v>-5937.3083922316891</v>
      </c>
      <c r="K33" s="10"/>
      <c r="N33" s="9">
        <f>('Taxes (Estimated)'!I36/2)</f>
        <v>5458.1609085041136</v>
      </c>
      <c r="O33" s="9">
        <f>('Insurance (Estimated)'!C30)/2</f>
        <v>479.14748372757577</v>
      </c>
      <c r="P33" s="9">
        <v>3207.36</v>
      </c>
      <c r="R33" s="9">
        <f t="shared" si="10"/>
        <v>9144.6683922316897</v>
      </c>
      <c r="T33" s="9">
        <f t="shared" si="1"/>
        <v>-9144.6683922316897</v>
      </c>
      <c r="U33" s="10"/>
      <c r="V33" s="9">
        <f t="shared" si="11"/>
        <v>0</v>
      </c>
      <c r="W33" s="9">
        <f t="shared" si="2"/>
        <v>0</v>
      </c>
      <c r="X33" s="9">
        <f t="shared" si="3"/>
        <v>10916.321817008227</v>
      </c>
      <c r="Y33" s="9">
        <f t="shared" si="4"/>
        <v>958.29496745515155</v>
      </c>
      <c r="Z33" s="9">
        <f t="shared" si="5"/>
        <v>3207.36</v>
      </c>
      <c r="AA33" s="9">
        <f t="shared" si="6"/>
        <v>0</v>
      </c>
      <c r="AB33" s="9">
        <f t="shared" si="12"/>
        <v>15081.976784463379</v>
      </c>
      <c r="AC33" s="9">
        <f t="shared" si="7"/>
        <v>0</v>
      </c>
      <c r="AD33" s="9">
        <f t="shared" si="8"/>
        <v>-15081.976784463379</v>
      </c>
      <c r="AE33" s="10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</row>
    <row r="34" spans="1:51" x14ac:dyDescent="0.25">
      <c r="A34" s="17">
        <v>2014</v>
      </c>
      <c r="D34" s="9">
        <f>('Taxes (Estimated)'!I37/2)</f>
        <v>5678.6330658713778</v>
      </c>
      <c r="E34" s="9">
        <f>('Insurance (Estimated)'!C31)/2</f>
        <v>498.50174630893792</v>
      </c>
      <c r="F34" s="9">
        <v>840.23</v>
      </c>
      <c r="H34" s="9">
        <f t="shared" si="9"/>
        <v>7017.3648121803162</v>
      </c>
      <c r="J34" s="9">
        <f t="shared" si="0"/>
        <v>-7017.3648121803162</v>
      </c>
      <c r="K34" s="10"/>
      <c r="N34" s="9">
        <f>('Taxes (Estimated)'!I37/2)</f>
        <v>5678.6330658713778</v>
      </c>
      <c r="O34" s="9">
        <f>('Insurance (Estimated)'!C31)/2</f>
        <v>498.50174630893792</v>
      </c>
      <c r="P34" s="9">
        <f>708.41+100</f>
        <v>808.41</v>
      </c>
      <c r="R34" s="9">
        <f t="shared" si="10"/>
        <v>6985.5448121803156</v>
      </c>
      <c r="T34" s="9">
        <f t="shared" si="1"/>
        <v>-6985.5448121803156</v>
      </c>
      <c r="U34" s="10"/>
      <c r="V34" s="9">
        <f t="shared" si="11"/>
        <v>0</v>
      </c>
      <c r="W34" s="9">
        <f t="shared" si="2"/>
        <v>0</v>
      </c>
      <c r="X34" s="9">
        <f t="shared" si="3"/>
        <v>11357.266131742756</v>
      </c>
      <c r="Y34" s="9">
        <f t="shared" si="4"/>
        <v>997.00349261787585</v>
      </c>
      <c r="Z34" s="9">
        <f t="shared" si="5"/>
        <v>1648.6399999999999</v>
      </c>
      <c r="AA34" s="9">
        <f t="shared" si="6"/>
        <v>0</v>
      </c>
      <c r="AB34" s="9">
        <f t="shared" si="12"/>
        <v>14002.909624360631</v>
      </c>
      <c r="AC34" s="9">
        <f t="shared" si="7"/>
        <v>0</v>
      </c>
      <c r="AD34" s="9">
        <f t="shared" si="8"/>
        <v>-14002.909624360633</v>
      </c>
      <c r="AE34" s="10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</row>
    <row r="35" spans="1:51" x14ac:dyDescent="0.25">
      <c r="A35" s="17">
        <v>2015</v>
      </c>
      <c r="D35" s="9">
        <f>('Taxes (Estimated)'!I38/2)</f>
        <v>5814.2665062695723</v>
      </c>
      <c r="E35" s="9">
        <f>('Insurance (Estimated)'!C32)/2</f>
        <v>510.40839815843782</v>
      </c>
      <c r="F35" s="9">
        <v>1878.7</v>
      </c>
      <c r="H35" s="9">
        <f t="shared" si="9"/>
        <v>8203.3749044280103</v>
      </c>
      <c r="J35" s="9">
        <f t="shared" si="0"/>
        <v>-8203.3749044280103</v>
      </c>
      <c r="K35" s="10"/>
      <c r="N35" s="9">
        <f>('Taxes (Estimated)'!I38/2)</f>
        <v>5814.2665062695723</v>
      </c>
      <c r="O35" s="9">
        <f>('Insurance (Estimated)'!C32)/2</f>
        <v>510.40839815843782</v>
      </c>
      <c r="P35" s="9">
        <v>227.65</v>
      </c>
      <c r="R35" s="9">
        <f t="shared" si="10"/>
        <v>6552.3249044280101</v>
      </c>
      <c r="T35" s="9">
        <f t="shared" si="1"/>
        <v>-6552.3249044280101</v>
      </c>
      <c r="U35" s="10"/>
      <c r="V35" s="9">
        <f t="shared" si="11"/>
        <v>0</v>
      </c>
      <c r="W35" s="9">
        <f t="shared" si="2"/>
        <v>0</v>
      </c>
      <c r="X35" s="9">
        <f t="shared" si="3"/>
        <v>11628.533012539145</v>
      </c>
      <c r="Y35" s="9">
        <f t="shared" si="4"/>
        <v>1020.8167963168756</v>
      </c>
      <c r="Z35" s="9">
        <f t="shared" si="5"/>
        <v>2106.35</v>
      </c>
      <c r="AA35" s="9">
        <f t="shared" si="6"/>
        <v>0</v>
      </c>
      <c r="AB35" s="9">
        <f t="shared" si="12"/>
        <v>14755.699808856021</v>
      </c>
      <c r="AC35" s="9">
        <f t="shared" si="7"/>
        <v>0</v>
      </c>
      <c r="AD35" s="9">
        <f t="shared" si="8"/>
        <v>-14755.699808856021</v>
      </c>
      <c r="AE35" s="10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</row>
    <row r="36" spans="1:51" x14ac:dyDescent="0.25">
      <c r="A36" s="17">
        <v>2016</v>
      </c>
      <c r="D36" s="9">
        <f>('Taxes (Estimated)'!I39/2)</f>
        <v>6134.2936088891101</v>
      </c>
      <c r="E36" s="9">
        <f>('Insurance (Estimated)'!C33)/2</f>
        <v>538.50214319733288</v>
      </c>
      <c r="H36" s="9">
        <f t="shared" si="9"/>
        <v>6672.7957520864429</v>
      </c>
      <c r="J36" s="9">
        <f t="shared" si="0"/>
        <v>-6672.7957520864429</v>
      </c>
      <c r="K36" s="10"/>
      <c r="N36" s="9">
        <f>('Taxes (Estimated)'!I39/2)</f>
        <v>6134.2936088891101</v>
      </c>
      <c r="O36" s="9">
        <f>('Insurance (Estimated)'!C33)/2</f>
        <v>538.50214319733288</v>
      </c>
      <c r="P36" s="9">
        <v>77.05</v>
      </c>
      <c r="R36" s="9">
        <f t="shared" si="10"/>
        <v>6749.8457520864431</v>
      </c>
      <c r="T36" s="9">
        <f t="shared" si="1"/>
        <v>-6749.8457520864431</v>
      </c>
      <c r="U36" s="10"/>
      <c r="V36" s="9">
        <f t="shared" si="11"/>
        <v>0</v>
      </c>
      <c r="W36" s="9">
        <f t="shared" si="2"/>
        <v>0</v>
      </c>
      <c r="X36" s="9">
        <f t="shared" si="3"/>
        <v>12268.58721777822</v>
      </c>
      <c r="Y36" s="9">
        <f t="shared" si="4"/>
        <v>1077.0042863946658</v>
      </c>
      <c r="Z36" s="9">
        <f t="shared" si="5"/>
        <v>77.05</v>
      </c>
      <c r="AA36" s="9">
        <f t="shared" si="6"/>
        <v>0</v>
      </c>
      <c r="AB36" s="9">
        <f t="shared" si="12"/>
        <v>13422.641504172885</v>
      </c>
      <c r="AC36" s="9">
        <f t="shared" si="7"/>
        <v>0</v>
      </c>
      <c r="AD36" s="9">
        <f t="shared" si="8"/>
        <v>-13422.641504172887</v>
      </c>
      <c r="AE36" s="10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</row>
    <row r="37" spans="1:51" x14ac:dyDescent="0.25">
      <c r="A37" s="17">
        <v>2017</v>
      </c>
      <c r="D37" s="9">
        <f>('Taxes (Estimated)'!I40/2)</f>
        <v>6168.2019689886583</v>
      </c>
      <c r="E37" s="9">
        <f>('Insurance (Estimated)'!C34)/2</f>
        <v>541.47880615970791</v>
      </c>
      <c r="H37" s="9">
        <f t="shared" si="9"/>
        <v>6709.6807751483666</v>
      </c>
      <c r="J37" s="9">
        <f t="shared" si="0"/>
        <v>-6709.6807751483666</v>
      </c>
      <c r="K37" s="10"/>
      <c r="N37" s="9">
        <f>('Taxes (Estimated)'!I40/2)</f>
        <v>6168.2019689886583</v>
      </c>
      <c r="O37" s="9">
        <f>('Insurance (Estimated)'!C34)/2</f>
        <v>541.47880615970791</v>
      </c>
      <c r="P37" s="9">
        <f>6190.93+198.53</f>
        <v>6389.46</v>
      </c>
      <c r="R37" s="9">
        <f t="shared" si="10"/>
        <v>13099.140775148368</v>
      </c>
      <c r="T37" s="9">
        <f t="shared" si="1"/>
        <v>-13099.140775148368</v>
      </c>
      <c r="U37" s="10"/>
      <c r="V37" s="9">
        <f t="shared" si="11"/>
        <v>0</v>
      </c>
      <c r="W37" s="9">
        <f t="shared" si="2"/>
        <v>0</v>
      </c>
      <c r="X37" s="9">
        <f t="shared" si="3"/>
        <v>12336.403937977317</v>
      </c>
      <c r="Y37" s="9">
        <f t="shared" si="4"/>
        <v>1082.9576123194158</v>
      </c>
      <c r="Z37" s="9">
        <f t="shared" si="5"/>
        <v>6389.46</v>
      </c>
      <c r="AA37" s="9">
        <f t="shared" si="6"/>
        <v>0</v>
      </c>
      <c r="AB37" s="9">
        <f t="shared" si="12"/>
        <v>19808.821550296732</v>
      </c>
      <c r="AC37" s="9">
        <f t="shared" si="7"/>
        <v>0</v>
      </c>
      <c r="AD37" s="9">
        <f t="shared" si="8"/>
        <v>-19808.821550296736</v>
      </c>
      <c r="AE37" s="10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</row>
    <row r="38" spans="1:51" x14ac:dyDescent="0.25">
      <c r="A38" s="17">
        <v>2018</v>
      </c>
      <c r="D38" s="9">
        <f>('Taxes (Estimated)'!I41/2)</f>
        <v>6206.7896827819441</v>
      </c>
      <c r="E38" s="9">
        <f>('Insurance (Estimated)'!C35)/2</f>
        <v>544.86624861089058</v>
      </c>
      <c r="H38" s="9">
        <f t="shared" si="9"/>
        <v>6751.6559313928346</v>
      </c>
      <c r="J38" s="9">
        <f t="shared" si="0"/>
        <v>-6751.6559313928346</v>
      </c>
      <c r="K38" s="10"/>
      <c r="N38" s="9">
        <f>('Taxes (Estimated)'!I41/2)</f>
        <v>6206.7896827819441</v>
      </c>
      <c r="O38" s="9">
        <f>('Insurance (Estimated)'!C35)/2</f>
        <v>544.86624861089058</v>
      </c>
      <c r="R38" s="9">
        <f t="shared" si="10"/>
        <v>6751.6559313928346</v>
      </c>
      <c r="T38" s="9">
        <f t="shared" si="1"/>
        <v>-6751.6559313928346</v>
      </c>
      <c r="U38" s="10"/>
      <c r="V38" s="9">
        <f t="shared" si="11"/>
        <v>0</v>
      </c>
      <c r="W38" s="9">
        <f t="shared" si="2"/>
        <v>0</v>
      </c>
      <c r="X38" s="9">
        <f t="shared" si="3"/>
        <v>12413.579365563888</v>
      </c>
      <c r="Y38" s="9">
        <f t="shared" si="4"/>
        <v>1089.7324972217812</v>
      </c>
      <c r="Z38" s="9">
        <f t="shared" si="5"/>
        <v>0</v>
      </c>
      <c r="AA38" s="9">
        <f t="shared" si="6"/>
        <v>0</v>
      </c>
      <c r="AB38" s="9">
        <f t="shared" si="12"/>
        <v>13503.311862785669</v>
      </c>
      <c r="AC38" s="9">
        <f t="shared" si="7"/>
        <v>0</v>
      </c>
      <c r="AD38" s="9">
        <f t="shared" si="8"/>
        <v>-13503.311862785669</v>
      </c>
      <c r="AE38" s="10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</row>
    <row r="39" spans="1:51" x14ac:dyDescent="0.25">
      <c r="A39" s="17">
        <v>2019</v>
      </c>
      <c r="D39" s="9">
        <f>('Taxes (Estimated)'!I42/2)</f>
        <v>6323.6378916849881</v>
      </c>
      <c r="E39" s="9">
        <f>('Insurance (Estimated)'!C36)/2</f>
        <v>555.1238291792348</v>
      </c>
      <c r="H39" s="9">
        <f t="shared" si="9"/>
        <v>6878.7617208642232</v>
      </c>
      <c r="J39" s="9">
        <f t="shared" si="0"/>
        <v>-6878.7617208642232</v>
      </c>
      <c r="K39" s="10"/>
      <c r="N39" s="9">
        <f>('Taxes (Estimated)'!I42/2)</f>
        <v>6323.6378916849881</v>
      </c>
      <c r="O39" s="9">
        <f>('Insurance (Estimated)'!C36)/2</f>
        <v>555.1238291792348</v>
      </c>
      <c r="P39" s="9">
        <f>15789.42+448.17+58.73</f>
        <v>16296.32</v>
      </c>
      <c r="R39" s="9">
        <f t="shared" si="10"/>
        <v>23175.081720864222</v>
      </c>
      <c r="T39" s="9">
        <f t="shared" si="1"/>
        <v>-23175.081720864222</v>
      </c>
      <c r="U39" s="10"/>
      <c r="V39" s="9">
        <f t="shared" si="11"/>
        <v>0</v>
      </c>
      <c r="W39" s="9">
        <f t="shared" si="2"/>
        <v>0</v>
      </c>
      <c r="X39" s="9">
        <f t="shared" si="3"/>
        <v>12647.275783369976</v>
      </c>
      <c r="Y39" s="9">
        <f t="shared" si="4"/>
        <v>1110.2476583584696</v>
      </c>
      <c r="Z39" s="9">
        <f t="shared" si="5"/>
        <v>16296.32</v>
      </c>
      <c r="AA39" s="9">
        <f t="shared" si="6"/>
        <v>0</v>
      </c>
      <c r="AB39" s="9">
        <f t="shared" si="12"/>
        <v>30053.843441728444</v>
      </c>
      <c r="AC39" s="9">
        <f t="shared" si="7"/>
        <v>0</v>
      </c>
      <c r="AD39" s="9">
        <f t="shared" si="8"/>
        <v>-30053.843441728444</v>
      </c>
      <c r="AE39" s="10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</row>
    <row r="40" spans="1:51" x14ac:dyDescent="0.25">
      <c r="A40" s="17">
        <v>2020</v>
      </c>
      <c r="D40" s="9">
        <f>('Taxes (Estimated)'!I43/2)</f>
        <v>6477.8531134177347</v>
      </c>
      <c r="E40" s="9">
        <f>('Insurance (Estimated)'!C37)/2</f>
        <v>568.66169233211622</v>
      </c>
      <c r="H40" s="9">
        <f t="shared" si="9"/>
        <v>7046.5148057498509</v>
      </c>
      <c r="J40" s="9">
        <f t="shared" si="0"/>
        <v>-7046.5148057498509</v>
      </c>
      <c r="K40" s="10"/>
      <c r="N40" s="9">
        <f>('Taxes (Estimated)'!I43/2)</f>
        <v>6477.8531134177347</v>
      </c>
      <c r="O40" s="9">
        <f>('Insurance (Estimated)'!C37)/2</f>
        <v>568.66169233211622</v>
      </c>
      <c r="P40" s="9">
        <f>1304.96+200+1080</f>
        <v>2584.96</v>
      </c>
      <c r="R40" s="9">
        <f t="shared" si="10"/>
        <v>9631.4748057498509</v>
      </c>
      <c r="T40" s="9">
        <f t="shared" si="1"/>
        <v>-9631.4748057498509</v>
      </c>
      <c r="U40" s="10"/>
      <c r="V40" s="9">
        <f t="shared" si="11"/>
        <v>0</v>
      </c>
      <c r="W40" s="9">
        <f t="shared" si="2"/>
        <v>0</v>
      </c>
      <c r="X40" s="9">
        <f t="shared" si="3"/>
        <v>12955.706226835469</v>
      </c>
      <c r="Y40" s="9">
        <f t="shared" si="4"/>
        <v>1137.3233846642324</v>
      </c>
      <c r="Z40" s="9">
        <f t="shared" si="5"/>
        <v>2584.96</v>
      </c>
      <c r="AA40" s="9">
        <f t="shared" si="6"/>
        <v>0</v>
      </c>
      <c r="AB40" s="9">
        <f t="shared" si="12"/>
        <v>16677.989611499703</v>
      </c>
      <c r="AC40" s="9">
        <f t="shared" si="7"/>
        <v>0</v>
      </c>
      <c r="AD40" s="9">
        <f t="shared" si="8"/>
        <v>-16677.989611499703</v>
      </c>
      <c r="AE40" s="10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</row>
    <row r="41" spans="1:51" ht="15.75" thickBot="1" x14ac:dyDescent="0.3">
      <c r="A41" s="17">
        <v>2021</v>
      </c>
      <c r="B41" s="9">
        <f>'Taxes (Estimated)'!I44</f>
        <v>13669.680657091561</v>
      </c>
      <c r="E41" s="9">
        <f>'Insurance (Estimated)'!C38</f>
        <v>1200</v>
      </c>
      <c r="H41" s="9">
        <f t="shared" si="9"/>
        <v>14869.680657091561</v>
      </c>
      <c r="J41" s="9">
        <f t="shared" si="0"/>
        <v>-14869.680657091561</v>
      </c>
      <c r="K41" s="10"/>
      <c r="P41" s="9">
        <f>304+15176.86+1080+200</f>
        <v>16760.86</v>
      </c>
      <c r="R41" s="9">
        <f t="shared" si="10"/>
        <v>16760.86</v>
      </c>
      <c r="T41" s="9">
        <f t="shared" si="1"/>
        <v>-16760.86</v>
      </c>
      <c r="U41" s="14"/>
      <c r="V41" s="9">
        <f t="shared" si="11"/>
        <v>13669.680657091561</v>
      </c>
      <c r="W41" s="9">
        <f t="shared" si="2"/>
        <v>0</v>
      </c>
      <c r="X41" s="9">
        <f t="shared" si="3"/>
        <v>0</v>
      </c>
      <c r="Y41" s="9">
        <f t="shared" si="4"/>
        <v>1200</v>
      </c>
      <c r="Z41" s="9">
        <f t="shared" si="5"/>
        <v>16760.86</v>
      </c>
      <c r="AA41" s="9">
        <f t="shared" si="6"/>
        <v>0</v>
      </c>
      <c r="AB41" s="9">
        <f t="shared" si="12"/>
        <v>31630.540657091562</v>
      </c>
      <c r="AC41" s="9">
        <f t="shared" si="7"/>
        <v>0</v>
      </c>
      <c r="AD41" s="9">
        <f t="shared" si="8"/>
        <v>-31630.540657091562</v>
      </c>
      <c r="AE41" s="14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</row>
    <row r="42" spans="1:51" ht="16.5" thickTop="1" thickBot="1" x14ac:dyDescent="0.3">
      <c r="A42" s="19">
        <v>2022</v>
      </c>
      <c r="B42" s="15"/>
      <c r="C42" s="15"/>
      <c r="D42" s="15"/>
      <c r="E42" s="15">
        <f>'Insurance (Estimated)'!C39</f>
        <v>0</v>
      </c>
      <c r="F42" s="15"/>
      <c r="G42" s="15"/>
      <c r="H42" s="15">
        <f t="shared" si="9"/>
        <v>0</v>
      </c>
      <c r="I42" s="15"/>
      <c r="J42" s="15">
        <f t="shared" si="0"/>
        <v>0</v>
      </c>
      <c r="K42" s="14"/>
      <c r="L42" s="15"/>
      <c r="M42" s="15"/>
      <c r="N42" s="15">
        <f>'Taxes (Estimated)'!I45</f>
        <v>0</v>
      </c>
      <c r="O42" s="15"/>
      <c r="P42" s="15"/>
      <c r="Q42" s="15"/>
      <c r="R42" s="15">
        <f t="shared" si="10"/>
        <v>0</v>
      </c>
      <c r="S42" s="15"/>
      <c r="T42" s="15">
        <f t="shared" si="1"/>
        <v>0</v>
      </c>
      <c r="U42" s="14"/>
      <c r="V42" s="15">
        <f t="shared" si="11"/>
        <v>0</v>
      </c>
      <c r="W42" s="15">
        <f t="shared" si="2"/>
        <v>0</v>
      </c>
      <c r="X42" s="15">
        <f t="shared" si="3"/>
        <v>0</v>
      </c>
      <c r="Y42" s="15">
        <f t="shared" si="4"/>
        <v>0</v>
      </c>
      <c r="Z42" s="15">
        <f t="shared" si="5"/>
        <v>0</v>
      </c>
      <c r="AA42" s="15">
        <f t="shared" si="6"/>
        <v>0</v>
      </c>
      <c r="AB42" s="15">
        <f t="shared" si="12"/>
        <v>0</v>
      </c>
      <c r="AC42" s="15">
        <f t="shared" si="7"/>
        <v>0</v>
      </c>
      <c r="AD42" s="15">
        <f t="shared" si="8"/>
        <v>0</v>
      </c>
      <c r="AE42" s="14"/>
      <c r="AF42" s="15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</row>
    <row r="43" spans="1:51" ht="16.5" thickTop="1" thickBot="1" x14ac:dyDescent="0.3">
      <c r="A43" s="17" t="s">
        <v>22</v>
      </c>
      <c r="B43" s="9">
        <f>SUM(B5:B42)</f>
        <v>163669.67065709157</v>
      </c>
      <c r="C43" s="9">
        <f t="shared" ref="C43:I43" si="13">SUM(C5:C42)</f>
        <v>0</v>
      </c>
      <c r="D43" s="9">
        <f t="shared" si="13"/>
        <v>66375.786432178938</v>
      </c>
      <c r="E43" s="9">
        <f t="shared" si="13"/>
        <v>7055.3192967137638</v>
      </c>
      <c r="F43" s="9">
        <f t="shared" si="13"/>
        <v>13894.6</v>
      </c>
      <c r="G43" s="9">
        <f t="shared" si="13"/>
        <v>0</v>
      </c>
      <c r="H43" s="9">
        <f>SUM(H5:H42)</f>
        <v>250995.37638598421</v>
      </c>
      <c r="I43" s="9">
        <f t="shared" si="13"/>
        <v>640873.54</v>
      </c>
      <c r="J43" s="9">
        <f>I43-H43</f>
        <v>389878.16361401579</v>
      </c>
      <c r="K43" s="14"/>
      <c r="L43" s="9">
        <f>SUM(L5:L42)</f>
        <v>150001.24999999997</v>
      </c>
      <c r="M43" s="9">
        <f t="shared" ref="M43" si="14">SUM(M5:M42)</f>
        <v>0</v>
      </c>
      <c r="N43" s="9">
        <f t="shared" ref="N43" si="15">SUM(N5:N42)</f>
        <v>229255.61142116287</v>
      </c>
      <c r="O43" s="9">
        <f t="shared" ref="O43" si="16">SUM(O5:O42)</f>
        <v>20153.809136370848</v>
      </c>
      <c r="P43" s="9">
        <f t="shared" ref="P43" si="17">SUM(P5:P42)</f>
        <v>59876.37</v>
      </c>
      <c r="Q43" s="9">
        <f t="shared" ref="Q43" si="18">SUM(Q5:Q42)</f>
        <v>0</v>
      </c>
      <c r="R43" s="9">
        <f>SUM(R5:R42)</f>
        <v>459287.04055753374</v>
      </c>
      <c r="S43" s="9">
        <f t="shared" ref="S43" si="19">SUM(S5:S42)</f>
        <v>0</v>
      </c>
      <c r="T43" s="9">
        <f>S43-SUM(L43:Q43)</f>
        <v>-459287.04055753368</v>
      </c>
      <c r="U43" s="14"/>
      <c r="V43" s="9">
        <f t="shared" si="11"/>
        <v>313670.92065709154</v>
      </c>
      <c r="W43" s="9">
        <f t="shared" si="2"/>
        <v>0</v>
      </c>
      <c r="X43" s="9">
        <f t="shared" si="3"/>
        <v>295631.39785334183</v>
      </c>
      <c r="Y43" s="9">
        <f t="shared" si="4"/>
        <v>27209.12843308461</v>
      </c>
      <c r="Z43" s="9">
        <f t="shared" si="5"/>
        <v>73770.97</v>
      </c>
      <c r="AA43" s="9">
        <f t="shared" si="6"/>
        <v>0</v>
      </c>
      <c r="AB43" s="9">
        <f t="shared" si="6"/>
        <v>710282.41694351798</v>
      </c>
      <c r="AC43" s="9">
        <f t="shared" si="7"/>
        <v>640873.54</v>
      </c>
      <c r="AD43" s="9">
        <f t="shared" si="8"/>
        <v>-69408.876943517884</v>
      </c>
      <c r="AE43" s="14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</row>
    <row r="44" spans="1:51" ht="15.75" thickTop="1" x14ac:dyDescent="0.25"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</row>
    <row r="45" spans="1:51" x14ac:dyDescent="0.25"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</row>
  </sheetData>
  <mergeCells count="9">
    <mergeCell ref="B3:G3"/>
    <mergeCell ref="B2:J2"/>
    <mergeCell ref="L2:T2"/>
    <mergeCell ref="L3:Q3"/>
    <mergeCell ref="V2:AD2"/>
    <mergeCell ref="V3:AA3"/>
    <mergeCell ref="H3:J3"/>
    <mergeCell ref="R3:T3"/>
    <mergeCell ref="AB3:AD3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4"/>
  <sheetViews>
    <sheetView workbookViewId="0">
      <selection activeCell="F14" sqref="F14"/>
    </sheetView>
  </sheetViews>
  <sheetFormatPr defaultRowHeight="15" x14ac:dyDescent="0.25"/>
  <cols>
    <col min="4" max="4" width="13.7109375" bestFit="1" customWidth="1"/>
    <col min="6" max="6" width="11.85546875" customWidth="1"/>
    <col min="7" max="7" width="51.5703125" customWidth="1"/>
    <col min="8" max="8" width="15" customWidth="1"/>
    <col min="9" max="9" width="14.85546875" customWidth="1"/>
  </cols>
  <sheetData>
    <row r="1" spans="1:9" x14ac:dyDescent="0.25">
      <c r="A1" t="s">
        <v>91</v>
      </c>
    </row>
    <row r="4" spans="1:9" ht="75" x14ac:dyDescent="0.25">
      <c r="A4" s="27" t="s">
        <v>79</v>
      </c>
      <c r="B4" s="28" t="s">
        <v>80</v>
      </c>
      <c r="C4" s="28" t="s">
        <v>81</v>
      </c>
      <c r="D4" s="28" t="s">
        <v>82</v>
      </c>
      <c r="E4" s="28" t="s">
        <v>83</v>
      </c>
      <c r="F4" s="28" t="s">
        <v>92</v>
      </c>
      <c r="G4" s="27" t="s">
        <v>147</v>
      </c>
      <c r="H4" s="28" t="s">
        <v>93</v>
      </c>
      <c r="I4" s="28" t="s">
        <v>94</v>
      </c>
    </row>
    <row r="5" spans="1:9" x14ac:dyDescent="0.25">
      <c r="A5" s="27"/>
      <c r="B5" s="28"/>
      <c r="C5" s="28"/>
      <c r="D5" s="28"/>
      <c r="E5" s="28"/>
    </row>
    <row r="6" spans="1:9" x14ac:dyDescent="0.25">
      <c r="A6" s="33" t="s">
        <v>89</v>
      </c>
      <c r="B6" s="28"/>
      <c r="C6" s="28"/>
      <c r="D6" s="30">
        <f>(D23-D7)/15</f>
        <v>6210.333333333333</v>
      </c>
      <c r="E6" s="28"/>
    </row>
    <row r="7" spans="1:9" x14ac:dyDescent="0.25">
      <c r="A7" s="33" t="s">
        <v>88</v>
      </c>
      <c r="B7" s="28"/>
      <c r="C7" s="28"/>
      <c r="D7" s="30">
        <v>300000</v>
      </c>
      <c r="E7" s="28"/>
      <c r="F7" s="35" t="s">
        <v>90</v>
      </c>
    </row>
    <row r="8" spans="1:9" x14ac:dyDescent="0.25">
      <c r="A8" s="27">
        <f t="shared" ref="A8:A13" si="0">A9-1</f>
        <v>1985</v>
      </c>
      <c r="B8" s="28"/>
      <c r="C8" s="28"/>
      <c r="D8" s="34">
        <f>D7</f>
        <v>300000</v>
      </c>
      <c r="E8" s="28"/>
      <c r="F8" s="23">
        <f t="shared" ref="F8:F42" si="1">D8*(F$44/D$44)</f>
        <v>3420.0011906651848</v>
      </c>
      <c r="G8" t="s">
        <v>87</v>
      </c>
      <c r="H8" s="39">
        <f>1057/5570</f>
        <v>0.18976660682226212</v>
      </c>
      <c r="I8" s="26">
        <f>(1+H7)*F8</f>
        <v>3420.0011906651848</v>
      </c>
    </row>
    <row r="9" spans="1:9" x14ac:dyDescent="0.25">
      <c r="A9" s="27">
        <f t="shared" si="0"/>
        <v>1986</v>
      </c>
      <c r="B9" s="28"/>
      <c r="C9" s="28"/>
      <c r="D9" s="34">
        <f>D8+D$6</f>
        <v>306210.33333333331</v>
      </c>
      <c r="E9" s="28"/>
      <c r="F9" s="23">
        <f t="shared" si="1"/>
        <v>3490.7990153132769</v>
      </c>
      <c r="G9" t="s">
        <v>87</v>
      </c>
      <c r="H9" s="39">
        <f t="shared" ref="H9:H44" si="2">1057/5570</f>
        <v>0.18976660682226212</v>
      </c>
      <c r="I9" s="26">
        <f t="shared" ref="I9:I44" si="3">(1+H8)*F9</f>
        <v>4153.2360995477711</v>
      </c>
    </row>
    <row r="10" spans="1:9" x14ac:dyDescent="0.25">
      <c r="A10" s="27">
        <f t="shared" si="0"/>
        <v>1987</v>
      </c>
      <c r="B10" s="28"/>
      <c r="C10" s="28"/>
      <c r="D10" s="34">
        <f t="shared" ref="D10:D22" si="4">D9+D$6</f>
        <v>312420.66666666663</v>
      </c>
      <c r="E10" s="28"/>
      <c r="F10" s="23">
        <f t="shared" si="1"/>
        <v>3561.5968399613689</v>
      </c>
      <c r="G10" t="s">
        <v>87</v>
      </c>
      <c r="H10" s="39">
        <f t="shared" si="2"/>
        <v>0.18976660682226212</v>
      </c>
      <c r="I10" s="26">
        <f t="shared" si="3"/>
        <v>4237.4689871497294</v>
      </c>
    </row>
    <row r="11" spans="1:9" x14ac:dyDescent="0.25">
      <c r="A11" s="27">
        <f t="shared" si="0"/>
        <v>1988</v>
      </c>
      <c r="B11" s="28"/>
      <c r="C11" s="28"/>
      <c r="D11" s="34">
        <f t="shared" si="4"/>
        <v>318630.99999999994</v>
      </c>
      <c r="E11" s="28"/>
      <c r="F11" s="23">
        <f t="shared" si="1"/>
        <v>3632.394664609461</v>
      </c>
      <c r="G11" t="s">
        <v>87</v>
      </c>
      <c r="H11" s="39">
        <f t="shared" si="2"/>
        <v>0.18976660682226212</v>
      </c>
      <c r="I11" s="26">
        <f t="shared" si="3"/>
        <v>4321.7018747516868</v>
      </c>
    </row>
    <row r="12" spans="1:9" x14ac:dyDescent="0.25">
      <c r="A12" s="27">
        <f t="shared" si="0"/>
        <v>1989</v>
      </c>
      <c r="B12" s="28"/>
      <c r="C12" s="28"/>
      <c r="D12" s="34">
        <f t="shared" si="4"/>
        <v>324841.33333333326</v>
      </c>
      <c r="E12" s="28"/>
      <c r="F12" s="23">
        <f t="shared" si="1"/>
        <v>3703.192489257553</v>
      </c>
      <c r="G12" t="s">
        <v>87</v>
      </c>
      <c r="H12" s="39">
        <f t="shared" si="2"/>
        <v>0.18976660682226212</v>
      </c>
      <c r="I12" s="26">
        <f t="shared" si="3"/>
        <v>4405.9347623536451</v>
      </c>
    </row>
    <row r="13" spans="1:9" x14ac:dyDescent="0.25">
      <c r="A13" s="27">
        <f t="shared" si="0"/>
        <v>1990</v>
      </c>
      <c r="B13" s="28"/>
      <c r="C13" s="28"/>
      <c r="D13" s="34">
        <f t="shared" si="4"/>
        <v>331051.66666666657</v>
      </c>
      <c r="E13" s="28"/>
      <c r="F13" s="23">
        <f t="shared" si="1"/>
        <v>3773.9903139056451</v>
      </c>
      <c r="G13" t="s">
        <v>87</v>
      </c>
      <c r="H13" s="39">
        <f t="shared" si="2"/>
        <v>0.18976660682226212</v>
      </c>
      <c r="I13" s="26">
        <f t="shared" si="3"/>
        <v>4490.1676499556033</v>
      </c>
    </row>
    <row r="14" spans="1:9" x14ac:dyDescent="0.25">
      <c r="A14" s="27">
        <f t="shared" ref="A14:A21" si="5">A15-1</f>
        <v>1991</v>
      </c>
      <c r="B14" s="28"/>
      <c r="C14" s="28"/>
      <c r="D14" s="34">
        <f t="shared" si="4"/>
        <v>337261.99999999988</v>
      </c>
      <c r="E14" s="28"/>
      <c r="F14" s="23">
        <f t="shared" si="1"/>
        <v>3844.7881385537371</v>
      </c>
      <c r="G14" t="s">
        <v>87</v>
      </c>
      <c r="H14" s="39">
        <f t="shared" si="2"/>
        <v>0.18976660682226212</v>
      </c>
      <c r="I14" s="26">
        <f t="shared" si="3"/>
        <v>4574.4005375575607</v>
      </c>
    </row>
    <row r="15" spans="1:9" x14ac:dyDescent="0.25">
      <c r="A15" s="27">
        <f t="shared" si="5"/>
        <v>1992</v>
      </c>
      <c r="B15" s="28"/>
      <c r="C15" s="28"/>
      <c r="D15" s="34">
        <f t="shared" si="4"/>
        <v>343472.3333333332</v>
      </c>
      <c r="E15" s="28"/>
      <c r="F15" s="23">
        <f t="shared" si="1"/>
        <v>3915.5859632018291</v>
      </c>
      <c r="G15" t="s">
        <v>87</v>
      </c>
      <c r="H15" s="39">
        <f t="shared" si="2"/>
        <v>0.18976660682226212</v>
      </c>
      <c r="I15" s="26">
        <f t="shared" si="3"/>
        <v>4658.633425159519</v>
      </c>
    </row>
    <row r="16" spans="1:9" x14ac:dyDescent="0.25">
      <c r="A16" s="27">
        <f t="shared" si="5"/>
        <v>1993</v>
      </c>
      <c r="B16" s="28"/>
      <c r="C16" s="28"/>
      <c r="D16" s="34">
        <f t="shared" si="4"/>
        <v>349682.66666666651</v>
      </c>
      <c r="E16" s="28"/>
      <c r="F16" s="23">
        <f t="shared" si="1"/>
        <v>3986.3837878499212</v>
      </c>
      <c r="G16" t="s">
        <v>87</v>
      </c>
      <c r="H16" s="39">
        <f t="shared" si="2"/>
        <v>0.18976660682226212</v>
      </c>
      <c r="I16" s="26">
        <f t="shared" si="3"/>
        <v>4742.8663127614773</v>
      </c>
    </row>
    <row r="17" spans="1:9" x14ac:dyDescent="0.25">
      <c r="A17" s="27">
        <f t="shared" si="5"/>
        <v>1994</v>
      </c>
      <c r="B17" s="28"/>
      <c r="C17" s="28"/>
      <c r="D17" s="34">
        <f t="shared" si="4"/>
        <v>355892.99999999983</v>
      </c>
      <c r="E17" s="28"/>
      <c r="F17" s="23">
        <f t="shared" si="1"/>
        <v>4057.1816124980132</v>
      </c>
      <c r="G17" t="s">
        <v>87</v>
      </c>
      <c r="H17" s="39">
        <f t="shared" si="2"/>
        <v>0.18976660682226212</v>
      </c>
      <c r="I17" s="26">
        <f t="shared" si="3"/>
        <v>4827.0992003634346</v>
      </c>
    </row>
    <row r="18" spans="1:9" x14ac:dyDescent="0.25">
      <c r="A18" s="27">
        <f t="shared" si="5"/>
        <v>1995</v>
      </c>
      <c r="B18" s="28"/>
      <c r="C18" s="28"/>
      <c r="D18" s="34">
        <f t="shared" si="4"/>
        <v>362103.33333333314</v>
      </c>
      <c r="E18" s="28"/>
      <c r="F18" s="23">
        <f t="shared" si="1"/>
        <v>4127.9794371461057</v>
      </c>
      <c r="G18" t="s">
        <v>87</v>
      </c>
      <c r="H18" s="39">
        <f t="shared" si="2"/>
        <v>0.18976660682226212</v>
      </c>
      <c r="I18" s="26">
        <f t="shared" si="3"/>
        <v>4911.3320879653938</v>
      </c>
    </row>
    <row r="19" spans="1:9" x14ac:dyDescent="0.25">
      <c r="A19" s="27">
        <f t="shared" si="5"/>
        <v>1996</v>
      </c>
      <c r="B19" s="28"/>
      <c r="C19" s="28"/>
      <c r="D19" s="34">
        <f t="shared" si="4"/>
        <v>368313.66666666645</v>
      </c>
      <c r="E19" s="28"/>
      <c r="F19" s="23">
        <f t="shared" si="1"/>
        <v>4198.7772617941973</v>
      </c>
      <c r="G19" t="s">
        <v>87</v>
      </c>
      <c r="H19" s="39">
        <f t="shared" si="2"/>
        <v>0.18976660682226212</v>
      </c>
      <c r="I19" s="26">
        <f t="shared" si="3"/>
        <v>4995.5649755673512</v>
      </c>
    </row>
    <row r="20" spans="1:9" x14ac:dyDescent="0.25">
      <c r="A20" s="27">
        <f t="shared" si="5"/>
        <v>1997</v>
      </c>
      <c r="B20" s="28"/>
      <c r="C20" s="28"/>
      <c r="D20" s="34">
        <f t="shared" si="4"/>
        <v>374523.99999999977</v>
      </c>
      <c r="E20" s="28"/>
      <c r="F20" s="23">
        <f t="shared" si="1"/>
        <v>4269.5750864422898</v>
      </c>
      <c r="G20" t="s">
        <v>87</v>
      </c>
      <c r="H20" s="39">
        <f t="shared" si="2"/>
        <v>0.18976660682226212</v>
      </c>
      <c r="I20" s="26">
        <f t="shared" si="3"/>
        <v>5079.7978631693095</v>
      </c>
    </row>
    <row r="21" spans="1:9" x14ac:dyDescent="0.25">
      <c r="A21" s="27">
        <f t="shared" si="5"/>
        <v>1998</v>
      </c>
      <c r="B21" s="28"/>
      <c r="C21" s="28"/>
      <c r="D21" s="34">
        <f t="shared" si="4"/>
        <v>380734.33333333308</v>
      </c>
      <c r="E21" s="28"/>
      <c r="F21" s="23">
        <f t="shared" si="1"/>
        <v>4340.3729110903814</v>
      </c>
      <c r="G21" t="s">
        <v>87</v>
      </c>
      <c r="H21" s="39">
        <f t="shared" si="2"/>
        <v>0.18976660682226212</v>
      </c>
      <c r="I21" s="26">
        <f t="shared" si="3"/>
        <v>5164.0307507712669</v>
      </c>
    </row>
    <row r="22" spans="1:9" x14ac:dyDescent="0.25">
      <c r="A22" s="27">
        <f>A23-1</f>
        <v>1999</v>
      </c>
      <c r="B22" s="28"/>
      <c r="C22" s="28"/>
      <c r="D22" s="34">
        <f t="shared" si="4"/>
        <v>386944.6666666664</v>
      </c>
      <c r="E22" s="28"/>
      <c r="F22" s="23">
        <f t="shared" si="1"/>
        <v>4411.1707357384739</v>
      </c>
      <c r="G22" t="s">
        <v>87</v>
      </c>
      <c r="H22" s="39">
        <f t="shared" si="2"/>
        <v>0.18976660682226212</v>
      </c>
      <c r="I22" s="26">
        <f t="shared" si="3"/>
        <v>5248.2636383732251</v>
      </c>
    </row>
    <row r="23" spans="1:9" x14ac:dyDescent="0.25">
      <c r="A23" s="29">
        <v>2000</v>
      </c>
      <c r="B23" s="31">
        <v>99000</v>
      </c>
      <c r="C23" s="31">
        <v>294155</v>
      </c>
      <c r="D23" s="31">
        <v>393155</v>
      </c>
      <c r="E23" s="32" t="s">
        <v>84</v>
      </c>
      <c r="F23" s="23">
        <f t="shared" si="1"/>
        <v>4481.9685603865692</v>
      </c>
      <c r="G23" t="s">
        <v>86</v>
      </c>
      <c r="H23" s="39">
        <f t="shared" si="2"/>
        <v>0.18976660682226212</v>
      </c>
      <c r="I23" s="26">
        <f t="shared" si="3"/>
        <v>5332.4965259751871</v>
      </c>
    </row>
    <row r="24" spans="1:9" x14ac:dyDescent="0.25">
      <c r="A24" s="29">
        <v>2001</v>
      </c>
      <c r="B24" s="31">
        <v>108900</v>
      </c>
      <c r="C24" s="31">
        <v>343230</v>
      </c>
      <c r="D24" s="31">
        <v>452130</v>
      </c>
      <c r="E24" s="32" t="s">
        <v>84</v>
      </c>
      <c r="F24" s="23">
        <f t="shared" si="1"/>
        <v>5154.2837944515004</v>
      </c>
      <c r="G24" t="s">
        <v>86</v>
      </c>
      <c r="H24" s="39">
        <f t="shared" si="2"/>
        <v>0.18976660682226212</v>
      </c>
      <c r="I24" s="26">
        <f t="shared" si="3"/>
        <v>6132.3947407235355</v>
      </c>
    </row>
    <row r="25" spans="1:9" x14ac:dyDescent="0.25">
      <c r="A25" s="29">
        <v>2002</v>
      </c>
      <c r="B25" s="31">
        <v>114000</v>
      </c>
      <c r="C25" s="31">
        <v>369780</v>
      </c>
      <c r="D25" s="31">
        <v>483780</v>
      </c>
      <c r="E25" s="32" t="s">
        <v>84</v>
      </c>
      <c r="F25" s="23">
        <f t="shared" si="1"/>
        <v>5515.0939200666771</v>
      </c>
      <c r="G25" t="s">
        <v>86</v>
      </c>
      <c r="H25" s="39">
        <f t="shared" si="2"/>
        <v>0.18976660682226212</v>
      </c>
      <c r="I25" s="26">
        <f t="shared" si="3"/>
        <v>6561.6745795838187</v>
      </c>
    </row>
    <row r="26" spans="1:9" x14ac:dyDescent="0.25">
      <c r="A26" s="29">
        <v>2003</v>
      </c>
      <c r="B26" s="31">
        <v>148000</v>
      </c>
      <c r="C26" s="31">
        <v>480915</v>
      </c>
      <c r="D26" s="31">
        <v>628915</v>
      </c>
      <c r="E26" s="32" t="s">
        <v>84</v>
      </c>
      <c r="F26" s="23">
        <f t="shared" si="1"/>
        <v>7169.6334960906488</v>
      </c>
      <c r="G26" t="s">
        <v>86</v>
      </c>
      <c r="H26" s="39">
        <f t="shared" si="2"/>
        <v>0.18976660682226212</v>
      </c>
      <c r="I26" s="26">
        <f t="shared" si="3"/>
        <v>8530.1905168030025</v>
      </c>
    </row>
    <row r="27" spans="1:9" x14ac:dyDescent="0.25">
      <c r="A27" s="29">
        <v>2004</v>
      </c>
      <c r="B27" s="31">
        <v>178000</v>
      </c>
      <c r="C27" s="31">
        <v>538965</v>
      </c>
      <c r="D27" s="31">
        <v>716965</v>
      </c>
      <c r="E27" s="32" t="s">
        <v>84</v>
      </c>
      <c r="F27" s="23">
        <f t="shared" si="1"/>
        <v>8173.4038455508808</v>
      </c>
      <c r="G27" t="s">
        <v>86</v>
      </c>
      <c r="H27" s="39">
        <f t="shared" si="2"/>
        <v>0.18976660682226212</v>
      </c>
      <c r="I27" s="26">
        <f t="shared" si="3"/>
        <v>9724.4429595091005</v>
      </c>
    </row>
    <row r="28" spans="1:9" x14ac:dyDescent="0.25">
      <c r="A28" s="29">
        <v>2005</v>
      </c>
      <c r="B28" s="31">
        <v>231000</v>
      </c>
      <c r="C28" s="31">
        <v>673710</v>
      </c>
      <c r="D28" s="31">
        <v>904710</v>
      </c>
      <c r="E28" s="32" t="s">
        <v>84</v>
      </c>
      <c r="F28" s="23">
        <f t="shared" si="1"/>
        <v>10313.697590688998</v>
      </c>
      <c r="G28" t="s">
        <v>86</v>
      </c>
      <c r="H28" s="39">
        <f t="shared" si="2"/>
        <v>0.18976660682226212</v>
      </c>
      <c r="I28" s="26">
        <f t="shared" si="3"/>
        <v>12270.892986264989</v>
      </c>
    </row>
    <row r="29" spans="1:9" x14ac:dyDescent="0.25">
      <c r="A29" s="29">
        <v>2006</v>
      </c>
      <c r="B29" s="31">
        <v>256000</v>
      </c>
      <c r="C29" s="31">
        <v>673710</v>
      </c>
      <c r="D29" s="31">
        <v>929710</v>
      </c>
      <c r="E29" s="32" t="s">
        <v>84</v>
      </c>
      <c r="F29" s="23">
        <f t="shared" si="1"/>
        <v>10598.697689911096</v>
      </c>
      <c r="G29" t="s">
        <v>86</v>
      </c>
      <c r="H29" s="39">
        <f t="shared" si="2"/>
        <v>0.18976660682226212</v>
      </c>
      <c r="I29" s="26">
        <f t="shared" si="3"/>
        <v>12609.976587260473</v>
      </c>
    </row>
    <row r="30" spans="1:9" x14ac:dyDescent="0.25">
      <c r="A30" s="29">
        <v>2007</v>
      </c>
      <c r="B30" s="31">
        <v>256000</v>
      </c>
      <c r="C30" s="31">
        <v>707400</v>
      </c>
      <c r="D30" s="31">
        <v>963400</v>
      </c>
      <c r="E30" s="32" t="s">
        <v>84</v>
      </c>
      <c r="F30" s="23">
        <f t="shared" si="1"/>
        <v>10982.763823622798</v>
      </c>
      <c r="G30" t="s">
        <v>86</v>
      </c>
      <c r="H30" s="39">
        <f t="shared" si="2"/>
        <v>0.18976660682226212</v>
      </c>
      <c r="I30" s="26">
        <f t="shared" si="3"/>
        <v>13066.925647961989</v>
      </c>
    </row>
    <row r="31" spans="1:9" x14ac:dyDescent="0.25">
      <c r="A31" s="29">
        <v>2008</v>
      </c>
      <c r="B31" s="31">
        <v>305000</v>
      </c>
      <c r="C31" s="31">
        <v>537390</v>
      </c>
      <c r="D31" s="31">
        <v>842390</v>
      </c>
      <c r="E31" s="32" t="s">
        <v>84</v>
      </c>
      <c r="F31" s="23">
        <f t="shared" si="1"/>
        <v>9603.2493433481504</v>
      </c>
      <c r="G31" t="s">
        <v>86</v>
      </c>
      <c r="H31" s="39">
        <f t="shared" si="2"/>
        <v>0.18976660682226212</v>
      </c>
      <c r="I31" s="26">
        <f t="shared" si="3"/>
        <v>11425.625385703446</v>
      </c>
    </row>
    <row r="32" spans="1:9" x14ac:dyDescent="0.25">
      <c r="A32" s="29">
        <v>2009</v>
      </c>
      <c r="B32" s="31">
        <v>296000</v>
      </c>
      <c r="C32" s="31">
        <v>526640</v>
      </c>
      <c r="D32" s="31">
        <v>822640</v>
      </c>
      <c r="E32" s="32" t="s">
        <v>84</v>
      </c>
      <c r="F32" s="23">
        <f t="shared" si="1"/>
        <v>9378.0992649626914</v>
      </c>
      <c r="G32" t="s">
        <v>86</v>
      </c>
      <c r="H32" s="39">
        <f t="shared" si="2"/>
        <v>0.18976660682226212</v>
      </c>
      <c r="I32" s="26">
        <f t="shared" si="3"/>
        <v>11157.749340917011</v>
      </c>
    </row>
    <row r="33" spans="1:9" x14ac:dyDescent="0.25">
      <c r="A33" s="29">
        <v>2010</v>
      </c>
      <c r="B33" s="31">
        <v>286000</v>
      </c>
      <c r="C33" s="31">
        <v>516110</v>
      </c>
      <c r="D33" s="31">
        <v>802110</v>
      </c>
      <c r="E33" s="32" t="s">
        <v>84</v>
      </c>
      <c r="F33" s="23">
        <f t="shared" si="1"/>
        <v>9144.0571834815055</v>
      </c>
      <c r="G33" t="s">
        <v>86</v>
      </c>
      <c r="H33" s="39">
        <f t="shared" si="2"/>
        <v>0.18976660682226212</v>
      </c>
      <c r="I33" s="26">
        <f t="shared" si="3"/>
        <v>10879.293887779522</v>
      </c>
    </row>
    <row r="34" spans="1:9" x14ac:dyDescent="0.25">
      <c r="A34" s="29">
        <v>2011</v>
      </c>
      <c r="B34" s="31">
        <v>286000</v>
      </c>
      <c r="C34" s="31">
        <v>523990</v>
      </c>
      <c r="D34" s="31">
        <v>809990</v>
      </c>
      <c r="E34" s="32" t="s">
        <v>84</v>
      </c>
      <c r="F34" s="23">
        <f t="shared" si="1"/>
        <v>9233.8892147563092</v>
      </c>
      <c r="G34" t="s">
        <v>86</v>
      </c>
      <c r="H34" s="39">
        <f t="shared" si="2"/>
        <v>0.18976660682226212</v>
      </c>
      <c r="I34" s="26">
        <f t="shared" si="3"/>
        <v>10986.173038813296</v>
      </c>
    </row>
    <row r="35" spans="1:9" x14ac:dyDescent="0.25">
      <c r="A35" s="29">
        <v>2012</v>
      </c>
      <c r="B35" s="31">
        <v>286000</v>
      </c>
      <c r="C35" s="31">
        <v>539710</v>
      </c>
      <c r="D35" s="31">
        <v>825710</v>
      </c>
      <c r="E35" s="32" t="s">
        <v>84</v>
      </c>
      <c r="F35" s="23">
        <f t="shared" si="1"/>
        <v>9413.0972771471661</v>
      </c>
      <c r="G35" t="s">
        <v>86</v>
      </c>
      <c r="H35" s="39">
        <f t="shared" si="2"/>
        <v>0.18976660682226212</v>
      </c>
      <c r="I35" s="26">
        <f t="shared" si="3"/>
        <v>11199.388807119258</v>
      </c>
    </row>
    <row r="36" spans="1:9" x14ac:dyDescent="0.25">
      <c r="A36" s="29">
        <v>2013</v>
      </c>
      <c r="B36" s="31">
        <v>296000</v>
      </c>
      <c r="C36" s="31">
        <v>508840</v>
      </c>
      <c r="D36" s="31">
        <v>804840</v>
      </c>
      <c r="E36" s="32" t="s">
        <v>84</v>
      </c>
      <c r="F36" s="23">
        <f t="shared" si="1"/>
        <v>9175.1791943165572</v>
      </c>
      <c r="G36" t="s">
        <v>86</v>
      </c>
      <c r="H36" s="39">
        <f t="shared" si="2"/>
        <v>0.18976660682226212</v>
      </c>
      <c r="I36" s="26">
        <f t="shared" si="3"/>
        <v>10916.321817008227</v>
      </c>
    </row>
    <row r="37" spans="1:9" x14ac:dyDescent="0.25">
      <c r="A37" s="29">
        <v>2014</v>
      </c>
      <c r="B37" s="31">
        <v>306000</v>
      </c>
      <c r="C37" s="31">
        <v>531350</v>
      </c>
      <c r="D37" s="31">
        <v>837350</v>
      </c>
      <c r="E37" s="32" t="s">
        <v>84</v>
      </c>
      <c r="F37" s="23">
        <f t="shared" si="1"/>
        <v>9545.7933233449749</v>
      </c>
      <c r="G37" t="s">
        <v>86</v>
      </c>
      <c r="H37" s="39">
        <f t="shared" si="2"/>
        <v>0.18976660682226212</v>
      </c>
      <c r="I37" s="26">
        <f t="shared" si="3"/>
        <v>11357.266131742756</v>
      </c>
    </row>
    <row r="38" spans="1:9" x14ac:dyDescent="0.25">
      <c r="A38" s="29">
        <v>2015</v>
      </c>
      <c r="B38" s="31">
        <v>326000</v>
      </c>
      <c r="C38" s="31">
        <v>531350</v>
      </c>
      <c r="D38" s="31">
        <v>857350</v>
      </c>
      <c r="E38" s="32" t="s">
        <v>84</v>
      </c>
      <c r="F38" s="23">
        <f t="shared" si="1"/>
        <v>9773.7934027226547</v>
      </c>
      <c r="G38" t="s">
        <v>86</v>
      </c>
      <c r="H38" s="39">
        <f t="shared" si="2"/>
        <v>0.18976660682226212</v>
      </c>
      <c r="I38" s="26">
        <f t="shared" si="3"/>
        <v>11628.533012539145</v>
      </c>
    </row>
    <row r="39" spans="1:9" x14ac:dyDescent="0.25">
      <c r="A39" s="29">
        <v>2016</v>
      </c>
      <c r="B39" s="31">
        <v>336000</v>
      </c>
      <c r="C39" s="31">
        <v>568540</v>
      </c>
      <c r="D39" s="31">
        <v>904540</v>
      </c>
      <c r="E39" s="32" t="s">
        <v>84</v>
      </c>
      <c r="F39" s="23">
        <f t="shared" si="1"/>
        <v>10311.759590014288</v>
      </c>
      <c r="G39" t="s">
        <v>86</v>
      </c>
      <c r="H39" s="39">
        <f t="shared" si="2"/>
        <v>0.18976660682226212</v>
      </c>
      <c r="I39" s="26">
        <f t="shared" si="3"/>
        <v>12268.58721777822</v>
      </c>
    </row>
    <row r="40" spans="1:9" x14ac:dyDescent="0.25">
      <c r="A40" s="29">
        <v>2017</v>
      </c>
      <c r="B40" s="31">
        <v>341000</v>
      </c>
      <c r="C40" s="31">
        <v>568540</v>
      </c>
      <c r="D40" s="31">
        <v>909540</v>
      </c>
      <c r="E40" s="32" t="s">
        <v>84</v>
      </c>
      <c r="F40" s="23">
        <f t="shared" si="1"/>
        <v>10368.759609858707</v>
      </c>
      <c r="G40" t="s">
        <v>86</v>
      </c>
      <c r="H40" s="39">
        <f t="shared" si="2"/>
        <v>0.18976660682226212</v>
      </c>
      <c r="I40" s="26">
        <f t="shared" si="3"/>
        <v>12336.403937977317</v>
      </c>
    </row>
    <row r="41" spans="1:9" x14ac:dyDescent="0.25">
      <c r="A41" s="29">
        <v>2018</v>
      </c>
      <c r="B41" s="31">
        <v>341000</v>
      </c>
      <c r="C41" s="31">
        <v>574230</v>
      </c>
      <c r="D41" s="31">
        <v>915230</v>
      </c>
      <c r="E41" s="32" t="s">
        <v>84</v>
      </c>
      <c r="F41" s="23">
        <f t="shared" si="1"/>
        <v>10433.625632441657</v>
      </c>
      <c r="G41" t="s">
        <v>86</v>
      </c>
      <c r="H41" s="39">
        <f t="shared" si="2"/>
        <v>0.18976660682226212</v>
      </c>
      <c r="I41" s="26">
        <f t="shared" si="3"/>
        <v>12413.579365563888</v>
      </c>
    </row>
    <row r="42" spans="1:9" x14ac:dyDescent="0.25">
      <c r="A42" s="29">
        <v>2019</v>
      </c>
      <c r="B42" s="31">
        <v>341000</v>
      </c>
      <c r="C42" s="31">
        <v>591460</v>
      </c>
      <c r="D42" s="31">
        <v>932460</v>
      </c>
      <c r="E42" s="32" t="s">
        <v>84</v>
      </c>
      <c r="F42" s="23">
        <f t="shared" si="1"/>
        <v>10630.047700825527</v>
      </c>
      <c r="G42" t="s">
        <v>86</v>
      </c>
      <c r="H42" s="39">
        <f t="shared" si="2"/>
        <v>0.18976660682226212</v>
      </c>
      <c r="I42" s="26">
        <f t="shared" si="3"/>
        <v>12647.275783369976</v>
      </c>
    </row>
    <row r="43" spans="1:9" x14ac:dyDescent="0.25">
      <c r="A43" s="29">
        <v>2020</v>
      </c>
      <c r="B43" s="31">
        <v>346000</v>
      </c>
      <c r="C43" s="31">
        <v>609200</v>
      </c>
      <c r="D43" s="31">
        <v>955200</v>
      </c>
      <c r="E43" s="32" t="s">
        <v>84</v>
      </c>
      <c r="F43" s="23">
        <f>D43*(F$44/D$44)</f>
        <v>10889.283791077949</v>
      </c>
      <c r="G43" t="s">
        <v>86</v>
      </c>
      <c r="H43" s="39">
        <f t="shared" si="2"/>
        <v>0.18976660682226212</v>
      </c>
      <c r="I43" s="26">
        <f t="shared" si="3"/>
        <v>12955.706226835469</v>
      </c>
    </row>
    <row r="44" spans="1:9" x14ac:dyDescent="0.25">
      <c r="A44" s="29">
        <v>2021</v>
      </c>
      <c r="B44" s="38">
        <v>356000</v>
      </c>
      <c r="C44" s="38">
        <v>651840</v>
      </c>
      <c r="D44" s="37">
        <v>1007840</v>
      </c>
      <c r="F44" s="36">
        <v>11489.38</v>
      </c>
      <c r="G44" t="s">
        <v>85</v>
      </c>
      <c r="H44" s="39">
        <f t="shared" si="2"/>
        <v>0.18976660682226212</v>
      </c>
      <c r="I44" s="26">
        <f t="shared" si="3"/>
        <v>13669.680657091561</v>
      </c>
    </row>
  </sheetData>
  <sortState xmlns:xlrd2="http://schemas.microsoft.com/office/spreadsheetml/2017/richdata2" ref="A5:E25">
    <sortCondition ref="A5:A2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0"/>
  <sheetViews>
    <sheetView workbookViewId="0">
      <selection activeCell="C1" sqref="C1"/>
    </sheetView>
  </sheetViews>
  <sheetFormatPr defaultRowHeight="15" x14ac:dyDescent="0.25"/>
  <cols>
    <col min="2" max="2" width="20.5703125" customWidth="1"/>
    <col min="3" max="3" width="14.140625" customWidth="1"/>
  </cols>
  <sheetData>
    <row r="1" spans="1:4" ht="60" x14ac:dyDescent="0.25">
      <c r="A1" s="18" t="s">
        <v>5</v>
      </c>
      <c r="B1" s="40" t="s">
        <v>95</v>
      </c>
      <c r="C1" s="40" t="s">
        <v>96</v>
      </c>
      <c r="D1" t="s">
        <v>99</v>
      </c>
    </row>
    <row r="2" spans="1:4" x14ac:dyDescent="0.25">
      <c r="A2" s="17">
        <v>1985</v>
      </c>
      <c r="B2" s="30">
        <f>'Taxes (Estimated)'!D8</f>
        <v>300000</v>
      </c>
      <c r="C2" s="9">
        <f t="shared" ref="C2:C36" si="0">B2*(C$38/B$38)</f>
        <v>357.19955548499757</v>
      </c>
      <c r="D2" t="s">
        <v>98</v>
      </c>
    </row>
    <row r="3" spans="1:4" x14ac:dyDescent="0.25">
      <c r="A3" s="17">
        <v>1986</v>
      </c>
      <c r="B3" s="30">
        <f>'Taxes (Estimated)'!D9</f>
        <v>306210.33333333331</v>
      </c>
      <c r="C3" s="9">
        <f t="shared" si="0"/>
        <v>364.593983171932</v>
      </c>
      <c r="D3" t="s">
        <v>98</v>
      </c>
    </row>
    <row r="4" spans="1:4" x14ac:dyDescent="0.25">
      <c r="A4" s="17">
        <v>1987</v>
      </c>
      <c r="B4" s="30">
        <f>'Taxes (Estimated)'!D10</f>
        <v>312420.66666666663</v>
      </c>
      <c r="C4" s="9">
        <f t="shared" si="0"/>
        <v>371.98841085886642</v>
      </c>
      <c r="D4" t="s">
        <v>98</v>
      </c>
    </row>
    <row r="5" spans="1:4" x14ac:dyDescent="0.25">
      <c r="A5" s="17">
        <v>1988</v>
      </c>
      <c r="B5" s="30">
        <f>'Taxes (Estimated)'!D11</f>
        <v>318630.99999999994</v>
      </c>
      <c r="C5" s="9">
        <f t="shared" si="0"/>
        <v>379.38283854580084</v>
      </c>
      <c r="D5" t="s">
        <v>98</v>
      </c>
    </row>
    <row r="6" spans="1:4" x14ac:dyDescent="0.25">
      <c r="A6" s="17">
        <v>1989</v>
      </c>
      <c r="B6" s="30">
        <f>'Taxes (Estimated)'!D12</f>
        <v>324841.33333333326</v>
      </c>
      <c r="C6" s="9">
        <f t="shared" si="0"/>
        <v>386.77726623273526</v>
      </c>
      <c r="D6" t="s">
        <v>98</v>
      </c>
    </row>
    <row r="7" spans="1:4" x14ac:dyDescent="0.25">
      <c r="A7" s="17">
        <v>1990</v>
      </c>
      <c r="B7" s="30">
        <f>'Taxes (Estimated)'!D13</f>
        <v>331051.66666666657</v>
      </c>
      <c r="C7" s="9">
        <f t="shared" si="0"/>
        <v>394.17169391966968</v>
      </c>
      <c r="D7" t="s">
        <v>98</v>
      </c>
    </row>
    <row r="8" spans="1:4" x14ac:dyDescent="0.25">
      <c r="A8" s="17">
        <v>1991</v>
      </c>
      <c r="B8" s="30">
        <f>'Taxes (Estimated)'!D14</f>
        <v>337261.99999999988</v>
      </c>
      <c r="C8" s="9">
        <f t="shared" si="0"/>
        <v>401.56612160660404</v>
      </c>
      <c r="D8" t="s">
        <v>98</v>
      </c>
    </row>
    <row r="9" spans="1:4" x14ac:dyDescent="0.25">
      <c r="A9" s="17">
        <v>1992</v>
      </c>
      <c r="B9" s="30">
        <f>'Taxes (Estimated)'!D15</f>
        <v>343472.3333333332</v>
      </c>
      <c r="C9" s="9">
        <f t="shared" si="0"/>
        <v>408.96054929353846</v>
      </c>
      <c r="D9" t="s">
        <v>98</v>
      </c>
    </row>
    <row r="10" spans="1:4" x14ac:dyDescent="0.25">
      <c r="A10" s="17">
        <v>1993</v>
      </c>
      <c r="B10" s="30">
        <f>'Taxes (Estimated)'!D16</f>
        <v>349682.66666666651</v>
      </c>
      <c r="C10" s="9">
        <f t="shared" si="0"/>
        <v>416.35497698047288</v>
      </c>
      <c r="D10" t="s">
        <v>98</v>
      </c>
    </row>
    <row r="11" spans="1:4" x14ac:dyDescent="0.25">
      <c r="A11" s="17">
        <v>1994</v>
      </c>
      <c r="B11" s="30">
        <f>'Taxes (Estimated)'!D17</f>
        <v>355892.99999999983</v>
      </c>
      <c r="C11" s="9">
        <f t="shared" si="0"/>
        <v>423.7494046674073</v>
      </c>
      <c r="D11" t="s">
        <v>98</v>
      </c>
    </row>
    <row r="12" spans="1:4" x14ac:dyDescent="0.25">
      <c r="A12" s="17">
        <v>1995</v>
      </c>
      <c r="B12" s="30">
        <f>'Taxes (Estimated)'!D18</f>
        <v>362103.33333333314</v>
      </c>
      <c r="C12" s="9">
        <f t="shared" si="0"/>
        <v>431.14383235434173</v>
      </c>
      <c r="D12" t="s">
        <v>98</v>
      </c>
    </row>
    <row r="13" spans="1:4" x14ac:dyDescent="0.25">
      <c r="A13" s="17">
        <v>1996</v>
      </c>
      <c r="B13" s="30">
        <f>'Taxes (Estimated)'!D19</f>
        <v>368313.66666666645</v>
      </c>
      <c r="C13" s="9">
        <f t="shared" si="0"/>
        <v>438.53826004127609</v>
      </c>
      <c r="D13" t="s">
        <v>98</v>
      </c>
    </row>
    <row r="14" spans="1:4" x14ac:dyDescent="0.25">
      <c r="A14" s="17">
        <v>1997</v>
      </c>
      <c r="B14" s="30">
        <f>'Taxes (Estimated)'!D20</f>
        <v>374523.99999999977</v>
      </c>
      <c r="C14" s="9">
        <f t="shared" si="0"/>
        <v>445.93268772821051</v>
      </c>
      <c r="D14" t="s">
        <v>98</v>
      </c>
    </row>
    <row r="15" spans="1:4" x14ac:dyDescent="0.25">
      <c r="A15" s="17">
        <v>1998</v>
      </c>
      <c r="B15" s="30">
        <f>'Taxes (Estimated)'!D21</f>
        <v>380734.33333333308</v>
      </c>
      <c r="C15" s="9">
        <f t="shared" si="0"/>
        <v>453.32711541514493</v>
      </c>
      <c r="D15" t="s">
        <v>98</v>
      </c>
    </row>
    <row r="16" spans="1:4" x14ac:dyDescent="0.25">
      <c r="A16" s="17">
        <v>1999</v>
      </c>
      <c r="B16" s="30">
        <f>'Taxes (Estimated)'!D22</f>
        <v>386944.6666666664</v>
      </c>
      <c r="C16" s="9">
        <f t="shared" si="0"/>
        <v>460.72154310207935</v>
      </c>
      <c r="D16" t="s">
        <v>98</v>
      </c>
    </row>
    <row r="17" spans="1:4" x14ac:dyDescent="0.25">
      <c r="A17" s="17">
        <v>2000</v>
      </c>
      <c r="B17" s="30">
        <f>'Taxes (Estimated)'!D23</f>
        <v>393155</v>
      </c>
      <c r="C17" s="9">
        <f t="shared" si="0"/>
        <v>468.11597078901411</v>
      </c>
      <c r="D17" t="s">
        <v>98</v>
      </c>
    </row>
    <row r="18" spans="1:4" x14ac:dyDescent="0.25">
      <c r="A18" s="17">
        <v>2001</v>
      </c>
      <c r="B18" s="30">
        <f>'Taxes (Estimated)'!D24</f>
        <v>452130</v>
      </c>
      <c r="C18" s="9">
        <f t="shared" si="0"/>
        <v>538.33545007143994</v>
      </c>
      <c r="D18" t="s">
        <v>98</v>
      </c>
    </row>
    <row r="19" spans="1:4" x14ac:dyDescent="0.25">
      <c r="A19" s="17">
        <v>2002</v>
      </c>
      <c r="B19" s="30">
        <f>'Taxes (Estimated)'!D25</f>
        <v>483780</v>
      </c>
      <c r="C19" s="9">
        <f t="shared" si="0"/>
        <v>576.02000317510715</v>
      </c>
      <c r="D19" t="s">
        <v>98</v>
      </c>
    </row>
    <row r="20" spans="1:4" x14ac:dyDescent="0.25">
      <c r="A20" s="17">
        <v>2003</v>
      </c>
      <c r="B20" s="30">
        <f>'Taxes (Estimated)'!D26</f>
        <v>628915</v>
      </c>
      <c r="C20" s="9">
        <f t="shared" si="0"/>
        <v>748.82719479282423</v>
      </c>
      <c r="D20" t="s">
        <v>98</v>
      </c>
    </row>
    <row r="21" spans="1:4" x14ac:dyDescent="0.25">
      <c r="A21" s="17">
        <v>2004</v>
      </c>
      <c r="B21" s="30">
        <f>'Taxes (Estimated)'!D27</f>
        <v>716965</v>
      </c>
      <c r="C21" s="9">
        <f t="shared" si="0"/>
        <v>853.66526432767103</v>
      </c>
      <c r="D21" t="s">
        <v>98</v>
      </c>
    </row>
    <row r="22" spans="1:4" x14ac:dyDescent="0.25">
      <c r="A22" s="17">
        <v>2005</v>
      </c>
      <c r="B22" s="30">
        <f>'Taxes (Estimated)'!D28</f>
        <v>904710</v>
      </c>
      <c r="C22" s="9">
        <f t="shared" si="0"/>
        <v>1077.2066994761074</v>
      </c>
      <c r="D22" t="s">
        <v>98</v>
      </c>
    </row>
    <row r="23" spans="1:4" x14ac:dyDescent="0.25">
      <c r="A23" s="17">
        <v>2006</v>
      </c>
      <c r="B23" s="30">
        <f>'Taxes (Estimated)'!D29</f>
        <v>929710</v>
      </c>
      <c r="C23" s="9">
        <f t="shared" si="0"/>
        <v>1106.973329099857</v>
      </c>
      <c r="D23" t="s">
        <v>98</v>
      </c>
    </row>
    <row r="24" spans="1:4" x14ac:dyDescent="0.25">
      <c r="A24" s="17">
        <v>2007</v>
      </c>
      <c r="B24" s="30">
        <f>'Taxes (Estimated)'!D30</f>
        <v>963400</v>
      </c>
      <c r="C24" s="9">
        <f t="shared" si="0"/>
        <v>1147.0868391808224</v>
      </c>
      <c r="D24" t="s">
        <v>98</v>
      </c>
    </row>
    <row r="25" spans="1:4" x14ac:dyDescent="0.25">
      <c r="A25" s="17">
        <v>2008</v>
      </c>
      <c r="B25" s="30">
        <f>'Taxes (Estimated)'!D31</f>
        <v>842390</v>
      </c>
      <c r="C25" s="9">
        <f t="shared" si="0"/>
        <v>1003.0044451500238</v>
      </c>
      <c r="D25" t="s">
        <v>98</v>
      </c>
    </row>
    <row r="26" spans="1:4" x14ac:dyDescent="0.25">
      <c r="A26" s="17">
        <v>2009</v>
      </c>
      <c r="B26" s="30">
        <f>'Taxes (Estimated)'!D32</f>
        <v>822640</v>
      </c>
      <c r="C26" s="9">
        <f t="shared" si="0"/>
        <v>979.48880774726138</v>
      </c>
      <c r="D26" t="s">
        <v>98</v>
      </c>
    </row>
    <row r="27" spans="1:4" x14ac:dyDescent="0.25">
      <c r="A27" s="17">
        <v>2010</v>
      </c>
      <c r="B27" s="30">
        <f>'Taxes (Estimated)'!D33</f>
        <v>802110</v>
      </c>
      <c r="C27" s="9">
        <f t="shared" si="0"/>
        <v>955.0444515002381</v>
      </c>
      <c r="D27" t="s">
        <v>98</v>
      </c>
    </row>
    <row r="28" spans="1:4" x14ac:dyDescent="0.25">
      <c r="A28" s="17">
        <v>2011</v>
      </c>
      <c r="B28" s="30">
        <f>'Taxes (Estimated)'!D34</f>
        <v>809990</v>
      </c>
      <c r="C28" s="9">
        <f t="shared" si="0"/>
        <v>964.42689315764403</v>
      </c>
      <c r="D28" t="s">
        <v>98</v>
      </c>
    </row>
    <row r="29" spans="1:4" x14ac:dyDescent="0.25">
      <c r="A29" s="17">
        <v>2012</v>
      </c>
      <c r="B29" s="30">
        <f>'Taxes (Estimated)'!D35</f>
        <v>825710</v>
      </c>
      <c r="C29" s="9">
        <f t="shared" si="0"/>
        <v>983.1441498650579</v>
      </c>
      <c r="D29" t="s">
        <v>98</v>
      </c>
    </row>
    <row r="30" spans="1:4" x14ac:dyDescent="0.25">
      <c r="A30" s="17">
        <v>2013</v>
      </c>
      <c r="B30" s="30">
        <f>'Taxes (Estimated)'!D36</f>
        <v>804840</v>
      </c>
      <c r="C30" s="9">
        <f t="shared" si="0"/>
        <v>958.29496745515155</v>
      </c>
      <c r="D30" t="s">
        <v>98</v>
      </c>
    </row>
    <row r="31" spans="1:4" x14ac:dyDescent="0.25">
      <c r="A31" s="17">
        <v>2014</v>
      </c>
      <c r="B31" s="30">
        <f>'Taxes (Estimated)'!D37</f>
        <v>837350</v>
      </c>
      <c r="C31" s="9">
        <f t="shared" si="0"/>
        <v>997.00349261787585</v>
      </c>
      <c r="D31" t="s">
        <v>98</v>
      </c>
    </row>
    <row r="32" spans="1:4" x14ac:dyDescent="0.25">
      <c r="A32" s="17">
        <v>2015</v>
      </c>
      <c r="B32" s="30">
        <f>'Taxes (Estimated)'!D38</f>
        <v>857350</v>
      </c>
      <c r="C32" s="9">
        <f t="shared" si="0"/>
        <v>1020.8167963168756</v>
      </c>
      <c r="D32" t="s">
        <v>98</v>
      </c>
    </row>
    <row r="33" spans="1:4" x14ac:dyDescent="0.25">
      <c r="A33" s="17">
        <v>2016</v>
      </c>
      <c r="B33" s="30">
        <f>'Taxes (Estimated)'!D39</f>
        <v>904540</v>
      </c>
      <c r="C33" s="9">
        <f t="shared" si="0"/>
        <v>1077.0042863946658</v>
      </c>
      <c r="D33" t="s">
        <v>98</v>
      </c>
    </row>
    <row r="34" spans="1:4" x14ac:dyDescent="0.25">
      <c r="A34" s="17">
        <v>2017</v>
      </c>
      <c r="B34" s="30">
        <f>'Taxes (Estimated)'!D40</f>
        <v>909540</v>
      </c>
      <c r="C34" s="9">
        <f t="shared" si="0"/>
        <v>1082.9576123194158</v>
      </c>
      <c r="D34" t="s">
        <v>98</v>
      </c>
    </row>
    <row r="35" spans="1:4" x14ac:dyDescent="0.25">
      <c r="A35" s="17">
        <v>2018</v>
      </c>
      <c r="B35" s="30">
        <f>'Taxes (Estimated)'!D41</f>
        <v>915230</v>
      </c>
      <c r="C35" s="9">
        <f t="shared" si="0"/>
        <v>1089.7324972217812</v>
      </c>
      <c r="D35" t="s">
        <v>98</v>
      </c>
    </row>
    <row r="36" spans="1:4" x14ac:dyDescent="0.25">
      <c r="A36" s="17">
        <v>2019</v>
      </c>
      <c r="B36" s="30">
        <f>'Taxes (Estimated)'!D42</f>
        <v>932460</v>
      </c>
      <c r="C36" s="9">
        <f t="shared" si="0"/>
        <v>1110.2476583584696</v>
      </c>
      <c r="D36" t="s">
        <v>98</v>
      </c>
    </row>
    <row r="37" spans="1:4" x14ac:dyDescent="0.25">
      <c r="A37" s="17">
        <v>2020</v>
      </c>
      <c r="B37" s="30">
        <f>'Taxes (Estimated)'!D43</f>
        <v>955200</v>
      </c>
      <c r="C37" s="9">
        <f>B37*(C$38/B$38)</f>
        <v>1137.3233846642324</v>
      </c>
      <c r="D37" t="s">
        <v>98</v>
      </c>
    </row>
    <row r="38" spans="1:4" x14ac:dyDescent="0.25">
      <c r="A38" s="17">
        <v>2021</v>
      </c>
      <c r="B38" s="30">
        <f>'Taxes (Estimated)'!D44</f>
        <v>1007840</v>
      </c>
      <c r="C38" s="9">
        <v>1200</v>
      </c>
      <c r="D38" t="s">
        <v>97</v>
      </c>
    </row>
    <row r="39" spans="1:4" ht="15.75" thickBot="1" x14ac:dyDescent="0.3">
      <c r="A39" s="19">
        <v>2022</v>
      </c>
    </row>
    <row r="40" spans="1:4" ht="15.75" thickTop="1" x14ac:dyDescent="0.25">
      <c r="A40" s="17" t="s">
        <v>22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60"/>
  <sheetViews>
    <sheetView topLeftCell="A22" zoomScale="145" zoomScaleNormal="145" workbookViewId="0">
      <selection activeCell="E9" sqref="E9"/>
    </sheetView>
  </sheetViews>
  <sheetFormatPr defaultRowHeight="15" x14ac:dyDescent="0.25"/>
  <cols>
    <col min="1" max="1" width="9.140625" customWidth="1"/>
    <col min="2" max="2" width="18.85546875" customWidth="1"/>
    <col min="3" max="3" width="16.7109375" customWidth="1"/>
    <col min="4" max="4" width="10.140625" bestFit="1" customWidth="1"/>
    <col min="5" max="5" width="12.85546875" style="20" bestFit="1" customWidth="1"/>
    <col min="6" max="6" width="11.7109375" bestFit="1" customWidth="1"/>
  </cols>
  <sheetData>
    <row r="1" spans="2:6" x14ac:dyDescent="0.25">
      <c r="C1" t="s">
        <v>75</v>
      </c>
      <c r="E1" s="20">
        <f>2695*12</f>
        <v>32340</v>
      </c>
    </row>
    <row r="2" spans="2:6" x14ac:dyDescent="0.25">
      <c r="C2">
        <v>1992</v>
      </c>
      <c r="E2" s="20">
        <v>32340</v>
      </c>
    </row>
    <row r="3" spans="2:6" x14ac:dyDescent="0.25">
      <c r="C3">
        <v>1993</v>
      </c>
      <c r="E3" s="20">
        <v>32340</v>
      </c>
    </row>
    <row r="4" spans="2:6" x14ac:dyDescent="0.25">
      <c r="C4">
        <v>1994</v>
      </c>
      <c r="E4" s="20">
        <v>32340</v>
      </c>
    </row>
    <row r="5" spans="2:6" x14ac:dyDescent="0.25">
      <c r="C5">
        <v>1995</v>
      </c>
      <c r="E5" s="20">
        <v>32340</v>
      </c>
    </row>
    <row r="6" spans="2:6" x14ac:dyDescent="0.25">
      <c r="C6">
        <v>1996</v>
      </c>
      <c r="E6" s="20">
        <v>32340</v>
      </c>
    </row>
    <row r="7" spans="2:6" x14ac:dyDescent="0.25">
      <c r="C7">
        <v>1997</v>
      </c>
      <c r="E7" s="20">
        <v>32340</v>
      </c>
    </row>
    <row r="8" spans="2:6" x14ac:dyDescent="0.25">
      <c r="B8" t="s">
        <v>74</v>
      </c>
      <c r="C8">
        <v>1998</v>
      </c>
      <c r="E8" s="20">
        <v>32340</v>
      </c>
    </row>
    <row r="9" spans="2:6" x14ac:dyDescent="0.25">
      <c r="B9" t="s">
        <v>72</v>
      </c>
      <c r="C9" t="s">
        <v>73</v>
      </c>
      <c r="E9" s="20">
        <f>2695*12</f>
        <v>32340</v>
      </c>
      <c r="F9" s="26" t="s">
        <v>42</v>
      </c>
    </row>
    <row r="10" spans="2:6" x14ac:dyDescent="0.25">
      <c r="B10" t="s">
        <v>72</v>
      </c>
      <c r="C10" t="s">
        <v>71</v>
      </c>
      <c r="E10" s="20">
        <f>2795*12</f>
        <v>33540</v>
      </c>
    </row>
    <row r="11" spans="2:6" x14ac:dyDescent="0.25">
      <c r="F11" t="s">
        <v>77</v>
      </c>
    </row>
    <row r="12" spans="2:6" x14ac:dyDescent="0.25">
      <c r="B12" t="s">
        <v>32</v>
      </c>
      <c r="C12" s="22" t="s">
        <v>70</v>
      </c>
      <c r="D12" s="25">
        <v>37072</v>
      </c>
      <c r="E12" s="20">
        <v>211.67</v>
      </c>
      <c r="F12" s="26">
        <f>SUM(E12:E23)</f>
        <v>35136.67</v>
      </c>
    </row>
    <row r="13" spans="2:6" x14ac:dyDescent="0.25">
      <c r="B13" t="s">
        <v>32</v>
      </c>
      <c r="C13" s="24" t="s">
        <v>69</v>
      </c>
      <c r="E13" s="20">
        <v>3175</v>
      </c>
    </row>
    <row r="14" spans="2:6" x14ac:dyDescent="0.25">
      <c r="B14" t="s">
        <v>32</v>
      </c>
      <c r="C14" s="24" t="s">
        <v>68</v>
      </c>
      <c r="E14" s="20">
        <v>3975</v>
      </c>
    </row>
    <row r="15" spans="2:6" x14ac:dyDescent="0.25">
      <c r="B15" t="s">
        <v>32</v>
      </c>
      <c r="C15" s="24" t="s">
        <v>67</v>
      </c>
      <c r="E15" s="20">
        <v>3975</v>
      </c>
    </row>
    <row r="16" spans="2:6" x14ac:dyDescent="0.25">
      <c r="B16" t="s">
        <v>32</v>
      </c>
      <c r="C16" s="24" t="s">
        <v>66</v>
      </c>
      <c r="E16" s="20">
        <v>1575</v>
      </c>
    </row>
    <row r="17" spans="2:8" x14ac:dyDescent="0.25">
      <c r="B17" t="s">
        <v>32</v>
      </c>
      <c r="C17" s="24" t="s">
        <v>65</v>
      </c>
      <c r="E17" s="20">
        <v>3175</v>
      </c>
    </row>
    <row r="18" spans="2:8" x14ac:dyDescent="0.25">
      <c r="B18" t="s">
        <v>32</v>
      </c>
      <c r="C18" s="24" t="s">
        <v>64</v>
      </c>
      <c r="E18" s="20">
        <v>3175</v>
      </c>
    </row>
    <row r="19" spans="2:8" x14ac:dyDescent="0.25">
      <c r="B19" t="s">
        <v>32</v>
      </c>
      <c r="C19" s="24" t="s">
        <v>63</v>
      </c>
      <c r="E19" s="20">
        <v>3175</v>
      </c>
    </row>
    <row r="20" spans="2:8" x14ac:dyDescent="0.25">
      <c r="B20" t="s">
        <v>32</v>
      </c>
      <c r="C20" s="24" t="s">
        <v>62</v>
      </c>
      <c r="E20" s="20">
        <v>3175</v>
      </c>
    </row>
    <row r="21" spans="2:8" x14ac:dyDescent="0.25">
      <c r="B21" t="s">
        <v>32</v>
      </c>
      <c r="C21" s="24" t="s">
        <v>61</v>
      </c>
      <c r="E21" s="20">
        <v>3175</v>
      </c>
    </row>
    <row r="22" spans="2:8" x14ac:dyDescent="0.25">
      <c r="B22" t="s">
        <v>32</v>
      </c>
      <c r="C22" s="24" t="s">
        <v>60</v>
      </c>
      <c r="E22" s="20">
        <v>3175</v>
      </c>
    </row>
    <row r="23" spans="2:8" x14ac:dyDescent="0.25">
      <c r="B23" t="s">
        <v>32</v>
      </c>
      <c r="C23" s="24" t="s">
        <v>59</v>
      </c>
      <c r="E23" s="20">
        <v>3175</v>
      </c>
    </row>
    <row r="24" spans="2:8" x14ac:dyDescent="0.25">
      <c r="B24" t="s">
        <v>32</v>
      </c>
      <c r="C24" s="24" t="s">
        <v>58</v>
      </c>
      <c r="E24" s="20">
        <v>3175</v>
      </c>
      <c r="H24" t="e">
        <f>'Rental income'!F52=e</f>
        <v>#NAME?</v>
      </c>
    </row>
    <row r="25" spans="2:8" x14ac:dyDescent="0.25">
      <c r="B25" t="s">
        <v>32</v>
      </c>
      <c r="C25" s="24" t="s">
        <v>57</v>
      </c>
      <c r="E25" s="20">
        <v>3175</v>
      </c>
      <c r="F25" s="26">
        <f>SUM(E25:E36)</f>
        <v>42430.7</v>
      </c>
    </row>
    <row r="26" spans="2:8" x14ac:dyDescent="0.25">
      <c r="B26" t="s">
        <v>32</v>
      </c>
      <c r="C26" s="24" t="s">
        <v>56</v>
      </c>
      <c r="E26" s="20">
        <v>3568.7</v>
      </c>
    </row>
    <row r="27" spans="2:8" x14ac:dyDescent="0.25">
      <c r="B27" t="s">
        <v>32</v>
      </c>
      <c r="C27" s="24" t="s">
        <v>55</v>
      </c>
      <c r="E27" s="20">
        <v>3568.7</v>
      </c>
    </row>
    <row r="28" spans="2:8" x14ac:dyDescent="0.25">
      <c r="B28" t="s">
        <v>32</v>
      </c>
      <c r="C28" s="24" t="s">
        <v>54</v>
      </c>
      <c r="E28" s="20">
        <v>3568.7</v>
      </c>
    </row>
    <row r="29" spans="2:8" x14ac:dyDescent="0.25">
      <c r="B29" t="s">
        <v>32</v>
      </c>
      <c r="C29" s="24" t="s">
        <v>53</v>
      </c>
      <c r="E29" s="20">
        <v>3568.7</v>
      </c>
    </row>
    <row r="30" spans="2:8" x14ac:dyDescent="0.25">
      <c r="B30" t="s">
        <v>32</v>
      </c>
      <c r="C30" s="24" t="s">
        <v>52</v>
      </c>
      <c r="E30" s="20">
        <v>3568.7</v>
      </c>
    </row>
    <row r="31" spans="2:8" x14ac:dyDescent="0.25">
      <c r="B31" t="s">
        <v>32</v>
      </c>
      <c r="C31" s="24" t="s">
        <v>51</v>
      </c>
      <c r="E31" s="20">
        <v>3568.7</v>
      </c>
    </row>
    <row r="32" spans="2:8" x14ac:dyDescent="0.25">
      <c r="B32" t="s">
        <v>32</v>
      </c>
      <c r="C32" s="24" t="s">
        <v>50</v>
      </c>
      <c r="E32" s="20">
        <v>3568.7</v>
      </c>
    </row>
    <row r="33" spans="2:6" x14ac:dyDescent="0.25">
      <c r="B33" t="s">
        <v>32</v>
      </c>
      <c r="C33" s="24" t="s">
        <v>49</v>
      </c>
      <c r="E33" s="20">
        <v>3568.7</v>
      </c>
    </row>
    <row r="34" spans="2:6" x14ac:dyDescent="0.25">
      <c r="B34" t="s">
        <v>32</v>
      </c>
      <c r="C34" s="24" t="s">
        <v>48</v>
      </c>
      <c r="E34" s="20">
        <v>3568.7</v>
      </c>
    </row>
    <row r="35" spans="2:6" x14ac:dyDescent="0.25">
      <c r="B35" t="s">
        <v>32</v>
      </c>
      <c r="C35" s="24" t="s">
        <v>47</v>
      </c>
      <c r="E35" s="20">
        <f>F$35/3</f>
        <v>3568.7000000000003</v>
      </c>
      <c r="F35" s="20">
        <v>10706.1</v>
      </c>
    </row>
    <row r="36" spans="2:6" x14ac:dyDescent="0.25">
      <c r="B36" t="s">
        <v>32</v>
      </c>
      <c r="C36" s="24" t="s">
        <v>46</v>
      </c>
      <c r="E36" s="20">
        <f t="shared" ref="E36:E37" si="0">F$35/3</f>
        <v>3568.7000000000003</v>
      </c>
      <c r="F36" s="26"/>
    </row>
    <row r="37" spans="2:6" x14ac:dyDescent="0.25">
      <c r="B37" t="s">
        <v>32</v>
      </c>
      <c r="C37" s="24" t="s">
        <v>45</v>
      </c>
      <c r="E37" s="20">
        <f t="shared" si="0"/>
        <v>3568.7000000000003</v>
      </c>
      <c r="F37" s="26">
        <f>SUM(E37:E48)</f>
        <v>44865.78</v>
      </c>
    </row>
    <row r="38" spans="2:6" x14ac:dyDescent="0.25">
      <c r="B38" t="s">
        <v>32</v>
      </c>
      <c r="C38" s="24" t="s">
        <v>44</v>
      </c>
      <c r="E38" s="20">
        <v>11262.84</v>
      </c>
    </row>
    <row r="39" spans="2:6" x14ac:dyDescent="0.25">
      <c r="B39" t="s">
        <v>32</v>
      </c>
      <c r="C39" s="24" t="s">
        <v>43</v>
      </c>
      <c r="E39" s="20" t="s">
        <v>42</v>
      </c>
    </row>
    <row r="40" spans="2:6" x14ac:dyDescent="0.25">
      <c r="B40" t="s">
        <v>32</v>
      </c>
      <c r="C40" s="24" t="s">
        <v>41</v>
      </c>
    </row>
    <row r="41" spans="2:6" x14ac:dyDescent="0.25">
      <c r="B41" t="s">
        <v>32</v>
      </c>
      <c r="C41" s="24" t="s">
        <v>40</v>
      </c>
      <c r="E41" s="20">
        <v>11262.84</v>
      </c>
    </row>
    <row r="42" spans="2:6" x14ac:dyDescent="0.25">
      <c r="B42" t="s">
        <v>32</v>
      </c>
      <c r="C42" s="24" t="s">
        <v>39</v>
      </c>
      <c r="F42" s="26"/>
    </row>
    <row r="43" spans="2:6" x14ac:dyDescent="0.25">
      <c r="B43" t="s">
        <v>32</v>
      </c>
      <c r="C43" s="24" t="s">
        <v>38</v>
      </c>
    </row>
    <row r="44" spans="2:6" x14ac:dyDescent="0.25">
      <c r="B44" t="s">
        <v>32</v>
      </c>
      <c r="C44" s="24" t="s">
        <v>37</v>
      </c>
      <c r="E44" s="20">
        <v>7508.56</v>
      </c>
    </row>
    <row r="45" spans="2:6" x14ac:dyDescent="0.25">
      <c r="B45" t="s">
        <v>32</v>
      </c>
      <c r="C45" s="24" t="s">
        <v>36</v>
      </c>
    </row>
    <row r="46" spans="2:6" x14ac:dyDescent="0.25">
      <c r="B46" t="s">
        <v>32</v>
      </c>
      <c r="C46" s="24" t="s">
        <v>35</v>
      </c>
      <c r="E46" s="20">
        <v>11262.84</v>
      </c>
    </row>
    <row r="47" spans="2:6" x14ac:dyDescent="0.25">
      <c r="B47" t="s">
        <v>32</v>
      </c>
      <c r="C47" s="24" t="s">
        <v>34</v>
      </c>
    </row>
    <row r="48" spans="2:6" x14ac:dyDescent="0.25">
      <c r="B48" t="s">
        <v>32</v>
      </c>
      <c r="C48" s="24" t="s">
        <v>33</v>
      </c>
    </row>
    <row r="49" spans="2:6" x14ac:dyDescent="0.25">
      <c r="B49" t="s">
        <v>32</v>
      </c>
      <c r="C49" s="24" t="s">
        <v>31</v>
      </c>
      <c r="E49" s="20">
        <v>11262.84</v>
      </c>
      <c r="F49" t="s">
        <v>78</v>
      </c>
    </row>
    <row r="51" spans="2:6" x14ac:dyDescent="0.25">
      <c r="E51" s="23">
        <f>SUM(E12:E50)</f>
        <v>136870.98999999996</v>
      </c>
    </row>
    <row r="52" spans="2:6" x14ac:dyDescent="0.25">
      <c r="B52" t="s">
        <v>30</v>
      </c>
      <c r="C52" s="24" t="s">
        <v>29</v>
      </c>
      <c r="E52" s="23">
        <v>140400</v>
      </c>
      <c r="F52" s="26">
        <f>(E49+E52)/4</f>
        <v>37915.71</v>
      </c>
    </row>
    <row r="54" spans="2:6" x14ac:dyDescent="0.25">
      <c r="C54" t="s">
        <v>28</v>
      </c>
    </row>
    <row r="55" spans="2:6" x14ac:dyDescent="0.25">
      <c r="C55" s="22" t="s">
        <v>27</v>
      </c>
      <c r="D55">
        <v>420.97</v>
      </c>
    </row>
    <row r="56" spans="2:6" x14ac:dyDescent="0.25">
      <c r="C56" s="21" t="s">
        <v>26</v>
      </c>
      <c r="D56">
        <f>4506.14+180.25</f>
        <v>4686.3900000000003</v>
      </c>
      <c r="E56" s="20">
        <f>D56*3</f>
        <v>14059.170000000002</v>
      </c>
    </row>
    <row r="57" spans="2:6" x14ac:dyDescent="0.25">
      <c r="C57" s="21" t="s">
        <v>25</v>
      </c>
      <c r="D57">
        <v>4686.3999999999996</v>
      </c>
      <c r="E57" s="20">
        <v>28118.38</v>
      </c>
      <c r="F57" s="26">
        <f>SUM(E56:E57)</f>
        <v>42177.55</v>
      </c>
    </row>
    <row r="59" spans="2:6" x14ac:dyDescent="0.25">
      <c r="E59" s="20">
        <f>SUM(E1:E57)</f>
        <v>780919.53000000026</v>
      </c>
    </row>
    <row r="60" spans="2:6" x14ac:dyDescent="0.25">
      <c r="E60" s="20">
        <f>E59-E51</f>
        <v>644048.54000000027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Investment Records (Actual)</vt:lpstr>
      <vt:lpstr>ROI calcluation</vt:lpstr>
      <vt:lpstr>Cash flows summary</vt:lpstr>
      <vt:lpstr>Cash flows (Approx)</vt:lpstr>
      <vt:lpstr>Taxes (Estimated)</vt:lpstr>
      <vt:lpstr>Insurance (Estimated)</vt:lpstr>
      <vt:lpstr>Rental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</dc:creator>
  <cp:lastModifiedBy>RoyB</cp:lastModifiedBy>
  <cp:lastPrinted>2022-01-23T03:42:28Z</cp:lastPrinted>
  <dcterms:created xsi:type="dcterms:W3CDTF">2022-01-19T20:16:46Z</dcterms:created>
  <dcterms:modified xsi:type="dcterms:W3CDTF">2022-01-24T17:46:05Z</dcterms:modified>
</cp:coreProperties>
</file>