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KCS\"/>
    </mc:Choice>
  </mc:AlternateContent>
  <xr:revisionPtr revIDLastSave="0" documentId="8_{E1D6ADEE-0440-4E3E-95B3-969B2CE10FCB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Summary" sheetId="22" state="hidden" r:id="rId1"/>
    <sheet name="Dashboard Control" sheetId="70" r:id="rId2"/>
    <sheet name="SummaryBottles" sheetId="55" r:id="rId3"/>
    <sheet name="BOM" sheetId="82" state="hidden" r:id="rId4"/>
    <sheet name="Sales" sheetId="81" state="hidden" r:id="rId5"/>
    <sheet name="Raw-Inventory" sheetId="76" state="hidden" r:id="rId6"/>
    <sheet name="FG-Inventory" sheetId="78" state="hidden" r:id="rId7"/>
    <sheet name="OpenPOs" sheetId="77" state="hidden" r:id="rId8"/>
    <sheet name="Forecast" sheetId="80" state="hidden" r:id="rId9"/>
  </sheets>
  <definedNames>
    <definedName name="_xlnm._FilterDatabase" localSheetId="1" hidden="1">'Dashboard Control'!$B$2:$D$2</definedName>
    <definedName name="_xlnm._FilterDatabase" localSheetId="0" hidden="1">Summary!$A$1:$R$65</definedName>
    <definedName name="_xlnm._FilterDatabase" localSheetId="2" hidden="1">SummaryBottles!$B$9:$Q$20</definedName>
    <definedName name="_xlnm.Print_Area" localSheetId="3">Table_Query_from_Mac107[[#Headers],[item_no]]</definedName>
    <definedName name="_xlnm.Print_Area" localSheetId="1">'Dashboard Control'!$C$1</definedName>
    <definedName name="_xlnm.Print_Area" localSheetId="6">Table_Query_from_Mac1012[[#Headers],[item_no]]</definedName>
    <definedName name="_xlnm.Print_Area" localSheetId="8">Table_Query_from_Mac105[[#Headers],[item_no]]</definedName>
    <definedName name="_xlnm.Print_Area" localSheetId="7">Table_Query_from_Mac106[[#Headers],[ord_no]]</definedName>
    <definedName name="_xlnm.Print_Area" localSheetId="5">Table_Query_from_Mac10[[#Headers],[item_no]]</definedName>
    <definedName name="_xlnm.Print_Area" localSheetId="4">Table_Query_from_Mac103[[#Headers],[item_no]]</definedName>
    <definedName name="_xlnm.Print_Area" localSheetId="0">Summary!$B$1:$T$39</definedName>
    <definedName name="_xlnm.Print_Area" localSheetId="2">SummaryBottles!$C$5:$T$20</definedName>
    <definedName name="_xlnm.Print_Titles" localSheetId="0">Summary!$1:$1</definedName>
    <definedName name="_xlnm.Print_Titles" localSheetId="2">SummaryBottles!$9:$9</definedName>
    <definedName name="Query_from_Mac10" localSheetId="3" hidden="1">BOM!$A$1:$X$12</definedName>
    <definedName name="Query_from_Mac10" localSheetId="6" hidden="1">'FG-Inventory'!$A$1:$CP$12</definedName>
    <definedName name="Query_from_Mac10" localSheetId="8" hidden="1">Forecast!$A$1:$E$12</definedName>
    <definedName name="Query_from_Mac10" localSheetId="7" hidden="1">OpenPOs!$A$1:$BM$9</definedName>
    <definedName name="Query_from_Mac10" localSheetId="5" hidden="1">'Raw-Inventory'!$A$1:$M$12</definedName>
    <definedName name="Query_from_Mac10" localSheetId="4" hidden="1">Sales!$A$1:$H$34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55" l="1"/>
  <c r="O7" i="55" l="1"/>
  <c r="D8" i="55"/>
  <c r="D12" i="80"/>
  <c r="J12" i="80" s="1"/>
  <c r="BM4" i="55"/>
  <c r="M20" i="55"/>
  <c r="M19" i="55"/>
  <c r="M18" i="55"/>
  <c r="M17" i="55"/>
  <c r="M16" i="55"/>
  <c r="M15" i="55"/>
  <c r="M14" i="55"/>
  <c r="M13" i="55"/>
  <c r="M12" i="55"/>
  <c r="M11" i="55"/>
  <c r="BN4" i="55" l="1"/>
  <c r="B23" i="55" s="1"/>
  <c r="E12" i="80"/>
  <c r="E9" i="80"/>
  <c r="I9" i="80" s="1"/>
  <c r="I5" i="80"/>
  <c r="D11" i="80"/>
  <c r="E11" i="80" s="1"/>
  <c r="D10" i="80"/>
  <c r="D9" i="80"/>
  <c r="J9" i="80" s="1"/>
  <c r="D8" i="80"/>
  <c r="D7" i="80"/>
  <c r="D6" i="80"/>
  <c r="J6" i="80" s="1"/>
  <c r="J5" i="80"/>
  <c r="D4" i="80"/>
  <c r="J4" i="80" s="1"/>
  <c r="D3" i="80"/>
  <c r="J3" i="80" s="1"/>
  <c r="D2" i="80"/>
  <c r="J7" i="80"/>
  <c r="J8" i="80"/>
  <c r="J10" i="80"/>
  <c r="BO2" i="77"/>
  <c r="BO3" i="77"/>
  <c r="BO4" i="77"/>
  <c r="BO5" i="77"/>
  <c r="BO6" i="77"/>
  <c r="BO7" i="77"/>
  <c r="BO8" i="77"/>
  <c r="BO9" i="77"/>
  <c r="BP2" i="77"/>
  <c r="BP3" i="77"/>
  <c r="BP4" i="77"/>
  <c r="BP5" i="77"/>
  <c r="BP6" i="77"/>
  <c r="BP7" i="77"/>
  <c r="BP8" i="77"/>
  <c r="BP9" i="77"/>
  <c r="BQ2" i="77"/>
  <c r="BQ3" i="77"/>
  <c r="BQ4" i="77"/>
  <c r="BQ5" i="77"/>
  <c r="BR5" i="77" s="1"/>
  <c r="BQ6" i="77"/>
  <c r="BQ7" i="77"/>
  <c r="BQ8" i="77"/>
  <c r="BQ9" i="77"/>
  <c r="BS2" i="77"/>
  <c r="BS3" i="77"/>
  <c r="BS4" i="77"/>
  <c r="BS5" i="77"/>
  <c r="BS6" i="77"/>
  <c r="BS7" i="77"/>
  <c r="BS8" i="77"/>
  <c r="BS9" i="77"/>
  <c r="BT2" i="77"/>
  <c r="BT3" i="77"/>
  <c r="BT4" i="77"/>
  <c r="BT5" i="77"/>
  <c r="BT6" i="77"/>
  <c r="BT7" i="77"/>
  <c r="BT8" i="77"/>
  <c r="BT9" i="77"/>
  <c r="BU2" i="77"/>
  <c r="BU3" i="77"/>
  <c r="BU4" i="77"/>
  <c r="BU5" i="77"/>
  <c r="BU6" i="77"/>
  <c r="BU7" i="77"/>
  <c r="BU8" i="77"/>
  <c r="BU9" i="77"/>
  <c r="BW2" i="77"/>
  <c r="BW3" i="77"/>
  <c r="BW4" i="77"/>
  <c r="BW5" i="77"/>
  <c r="BW6" i="77"/>
  <c r="BW7" i="77"/>
  <c r="BW8" i="77"/>
  <c r="BW9" i="77"/>
  <c r="BZ2" i="77"/>
  <c r="BZ3" i="77"/>
  <c r="BZ4" i="77"/>
  <c r="BZ5" i="77"/>
  <c r="BZ6" i="77"/>
  <c r="BZ7" i="77"/>
  <c r="BZ8" i="77"/>
  <c r="BZ9" i="77"/>
  <c r="CQ2" i="78"/>
  <c r="CQ3" i="78"/>
  <c r="CQ4" i="78"/>
  <c r="CQ5" i="78"/>
  <c r="CQ6" i="78"/>
  <c r="CQ7" i="78"/>
  <c r="CQ8" i="78"/>
  <c r="CQ9" i="78"/>
  <c r="CQ10" i="78"/>
  <c r="CQ11" i="78"/>
  <c r="CQ12" i="78"/>
  <c r="CR2" i="78"/>
  <c r="CR3" i="78"/>
  <c r="CR4" i="78"/>
  <c r="CR5" i="78"/>
  <c r="CR6" i="78"/>
  <c r="CR7" i="78"/>
  <c r="CR8" i="78"/>
  <c r="CR9" i="78"/>
  <c r="CR10" i="78"/>
  <c r="CR11" i="78"/>
  <c r="CR12" i="78"/>
  <c r="N2" i="76"/>
  <c r="N3" i="76"/>
  <c r="N4" i="76"/>
  <c r="N5" i="76"/>
  <c r="N6" i="76"/>
  <c r="N7" i="76"/>
  <c r="N8" i="76"/>
  <c r="N9" i="76"/>
  <c r="N10" i="76"/>
  <c r="N11" i="76"/>
  <c r="N12" i="76"/>
  <c r="C16" i="55" l="1"/>
  <c r="C15" i="55"/>
  <c r="C20" i="55"/>
  <c r="C12" i="55"/>
  <c r="C18" i="55"/>
  <c r="C19" i="55"/>
  <c r="C10" i="55"/>
  <c r="C14" i="55"/>
  <c r="C13" i="55"/>
  <c r="C17" i="55"/>
  <c r="C11" i="55"/>
  <c r="F12" i="80"/>
  <c r="I12" i="80"/>
  <c r="G12" i="80"/>
  <c r="H12" i="80"/>
  <c r="G11" i="80"/>
  <c r="H11" i="80"/>
  <c r="I11" i="80"/>
  <c r="J11" i="80"/>
  <c r="H10" i="80"/>
  <c r="E2" i="80"/>
  <c r="I2" i="80" s="1"/>
  <c r="E6" i="80"/>
  <c r="E10" i="80"/>
  <c r="I10" i="80" s="1"/>
  <c r="E3" i="80"/>
  <c r="I3" i="80" s="1"/>
  <c r="E7" i="80"/>
  <c r="I7" i="80" s="1"/>
  <c r="H7" i="80"/>
  <c r="G2" i="80"/>
  <c r="E4" i="80"/>
  <c r="E8" i="80"/>
  <c r="BV5" i="77"/>
  <c r="BR6" i="77"/>
  <c r="BV7" i="77"/>
  <c r="BR4" i="77"/>
  <c r="G9" i="80"/>
  <c r="G5" i="80"/>
  <c r="H9" i="80"/>
  <c r="H5" i="80"/>
  <c r="J2" i="80"/>
  <c r="H2" i="80"/>
  <c r="BV6" i="77"/>
  <c r="BR7" i="77"/>
  <c r="BV3" i="77"/>
  <c r="BV9" i="77"/>
  <c r="BR3" i="77"/>
  <c r="BR9" i="77"/>
  <c r="BR2" i="77"/>
  <c r="BR8" i="77"/>
  <c r="BV4" i="77"/>
  <c r="BV2" i="77"/>
  <c r="BV8" i="77"/>
  <c r="R1" i="80"/>
  <c r="H3" i="80" l="1"/>
  <c r="G8" i="80"/>
  <c r="H8" i="80"/>
  <c r="I8" i="80"/>
  <c r="G3" i="80"/>
  <c r="I4" i="80"/>
  <c r="G4" i="80"/>
  <c r="H4" i="80"/>
  <c r="F4" i="80" s="1"/>
  <c r="G6" i="80"/>
  <c r="H6" i="80"/>
  <c r="F6" i="80" s="1"/>
  <c r="I6" i="80"/>
  <c r="G10" i="80"/>
  <c r="G7" i="80"/>
  <c r="F2" i="80"/>
  <c r="F10" i="80"/>
  <c r="F5" i="80"/>
  <c r="F3" i="80"/>
  <c r="F7" i="80"/>
  <c r="F11" i="80"/>
  <c r="F8" i="80"/>
  <c r="F9" i="80"/>
  <c r="H7" i="55" l="1"/>
  <c r="D10" i="55" s="1"/>
  <c r="F13" i="70"/>
  <c r="J17" i="55" l="1"/>
  <c r="J13" i="55"/>
  <c r="J19" i="55"/>
  <c r="J15" i="55"/>
  <c r="J11" i="55"/>
  <c r="J18" i="55"/>
  <c r="J10" i="55"/>
  <c r="J20" i="55"/>
  <c r="J16" i="55"/>
  <c r="J12" i="55"/>
  <c r="J14" i="55"/>
  <c r="I13" i="70"/>
  <c r="F14" i="70"/>
  <c r="I2" i="81" l="1"/>
  <c r="I6" i="81"/>
  <c r="I10" i="81"/>
  <c r="I14" i="81"/>
  <c r="I18" i="81"/>
  <c r="I22" i="81"/>
  <c r="I26" i="81"/>
  <c r="I30" i="81"/>
  <c r="I34" i="81"/>
  <c r="I3" i="81"/>
  <c r="I7" i="81"/>
  <c r="I11" i="81"/>
  <c r="Y11" i="82" s="1"/>
  <c r="I15" i="81"/>
  <c r="I19" i="81"/>
  <c r="I23" i="81"/>
  <c r="I27" i="81"/>
  <c r="I31" i="81"/>
  <c r="I4" i="81"/>
  <c r="I8" i="81"/>
  <c r="I12" i="81"/>
  <c r="Y12" i="82" s="1"/>
  <c r="I16" i="81"/>
  <c r="I20" i="81"/>
  <c r="I24" i="81"/>
  <c r="I28" i="81"/>
  <c r="I32" i="81"/>
  <c r="I5" i="81"/>
  <c r="I21" i="81"/>
  <c r="I9" i="81"/>
  <c r="Y9" i="82" s="1"/>
  <c r="I25" i="81"/>
  <c r="I13" i="81"/>
  <c r="I29" i="81"/>
  <c r="I17" i="81"/>
  <c r="I33" i="81"/>
  <c r="F10" i="55"/>
  <c r="F12" i="55"/>
  <c r="H17" i="55"/>
  <c r="U17" i="55" s="1"/>
  <c r="H13" i="55"/>
  <c r="U13" i="55" s="1"/>
  <c r="H20" i="55"/>
  <c r="U20" i="55" s="1"/>
  <c r="H16" i="55"/>
  <c r="U16" i="55" s="1"/>
  <c r="H12" i="55"/>
  <c r="U12" i="55" s="1"/>
  <c r="H19" i="55"/>
  <c r="U19" i="55" s="1"/>
  <c r="H15" i="55"/>
  <c r="U15" i="55" s="1"/>
  <c r="H11" i="55"/>
  <c r="U11" i="55" s="1"/>
  <c r="H18" i="55"/>
  <c r="U18" i="55" s="1"/>
  <c r="H14" i="55"/>
  <c r="U14" i="55" s="1"/>
  <c r="H10" i="55"/>
  <c r="U10" i="55" s="1"/>
  <c r="F13" i="55"/>
  <c r="D15" i="55"/>
  <c r="F19" i="55"/>
  <c r="F14" i="55"/>
  <c r="D14" i="55"/>
  <c r="F20" i="55"/>
  <c r="F11" i="55"/>
  <c r="D12" i="55"/>
  <c r="F17" i="55"/>
  <c r="F16" i="55"/>
  <c r="D20" i="55"/>
  <c r="D13" i="55"/>
  <c r="F15" i="55"/>
  <c r="D17" i="55"/>
  <c r="D19" i="55"/>
  <c r="D11" i="55"/>
  <c r="D16" i="55"/>
  <c r="D18" i="55"/>
  <c r="F18" i="55"/>
  <c r="I10" i="55" l="1"/>
  <c r="Y4" i="82"/>
  <c r="Y8" i="82"/>
  <c r="Y7" i="82"/>
  <c r="Y10" i="82"/>
  <c r="Y5" i="82"/>
  <c r="Y3" i="82"/>
  <c r="Y6" i="82"/>
  <c r="Y2" i="82"/>
  <c r="G10" i="55"/>
  <c r="G12" i="55"/>
  <c r="G18" i="55"/>
  <c r="I18" i="55"/>
  <c r="I12" i="55"/>
  <c r="I13" i="55"/>
  <c r="G14" i="55"/>
  <c r="I19" i="55"/>
  <c r="G11" i="55"/>
  <c r="G13" i="55"/>
  <c r="I17" i="55"/>
  <c r="I11" i="55"/>
  <c r="G15" i="55"/>
  <c r="I15" i="55"/>
  <c r="G17" i="55"/>
  <c r="G20" i="55"/>
  <c r="I16" i="55"/>
  <c r="G19" i="55"/>
  <c r="G16" i="55"/>
  <c r="I20" i="55"/>
  <c r="I14" i="55"/>
  <c r="Z3" i="82" l="1"/>
  <c r="Z4" i="82"/>
  <c r="Z5" i="82"/>
  <c r="Z6" i="82"/>
  <c r="Z7" i="82"/>
  <c r="Z8" i="82"/>
  <c r="Z9" i="82"/>
  <c r="Z10" i="82"/>
  <c r="Z11" i="82"/>
  <c r="Z12" i="82"/>
  <c r="AA2" i="82"/>
  <c r="AA3" i="82"/>
  <c r="AA4" i="82"/>
  <c r="AA5" i="82"/>
  <c r="AA6" i="82"/>
  <c r="AA7" i="82"/>
  <c r="AA8" i="82"/>
  <c r="AA9" i="82"/>
  <c r="AA10" i="82"/>
  <c r="AA11" i="82"/>
  <c r="AA12" i="82"/>
  <c r="AC2" i="82"/>
  <c r="AC3" i="82"/>
  <c r="AC4" i="82"/>
  <c r="AC5" i="82"/>
  <c r="AC6" i="82"/>
  <c r="AC7" i="82"/>
  <c r="AC8" i="82"/>
  <c r="AC9" i="82"/>
  <c r="AC10" i="82"/>
  <c r="AC11" i="82"/>
  <c r="AC12" i="82"/>
  <c r="AD8" i="82" l="1"/>
  <c r="AE8" i="82" s="1"/>
  <c r="AD12" i="82"/>
  <c r="AE12" i="82" s="1"/>
  <c r="AD10" i="82"/>
  <c r="AE10" i="82" s="1"/>
  <c r="AD9" i="82"/>
  <c r="AE9" i="82" s="1"/>
  <c r="AD6" i="82"/>
  <c r="AE6" i="82" s="1"/>
  <c r="AD7" i="82"/>
  <c r="AE7" i="82" s="1"/>
  <c r="AD3" i="82"/>
  <c r="AE3" i="82" s="1"/>
  <c r="AD5" i="82"/>
  <c r="AE5" i="82" s="1"/>
  <c r="AB5" i="82" s="1"/>
  <c r="AD11" i="82"/>
  <c r="AE11" i="82" s="1"/>
  <c r="AD4" i="82"/>
  <c r="AE4" i="82" s="1"/>
  <c r="E16" i="55" l="1"/>
  <c r="K16" i="55" s="1"/>
  <c r="E15" i="55"/>
  <c r="K15" i="55" s="1"/>
  <c r="E18" i="55"/>
  <c r="K18" i="55" s="1"/>
  <c r="E14" i="55"/>
  <c r="K14" i="55" s="1"/>
  <c r="L14" i="55" s="1"/>
  <c r="E17" i="55"/>
  <c r="K17" i="55" s="1"/>
  <c r="E19" i="55"/>
  <c r="K19" i="55" s="1"/>
  <c r="E20" i="55"/>
  <c r="K20" i="55" s="1"/>
  <c r="E13" i="55"/>
  <c r="K13" i="55" s="1"/>
  <c r="E12" i="55"/>
  <c r="K12" i="55" s="1"/>
  <c r="E11" i="55"/>
  <c r="K11" i="55" s="1"/>
  <c r="L11" i="55" s="1"/>
  <c r="AB11" i="82"/>
  <c r="AB3" i="82"/>
  <c r="AB7" i="82"/>
  <c r="AB10" i="82"/>
  <c r="AB12" i="82"/>
  <c r="AB6" i="82"/>
  <c r="AB9" i="82"/>
  <c r="AB4" i="82"/>
  <c r="AB8" i="82"/>
  <c r="L17" i="55" l="1"/>
  <c r="N17" i="55"/>
  <c r="L16" i="55"/>
  <c r="N16" i="55"/>
  <c r="L20" i="55"/>
  <c r="N20" i="55"/>
  <c r="N14" i="55"/>
  <c r="L18" i="55"/>
  <c r="N18" i="55"/>
  <c r="L15" i="55"/>
  <c r="N15" i="55"/>
  <c r="L12" i="55"/>
  <c r="N12" i="55"/>
  <c r="N11" i="55"/>
  <c r="L13" i="55"/>
  <c r="N13" i="55"/>
  <c r="L19" i="55"/>
  <c r="N19" i="55"/>
  <c r="O11" i="55" l="1"/>
  <c r="S17" i="55"/>
  <c r="S12" i="55"/>
  <c r="S16" i="55"/>
  <c r="S19" i="55"/>
  <c r="S15" i="55"/>
  <c r="S10" i="55"/>
  <c r="S20" i="55"/>
  <c r="S18" i="55"/>
  <c r="S14" i="55"/>
  <c r="S13" i="55"/>
  <c r="S11" i="55"/>
  <c r="AA11" i="55" s="1"/>
  <c r="Y11" i="55" l="1"/>
  <c r="Z11" i="55"/>
  <c r="V20" i="55"/>
  <c r="W20" i="55"/>
  <c r="V16" i="55"/>
  <c r="W16" i="55"/>
  <c r="W19" i="55"/>
  <c r="V19" i="55"/>
  <c r="W13" i="55"/>
  <c r="V13" i="55"/>
  <c r="T10" i="55"/>
  <c r="X10" i="55" s="1"/>
  <c r="W10" i="55"/>
  <c r="V10" i="55"/>
  <c r="W12" i="55"/>
  <c r="V12" i="55"/>
  <c r="W18" i="55"/>
  <c r="V18" i="55"/>
  <c r="W11" i="55"/>
  <c r="V11" i="55"/>
  <c r="W14" i="55"/>
  <c r="V14" i="55"/>
  <c r="V15" i="55"/>
  <c r="W15" i="55"/>
  <c r="W17" i="55"/>
  <c r="V17" i="55"/>
  <c r="Z2" i="82"/>
  <c r="AD2" i="82"/>
  <c r="AE2" i="82" s="1"/>
  <c r="A2" i="22"/>
  <c r="E10" i="55" l="1"/>
  <c r="K10" i="55" s="1"/>
  <c r="AB2" i="82"/>
  <c r="A3" i="22"/>
  <c r="A4" i="22" s="1"/>
  <c r="B2" i="22"/>
  <c r="L10" i="55" l="1"/>
  <c r="I2" i="22"/>
  <c r="W2" i="22" s="1"/>
  <c r="S2" i="22"/>
  <c r="R2" i="22"/>
  <c r="G2" i="22"/>
  <c r="K2" i="22"/>
  <c r="T2" i="22"/>
  <c r="F2" i="22"/>
  <c r="D2" i="22"/>
  <c r="O2" i="22"/>
  <c r="H2" i="22"/>
  <c r="C2" i="22"/>
  <c r="E2" i="22"/>
  <c r="Q2" i="22"/>
  <c r="J2" i="22"/>
  <c r="M2" i="22" s="1"/>
  <c r="P2" i="22"/>
  <c r="A5" i="22"/>
  <c r="B5" i="22" s="1"/>
  <c r="B4" i="22"/>
  <c r="L2" i="22"/>
  <c r="B3" i="22"/>
  <c r="S4" i="22" l="1"/>
  <c r="R4" i="22"/>
  <c r="S3" i="22"/>
  <c r="R3" i="22"/>
  <c r="S5" i="22"/>
  <c r="R5" i="22"/>
  <c r="V2" i="22"/>
  <c r="I4" i="22"/>
  <c r="P4" i="22"/>
  <c r="T5" i="22"/>
  <c r="I5" i="22"/>
  <c r="P5" i="22"/>
  <c r="I3" i="22"/>
  <c r="P3" i="22"/>
  <c r="T3" i="22"/>
  <c r="L3" i="22"/>
  <c r="G3" i="22"/>
  <c r="T4" i="22"/>
  <c r="G4" i="22"/>
  <c r="A6" i="22"/>
  <c r="A7" i="22" s="1"/>
  <c r="J4" i="22"/>
  <c r="M4" i="22" s="1"/>
  <c r="Q4" i="22"/>
  <c r="F4" i="22"/>
  <c r="O4" i="22"/>
  <c r="E4" i="22"/>
  <c r="D4" i="22"/>
  <c r="H4" i="22"/>
  <c r="L4" i="22"/>
  <c r="K4" i="22"/>
  <c r="C4" i="22"/>
  <c r="H3" i="22"/>
  <c r="J3" i="22"/>
  <c r="M3" i="22" s="1"/>
  <c r="O3" i="22"/>
  <c r="C3" i="22"/>
  <c r="Q3" i="22"/>
  <c r="D3" i="22"/>
  <c r="E3" i="22"/>
  <c r="F3" i="22"/>
  <c r="K3" i="22"/>
  <c r="G5" i="22"/>
  <c r="K5" i="22"/>
  <c r="F5" i="22"/>
  <c r="Q5" i="22"/>
  <c r="L5" i="22"/>
  <c r="H5" i="22"/>
  <c r="O5" i="22"/>
  <c r="C5" i="22"/>
  <c r="D5" i="22"/>
  <c r="E5" i="22"/>
  <c r="J5" i="22"/>
  <c r="M5" i="22" s="1"/>
  <c r="U3" i="22" l="1"/>
  <c r="B6" i="22"/>
  <c r="R6" i="22" s="1"/>
  <c r="U5" i="22"/>
  <c r="U4" i="22"/>
  <c r="A8" i="22"/>
  <c r="B7" i="22"/>
  <c r="C6" i="22" l="1"/>
  <c r="T6" i="22"/>
  <c r="O6" i="22"/>
  <c r="Q6" i="22"/>
  <c r="K6" i="22"/>
  <c r="F6" i="22"/>
  <c r="E6" i="22"/>
  <c r="G6" i="22"/>
  <c r="P6" i="22"/>
  <c r="J6" i="22"/>
  <c r="M6" i="22" s="1"/>
  <c r="H6" i="22"/>
  <c r="L6" i="22"/>
  <c r="I6" i="22"/>
  <c r="D6" i="22"/>
  <c r="S6" i="22"/>
  <c r="S7" i="22"/>
  <c r="R7" i="22"/>
  <c r="T7" i="22"/>
  <c r="I7" i="22"/>
  <c r="P7" i="22"/>
  <c r="G7" i="22"/>
  <c r="E7" i="22"/>
  <c r="Q7" i="22"/>
  <c r="K7" i="22"/>
  <c r="F7" i="22"/>
  <c r="J7" i="22"/>
  <c r="M7" i="22" s="1"/>
  <c r="H7" i="22"/>
  <c r="D7" i="22"/>
  <c r="C7" i="22"/>
  <c r="L7" i="22"/>
  <c r="O7" i="22"/>
  <c r="A9" i="22"/>
  <c r="B8" i="22"/>
  <c r="U6" i="22" l="1"/>
  <c r="G8" i="22"/>
  <c r="S8" i="22"/>
  <c r="R8" i="22"/>
  <c r="T8" i="22"/>
  <c r="I8" i="22"/>
  <c r="P8" i="22"/>
  <c r="A10" i="22"/>
  <c r="B9" i="22"/>
  <c r="L8" i="22"/>
  <c r="H8" i="22"/>
  <c r="C8" i="22"/>
  <c r="D8" i="22"/>
  <c r="J8" i="22"/>
  <c r="M8" i="22" s="1"/>
  <c r="K8" i="22"/>
  <c r="F8" i="22"/>
  <c r="Q8" i="22"/>
  <c r="O8" i="22"/>
  <c r="E8" i="22"/>
  <c r="S9" i="22" l="1"/>
  <c r="R9" i="22"/>
  <c r="T9" i="22"/>
  <c r="I9" i="22"/>
  <c r="P9" i="22"/>
  <c r="A11" i="22"/>
  <c r="B10" i="22"/>
  <c r="G9" i="22"/>
  <c r="L9" i="22"/>
  <c r="H9" i="22"/>
  <c r="J9" i="22"/>
  <c r="M9" i="22" s="1"/>
  <c r="E9" i="22"/>
  <c r="F9" i="22"/>
  <c r="C9" i="22"/>
  <c r="D9" i="22"/>
  <c r="K9" i="22"/>
  <c r="O9" i="22"/>
  <c r="Q9" i="22"/>
  <c r="S10" i="22" l="1"/>
  <c r="R10" i="22"/>
  <c r="T10" i="22"/>
  <c r="I10" i="22"/>
  <c r="P10" i="22"/>
  <c r="J10" i="22"/>
  <c r="M10" i="22" s="1"/>
  <c r="O10" i="22"/>
  <c r="F10" i="22"/>
  <c r="C10" i="22"/>
  <c r="G10" i="22"/>
  <c r="E10" i="22"/>
  <c r="Q10" i="22"/>
  <c r="D10" i="22"/>
  <c r="L10" i="22"/>
  <c r="K10" i="22"/>
  <c r="H10" i="22"/>
  <c r="A12" i="22"/>
  <c r="B11" i="22"/>
  <c r="S11" i="22" l="1"/>
  <c r="R11" i="22"/>
  <c r="T11" i="22"/>
  <c r="I11" i="22"/>
  <c r="P11" i="22"/>
  <c r="G11" i="22"/>
  <c r="D11" i="22"/>
  <c r="H11" i="22"/>
  <c r="K11" i="22"/>
  <c r="O11" i="22"/>
  <c r="F11" i="22"/>
  <c r="L11" i="22"/>
  <c r="Q11" i="22"/>
  <c r="C11" i="22"/>
  <c r="E11" i="22"/>
  <c r="J11" i="22"/>
  <c r="M11" i="22" s="1"/>
  <c r="A13" i="22"/>
  <c r="B12" i="22"/>
  <c r="S12" i="22" l="1"/>
  <c r="R12" i="22"/>
  <c r="T12" i="22"/>
  <c r="I12" i="22"/>
  <c r="P12" i="22"/>
  <c r="A14" i="22"/>
  <c r="B13" i="22"/>
  <c r="G12" i="22"/>
  <c r="J12" i="22"/>
  <c r="M12" i="22" s="1"/>
  <c r="L12" i="22"/>
  <c r="Q12" i="22"/>
  <c r="H12" i="22"/>
  <c r="K12" i="22"/>
  <c r="D12" i="22"/>
  <c r="F12" i="22"/>
  <c r="O12" i="22"/>
  <c r="E12" i="22"/>
  <c r="C12" i="22"/>
  <c r="R13" i="22" l="1"/>
  <c r="S13" i="22"/>
  <c r="T13" i="22"/>
  <c r="I13" i="22"/>
  <c r="P13" i="22"/>
  <c r="G13" i="22"/>
  <c r="D13" i="22"/>
  <c r="L13" i="22"/>
  <c r="J13" i="22"/>
  <c r="M13" i="22" s="1"/>
  <c r="E13" i="22"/>
  <c r="H13" i="22"/>
  <c r="F13" i="22"/>
  <c r="Q13" i="22"/>
  <c r="C13" i="22"/>
  <c r="O13" i="22"/>
  <c r="K13" i="22"/>
  <c r="B14" i="22"/>
  <c r="A15" i="22"/>
  <c r="S14" i="22" l="1"/>
  <c r="R14" i="22"/>
  <c r="T14" i="22"/>
  <c r="I14" i="22"/>
  <c r="P14" i="22"/>
  <c r="A16" i="22"/>
  <c r="B15" i="22"/>
  <c r="G14" i="22"/>
  <c r="K14" i="22"/>
  <c r="H14" i="22"/>
  <c r="E14" i="22"/>
  <c r="C14" i="22"/>
  <c r="D14" i="22"/>
  <c r="Q14" i="22"/>
  <c r="J14" i="22"/>
  <c r="M14" i="22" s="1"/>
  <c r="L14" i="22"/>
  <c r="F14" i="22"/>
  <c r="O14" i="22"/>
  <c r="S15" i="22" l="1"/>
  <c r="R15" i="22"/>
  <c r="T15" i="22"/>
  <c r="I15" i="22"/>
  <c r="P15" i="22"/>
  <c r="G15" i="22"/>
  <c r="D15" i="22"/>
  <c r="H15" i="22"/>
  <c r="O15" i="22"/>
  <c r="F15" i="22"/>
  <c r="J15" i="22"/>
  <c r="M15" i="22" s="1"/>
  <c r="E15" i="22"/>
  <c r="K15" i="22"/>
  <c r="C15" i="22"/>
  <c r="Q15" i="22"/>
  <c r="L15" i="22"/>
  <c r="A17" i="22"/>
  <c r="B16" i="22"/>
  <c r="S16" i="22" l="1"/>
  <c r="R16" i="22"/>
  <c r="T16" i="22"/>
  <c r="I16" i="22"/>
  <c r="P16" i="22"/>
  <c r="G16" i="22"/>
  <c r="E16" i="22"/>
  <c r="L16" i="22"/>
  <c r="H16" i="22"/>
  <c r="D16" i="22"/>
  <c r="O16" i="22"/>
  <c r="J16" i="22"/>
  <c r="M16" i="22" s="1"/>
  <c r="F16" i="22"/>
  <c r="K16" i="22"/>
  <c r="Q16" i="22"/>
  <c r="C16" i="22"/>
  <c r="A18" i="22"/>
  <c r="B17" i="22"/>
  <c r="S17" i="22" l="1"/>
  <c r="R17" i="22"/>
  <c r="T17" i="22"/>
  <c r="I17" i="22"/>
  <c r="P17" i="22"/>
  <c r="G17" i="22"/>
  <c r="D17" i="22"/>
  <c r="E17" i="22"/>
  <c r="Q17" i="22"/>
  <c r="F17" i="22"/>
  <c r="J17" i="22"/>
  <c r="M17" i="22" s="1"/>
  <c r="H17" i="22"/>
  <c r="L17" i="22"/>
  <c r="O17" i="22"/>
  <c r="K17" i="22"/>
  <c r="C17" i="22"/>
  <c r="A19" i="22"/>
  <c r="B18" i="22"/>
  <c r="R18" i="22" l="1"/>
  <c r="S18" i="22"/>
  <c r="T18" i="22"/>
  <c r="I18" i="22"/>
  <c r="P18" i="22"/>
  <c r="G18" i="22"/>
  <c r="E18" i="22"/>
  <c r="L18" i="22"/>
  <c r="K18" i="22"/>
  <c r="Q18" i="22"/>
  <c r="C18" i="22"/>
  <c r="D18" i="22"/>
  <c r="H18" i="22"/>
  <c r="J18" i="22"/>
  <c r="M18" i="22" s="1"/>
  <c r="O18" i="22"/>
  <c r="F18" i="22"/>
  <c r="A20" i="22"/>
  <c r="B19" i="22"/>
  <c r="S19" i="22" l="1"/>
  <c r="R19" i="22"/>
  <c r="T19" i="22"/>
  <c r="I19" i="22"/>
  <c r="P19" i="22"/>
  <c r="G19" i="22"/>
  <c r="D19" i="22"/>
  <c r="Q19" i="22"/>
  <c r="E19" i="22"/>
  <c r="L19" i="22"/>
  <c r="F19" i="22"/>
  <c r="K19" i="22"/>
  <c r="J19" i="22"/>
  <c r="M19" i="22" s="1"/>
  <c r="H19" i="22"/>
  <c r="O19" i="22"/>
  <c r="C19" i="22"/>
  <c r="A21" i="22"/>
  <c r="B20" i="22"/>
  <c r="R20" i="22" l="1"/>
  <c r="S20" i="22"/>
  <c r="T20" i="22"/>
  <c r="I20" i="22"/>
  <c r="P20" i="22"/>
  <c r="G20" i="22"/>
  <c r="L20" i="22"/>
  <c r="C20" i="22"/>
  <c r="F20" i="22"/>
  <c r="E20" i="22"/>
  <c r="Q20" i="22"/>
  <c r="D20" i="22"/>
  <c r="O20" i="22"/>
  <c r="J20" i="22"/>
  <c r="M20" i="22" s="1"/>
  <c r="K20" i="22"/>
  <c r="H20" i="22"/>
  <c r="A22" i="22"/>
  <c r="B21" i="22"/>
  <c r="S21" i="22" l="1"/>
  <c r="R21" i="22"/>
  <c r="T21" i="22"/>
  <c r="I21" i="22"/>
  <c r="P21" i="22"/>
  <c r="D21" i="22"/>
  <c r="Q21" i="22"/>
  <c r="H21" i="22"/>
  <c r="E21" i="22"/>
  <c r="L21" i="22"/>
  <c r="G21" i="22"/>
  <c r="J21" i="22"/>
  <c r="M21" i="22" s="1"/>
  <c r="K21" i="22"/>
  <c r="O21" i="22"/>
  <c r="F21" i="22"/>
  <c r="C21" i="22"/>
  <c r="A23" i="22"/>
  <c r="B22" i="22"/>
  <c r="R22" i="22" l="1"/>
  <c r="S22" i="22"/>
  <c r="T22" i="22"/>
  <c r="I22" i="22"/>
  <c r="P22" i="22"/>
  <c r="G22" i="22"/>
  <c r="H22" i="22"/>
  <c r="L22" i="22"/>
  <c r="C22" i="22"/>
  <c r="J22" i="22"/>
  <c r="M22" i="22" s="1"/>
  <c r="Q22" i="22"/>
  <c r="D22" i="22"/>
  <c r="E22" i="22"/>
  <c r="K22" i="22"/>
  <c r="O22" i="22"/>
  <c r="F22" i="22"/>
  <c r="A24" i="22"/>
  <c r="B23" i="22"/>
  <c r="S23" i="22" l="1"/>
  <c r="R23" i="22"/>
  <c r="T23" i="22"/>
  <c r="I23" i="22"/>
  <c r="P23" i="22"/>
  <c r="G23" i="22"/>
  <c r="Q23" i="22"/>
  <c r="D23" i="22"/>
  <c r="K23" i="22"/>
  <c r="O23" i="22"/>
  <c r="H23" i="22"/>
  <c r="J23" i="22"/>
  <c r="M23" i="22" s="1"/>
  <c r="L23" i="22"/>
  <c r="E23" i="22"/>
  <c r="F23" i="22"/>
  <c r="C23" i="22"/>
  <c r="A25" i="22"/>
  <c r="B24" i="22"/>
  <c r="S24" i="22" l="1"/>
  <c r="R24" i="22"/>
  <c r="T24" i="22"/>
  <c r="I24" i="22"/>
  <c r="P24" i="22"/>
  <c r="G24" i="22"/>
  <c r="E24" i="22"/>
  <c r="Q24" i="22"/>
  <c r="J24" i="22"/>
  <c r="M24" i="22" s="1"/>
  <c r="O24" i="22"/>
  <c r="D24" i="22"/>
  <c r="H24" i="22"/>
  <c r="F24" i="22"/>
  <c r="L24" i="22"/>
  <c r="K24" i="22"/>
  <c r="C24" i="22"/>
  <c r="B25" i="22"/>
  <c r="A26" i="22"/>
  <c r="R25" i="22" l="1"/>
  <c r="S25" i="22"/>
  <c r="T25" i="22"/>
  <c r="I25" i="22"/>
  <c r="P25" i="22"/>
  <c r="A27" i="22"/>
  <c r="B26" i="22"/>
  <c r="C25" i="22"/>
  <c r="E25" i="22"/>
  <c r="K25" i="22"/>
  <c r="F25" i="22"/>
  <c r="H25" i="22"/>
  <c r="D25" i="22"/>
  <c r="J25" i="22"/>
  <c r="M25" i="22" s="1"/>
  <c r="O25" i="22"/>
  <c r="Q25" i="22"/>
  <c r="L25" i="22"/>
  <c r="G25" i="22"/>
  <c r="S26" i="22" l="1"/>
  <c r="R26" i="22"/>
  <c r="T26" i="22"/>
  <c r="I26" i="22"/>
  <c r="P26" i="22"/>
  <c r="G26" i="22"/>
  <c r="D26" i="22"/>
  <c r="K26" i="22"/>
  <c r="H26" i="22"/>
  <c r="F26" i="22"/>
  <c r="J26" i="22"/>
  <c r="M26" i="22" s="1"/>
  <c r="O26" i="22"/>
  <c r="E26" i="22"/>
  <c r="C26" i="22"/>
  <c r="Q26" i="22"/>
  <c r="L26" i="22"/>
  <c r="A28" i="22"/>
  <c r="B27" i="22"/>
  <c r="S27" i="22" l="1"/>
  <c r="R27" i="22"/>
  <c r="T27" i="22"/>
  <c r="I27" i="22"/>
  <c r="P27" i="22"/>
  <c r="G27" i="22"/>
  <c r="Q27" i="22"/>
  <c r="E27" i="22"/>
  <c r="O27" i="22"/>
  <c r="H27" i="22"/>
  <c r="D27" i="22"/>
  <c r="L27" i="22"/>
  <c r="J27" i="22"/>
  <c r="M27" i="22" s="1"/>
  <c r="F27" i="22"/>
  <c r="K27" i="22"/>
  <c r="C27" i="22"/>
  <c r="A29" i="22"/>
  <c r="B28" i="22"/>
  <c r="S28" i="22" l="1"/>
  <c r="R28" i="22"/>
  <c r="T28" i="22"/>
  <c r="I28" i="22"/>
  <c r="P28" i="22"/>
  <c r="F28" i="22"/>
  <c r="O28" i="22"/>
  <c r="H28" i="22"/>
  <c r="C28" i="22"/>
  <c r="D28" i="22"/>
  <c r="L28" i="22"/>
  <c r="Q28" i="22"/>
  <c r="G28" i="22"/>
  <c r="E28" i="22"/>
  <c r="J28" i="22"/>
  <c r="M28" i="22" s="1"/>
  <c r="K28" i="22"/>
  <c r="B29" i="22"/>
  <c r="A30" i="22"/>
  <c r="S29" i="22" l="1"/>
  <c r="R29" i="22"/>
  <c r="T29" i="22"/>
  <c r="I29" i="22"/>
  <c r="P29" i="22"/>
  <c r="B30" i="22"/>
  <c r="A31" i="22"/>
  <c r="G29" i="22"/>
  <c r="K29" i="22"/>
  <c r="Q29" i="22"/>
  <c r="D29" i="22"/>
  <c r="E29" i="22"/>
  <c r="O29" i="22"/>
  <c r="J29" i="22"/>
  <c r="M29" i="22" s="1"/>
  <c r="H29" i="22"/>
  <c r="L29" i="22"/>
  <c r="F29" i="22"/>
  <c r="C29" i="22"/>
  <c r="S30" i="22" l="1"/>
  <c r="R30" i="22"/>
  <c r="T30" i="22"/>
  <c r="I30" i="22"/>
  <c r="P30" i="22"/>
  <c r="A32" i="22"/>
  <c r="B31" i="22"/>
  <c r="G30" i="22"/>
  <c r="D30" i="22"/>
  <c r="O30" i="22"/>
  <c r="H30" i="22"/>
  <c r="E30" i="22"/>
  <c r="Q30" i="22"/>
  <c r="C30" i="22"/>
  <c r="F30" i="22"/>
  <c r="J30" i="22"/>
  <c r="M30" i="22" s="1"/>
  <c r="L30" i="22"/>
  <c r="K30" i="22"/>
  <c r="S31" i="22" l="1"/>
  <c r="R31" i="22"/>
  <c r="T31" i="22"/>
  <c r="I31" i="22"/>
  <c r="P31" i="22"/>
  <c r="D31" i="22"/>
  <c r="K31" i="22"/>
  <c r="E31" i="22"/>
  <c r="G31" i="22"/>
  <c r="J31" i="22"/>
  <c r="M31" i="22" s="1"/>
  <c r="F31" i="22"/>
  <c r="L31" i="22"/>
  <c r="C31" i="22"/>
  <c r="O31" i="22"/>
  <c r="H31" i="22"/>
  <c r="Q31" i="22"/>
  <c r="A33" i="22"/>
  <c r="B32" i="22"/>
  <c r="S32" i="22" l="1"/>
  <c r="R32" i="22"/>
  <c r="T32" i="22"/>
  <c r="I32" i="22"/>
  <c r="P32" i="22"/>
  <c r="D32" i="22"/>
  <c r="K32" i="22"/>
  <c r="G32" i="22"/>
  <c r="Q32" i="22"/>
  <c r="E32" i="22"/>
  <c r="L32" i="22"/>
  <c r="O32" i="22"/>
  <c r="C32" i="22"/>
  <c r="J32" i="22"/>
  <c r="M32" i="22" s="1"/>
  <c r="H32" i="22"/>
  <c r="F32" i="22"/>
  <c r="A34" i="22"/>
  <c r="B33" i="22"/>
  <c r="S33" i="22" l="1"/>
  <c r="R33" i="22"/>
  <c r="T33" i="22"/>
  <c r="I33" i="22"/>
  <c r="P33" i="22"/>
  <c r="F33" i="22"/>
  <c r="E33" i="22"/>
  <c r="H33" i="22"/>
  <c r="G33" i="22"/>
  <c r="L33" i="22"/>
  <c r="Q33" i="22"/>
  <c r="D33" i="22"/>
  <c r="O33" i="22"/>
  <c r="J33" i="22"/>
  <c r="M33" i="22" s="1"/>
  <c r="C33" i="22"/>
  <c r="K33" i="22"/>
  <c r="A35" i="22"/>
  <c r="B34" i="22"/>
  <c r="S34" i="22" l="1"/>
  <c r="R34" i="22"/>
  <c r="T34" i="22"/>
  <c r="I34" i="22"/>
  <c r="P34" i="22"/>
  <c r="A36" i="22"/>
  <c r="B35" i="22"/>
  <c r="D34" i="22"/>
  <c r="K34" i="22"/>
  <c r="Q34" i="22"/>
  <c r="O34" i="22"/>
  <c r="J34" i="22"/>
  <c r="M34" i="22" s="1"/>
  <c r="E34" i="22"/>
  <c r="G34" i="22"/>
  <c r="F34" i="22"/>
  <c r="L34" i="22"/>
  <c r="C34" i="22"/>
  <c r="H34" i="22"/>
  <c r="S35" i="22" l="1"/>
  <c r="R35" i="22"/>
  <c r="T35" i="22"/>
  <c r="I35" i="22"/>
  <c r="P35" i="22"/>
  <c r="G35" i="22"/>
  <c r="F35" i="22"/>
  <c r="J35" i="22"/>
  <c r="M35" i="22" s="1"/>
  <c r="E35" i="22"/>
  <c r="C35" i="22"/>
  <c r="D35" i="22"/>
  <c r="Q35" i="22"/>
  <c r="H35" i="22"/>
  <c r="O35" i="22"/>
  <c r="L35" i="22"/>
  <c r="K35" i="22"/>
  <c r="B36" i="22"/>
  <c r="A37" i="22"/>
  <c r="S36" i="22" l="1"/>
  <c r="R36" i="22"/>
  <c r="T36" i="22"/>
  <c r="I36" i="22"/>
  <c r="P36" i="22"/>
  <c r="B37" i="22"/>
  <c r="A38" i="22"/>
  <c r="G36" i="22"/>
  <c r="E36" i="22"/>
  <c r="Q36" i="22"/>
  <c r="C36" i="22"/>
  <c r="D36" i="22"/>
  <c r="F36" i="22"/>
  <c r="K36" i="22"/>
  <c r="O36" i="22"/>
  <c r="J36" i="22"/>
  <c r="M36" i="22" s="1"/>
  <c r="L36" i="22"/>
  <c r="H36" i="22"/>
  <c r="S37" i="22" l="1"/>
  <c r="R37" i="22"/>
  <c r="T37" i="22"/>
  <c r="I37" i="22"/>
  <c r="P37" i="22"/>
  <c r="A39" i="22"/>
  <c r="B38" i="22"/>
  <c r="G37" i="22"/>
  <c r="F37" i="22"/>
  <c r="E37" i="22"/>
  <c r="O37" i="22"/>
  <c r="Q37" i="22"/>
  <c r="H37" i="22"/>
  <c r="L37" i="22"/>
  <c r="D37" i="22"/>
  <c r="K37" i="22"/>
  <c r="J37" i="22"/>
  <c r="M37" i="22" s="1"/>
  <c r="C37" i="22"/>
  <c r="S38" i="22" l="1"/>
  <c r="R38" i="22"/>
  <c r="T38" i="22"/>
  <c r="I38" i="22"/>
  <c r="P38" i="22"/>
  <c r="G38" i="22"/>
  <c r="E38" i="22"/>
  <c r="Q38" i="22"/>
  <c r="D38" i="22"/>
  <c r="K38" i="22"/>
  <c r="J38" i="22"/>
  <c r="M38" i="22" s="1"/>
  <c r="F38" i="22"/>
  <c r="H38" i="22"/>
  <c r="O38" i="22"/>
  <c r="L38" i="22"/>
  <c r="C38" i="22"/>
  <c r="A40" i="22"/>
  <c r="B39" i="22"/>
  <c r="S39" i="22" l="1"/>
  <c r="R39" i="22"/>
  <c r="T39" i="22"/>
  <c r="I39" i="22"/>
  <c r="P39" i="22"/>
  <c r="K39" i="22"/>
  <c r="H39" i="22"/>
  <c r="G39" i="22"/>
  <c r="F39" i="22"/>
  <c r="Q39" i="22"/>
  <c r="C39" i="22"/>
  <c r="O39" i="22"/>
  <c r="D39" i="22"/>
  <c r="E39" i="22"/>
  <c r="J39" i="22"/>
  <c r="M39" i="22" s="1"/>
  <c r="L39" i="22"/>
  <c r="A41" i="22"/>
  <c r="B40" i="22"/>
  <c r="R40" i="22" l="1"/>
  <c r="S40" i="22"/>
  <c r="T40" i="22"/>
  <c r="I40" i="22"/>
  <c r="P40" i="22"/>
  <c r="D40" i="22"/>
  <c r="F40" i="22"/>
  <c r="Q40" i="22"/>
  <c r="H40" i="22"/>
  <c r="K40" i="22"/>
  <c r="L40" i="22"/>
  <c r="J40" i="22"/>
  <c r="M40" i="22" s="1"/>
  <c r="O40" i="22"/>
  <c r="E40" i="22"/>
  <c r="C40" i="22"/>
  <c r="G40" i="22"/>
  <c r="A42" i="22"/>
  <c r="B41" i="22"/>
  <c r="S41" i="22" l="1"/>
  <c r="R41" i="22"/>
  <c r="T41" i="22"/>
  <c r="I41" i="22"/>
  <c r="P41" i="22"/>
  <c r="H41" i="22"/>
  <c r="D41" i="22"/>
  <c r="F41" i="22"/>
  <c r="L41" i="22"/>
  <c r="O41" i="22"/>
  <c r="C41" i="22"/>
  <c r="J41" i="22"/>
  <c r="M41" i="22" s="1"/>
  <c r="E41" i="22"/>
  <c r="Q41" i="22"/>
  <c r="K41" i="22"/>
  <c r="G41" i="22"/>
  <c r="A43" i="22"/>
  <c r="B42" i="22"/>
  <c r="S42" i="22" l="1"/>
  <c r="R42" i="22"/>
  <c r="T42" i="22"/>
  <c r="I42" i="22"/>
  <c r="P42" i="22"/>
  <c r="O42" i="22"/>
  <c r="Q42" i="22"/>
  <c r="E42" i="22"/>
  <c r="D42" i="22"/>
  <c r="H42" i="22"/>
  <c r="K42" i="22"/>
  <c r="F42" i="22"/>
  <c r="J42" i="22"/>
  <c r="M42" i="22" s="1"/>
  <c r="L42" i="22"/>
  <c r="C42" i="22"/>
  <c r="G42" i="22"/>
  <c r="A44" i="22"/>
  <c r="B43" i="22"/>
  <c r="S43" i="22" l="1"/>
  <c r="R43" i="22"/>
  <c r="T43" i="22"/>
  <c r="I43" i="22"/>
  <c r="P43" i="22"/>
  <c r="A45" i="22"/>
  <c r="B44" i="22"/>
  <c r="L43" i="22"/>
  <c r="F43" i="22"/>
  <c r="E43" i="22"/>
  <c r="C43" i="22"/>
  <c r="J43" i="22"/>
  <c r="M43" i="22" s="1"/>
  <c r="K43" i="22"/>
  <c r="Q43" i="22"/>
  <c r="O43" i="22"/>
  <c r="D43" i="22"/>
  <c r="H43" i="22"/>
  <c r="G43" i="22"/>
  <c r="S44" i="22" l="1"/>
  <c r="R44" i="22"/>
  <c r="T44" i="22"/>
  <c r="I44" i="22"/>
  <c r="P44" i="22"/>
  <c r="E44" i="22"/>
  <c r="J44" i="22"/>
  <c r="M44" i="22" s="1"/>
  <c r="L44" i="22"/>
  <c r="C44" i="22"/>
  <c r="D44" i="22"/>
  <c r="K44" i="22"/>
  <c r="Q44" i="22"/>
  <c r="F44" i="22"/>
  <c r="H44" i="22"/>
  <c r="O44" i="22"/>
  <c r="G44" i="22"/>
  <c r="A46" i="22"/>
  <c r="B45" i="22"/>
  <c r="S45" i="22" l="1"/>
  <c r="R45" i="22"/>
  <c r="T45" i="22"/>
  <c r="I45" i="22"/>
  <c r="P45" i="22"/>
  <c r="F45" i="22"/>
  <c r="O45" i="22"/>
  <c r="C45" i="22"/>
  <c r="K45" i="22"/>
  <c r="E45" i="22"/>
  <c r="Q45" i="22"/>
  <c r="D45" i="22"/>
  <c r="J45" i="22"/>
  <c r="M45" i="22" s="1"/>
  <c r="H45" i="22"/>
  <c r="L45" i="22"/>
  <c r="G45" i="22"/>
  <c r="A47" i="22"/>
  <c r="B46" i="22"/>
  <c r="S46" i="22" l="1"/>
  <c r="R46" i="22"/>
  <c r="T46" i="22"/>
  <c r="I46" i="22"/>
  <c r="P46" i="22"/>
  <c r="A48" i="22"/>
  <c r="B47" i="22"/>
  <c r="E46" i="22"/>
  <c r="O46" i="22"/>
  <c r="D46" i="22"/>
  <c r="J46" i="22"/>
  <c r="M46" i="22" s="1"/>
  <c r="H46" i="22"/>
  <c r="C46" i="22"/>
  <c r="F46" i="22"/>
  <c r="Q46" i="22"/>
  <c r="L46" i="22"/>
  <c r="K46" i="22"/>
  <c r="G46" i="22"/>
  <c r="R47" i="22" l="1"/>
  <c r="S47" i="22"/>
  <c r="T47" i="22"/>
  <c r="I47" i="22"/>
  <c r="P47" i="22"/>
  <c r="K47" i="22"/>
  <c r="C47" i="22"/>
  <c r="O47" i="22"/>
  <c r="L47" i="22"/>
  <c r="Q47" i="22"/>
  <c r="D47" i="22"/>
  <c r="J47" i="22"/>
  <c r="M47" i="22" s="1"/>
  <c r="H47" i="22"/>
  <c r="F47" i="22"/>
  <c r="E47" i="22"/>
  <c r="G47" i="22"/>
  <c r="A49" i="22"/>
  <c r="B48" i="22"/>
  <c r="S48" i="22" l="1"/>
  <c r="R48" i="22"/>
  <c r="T48" i="22"/>
  <c r="I48" i="22"/>
  <c r="P48" i="22"/>
  <c r="F48" i="22"/>
  <c r="H48" i="22"/>
  <c r="L48" i="22"/>
  <c r="E48" i="22"/>
  <c r="Q48" i="22"/>
  <c r="C48" i="22"/>
  <c r="K48" i="22"/>
  <c r="O48" i="22"/>
  <c r="D48" i="22"/>
  <c r="J48" i="22"/>
  <c r="M48" i="22" s="1"/>
  <c r="G48" i="22"/>
  <c r="A50" i="22"/>
  <c r="B49" i="22"/>
  <c r="R49" i="22" l="1"/>
  <c r="S49" i="22"/>
  <c r="T49" i="22"/>
  <c r="I49" i="22"/>
  <c r="P49" i="22"/>
  <c r="E49" i="22"/>
  <c r="Q49" i="22"/>
  <c r="C49" i="22"/>
  <c r="O49" i="22"/>
  <c r="H49" i="22"/>
  <c r="D49" i="22"/>
  <c r="F49" i="22"/>
  <c r="J49" i="22"/>
  <c r="M49" i="22" s="1"/>
  <c r="L49" i="22"/>
  <c r="K49" i="22"/>
  <c r="G49" i="22"/>
  <c r="A51" i="22"/>
  <c r="B50" i="22"/>
  <c r="S50" i="22" l="1"/>
  <c r="R50" i="22"/>
  <c r="T50" i="22"/>
  <c r="I50" i="22"/>
  <c r="P50" i="22"/>
  <c r="F50" i="22"/>
  <c r="J50" i="22"/>
  <c r="M50" i="22" s="1"/>
  <c r="O50" i="22"/>
  <c r="E50" i="22"/>
  <c r="Q50" i="22"/>
  <c r="H50" i="22"/>
  <c r="L50" i="22"/>
  <c r="D50" i="22"/>
  <c r="K50" i="22"/>
  <c r="C50" i="22"/>
  <c r="G50" i="22"/>
  <c r="A52" i="22"/>
  <c r="B51" i="22"/>
  <c r="R51" i="22" l="1"/>
  <c r="S51" i="22"/>
  <c r="T51" i="22"/>
  <c r="I51" i="22"/>
  <c r="P51" i="22"/>
  <c r="A53" i="22"/>
  <c r="B52" i="22"/>
  <c r="L51" i="22"/>
  <c r="K51" i="22"/>
  <c r="C51" i="22"/>
  <c r="J51" i="22"/>
  <c r="M51" i="22" s="1"/>
  <c r="H51" i="22"/>
  <c r="F51" i="22"/>
  <c r="O51" i="22"/>
  <c r="Q51" i="22"/>
  <c r="E51" i="22"/>
  <c r="D51" i="22"/>
  <c r="G51" i="22"/>
  <c r="S52" i="22" l="1"/>
  <c r="R52" i="22"/>
  <c r="T52" i="22"/>
  <c r="I52" i="22"/>
  <c r="P52" i="22"/>
  <c r="K52" i="22"/>
  <c r="J52" i="22"/>
  <c r="M52" i="22" s="1"/>
  <c r="L52" i="22"/>
  <c r="E52" i="22"/>
  <c r="H52" i="22"/>
  <c r="D52" i="22"/>
  <c r="O52" i="22"/>
  <c r="Q52" i="22"/>
  <c r="F52" i="22"/>
  <c r="C52" i="22"/>
  <c r="G52" i="22"/>
  <c r="B53" i="22"/>
  <c r="A54" i="22"/>
  <c r="S53" i="22" l="1"/>
  <c r="R53" i="22"/>
  <c r="T53" i="22"/>
  <c r="I53" i="22"/>
  <c r="P53" i="22"/>
  <c r="A55" i="22"/>
  <c r="B54" i="22"/>
  <c r="L53" i="22"/>
  <c r="E53" i="22"/>
  <c r="H53" i="22"/>
  <c r="K53" i="22"/>
  <c r="C53" i="22"/>
  <c r="O53" i="22"/>
  <c r="F53" i="22"/>
  <c r="J53" i="22"/>
  <c r="M53" i="22" s="1"/>
  <c r="Q53" i="22"/>
  <c r="D53" i="22"/>
  <c r="G53" i="22"/>
  <c r="R54" i="22" l="1"/>
  <c r="S54" i="22"/>
  <c r="T54" i="22"/>
  <c r="I54" i="22"/>
  <c r="P54" i="22"/>
  <c r="A56" i="22"/>
  <c r="B55" i="22"/>
  <c r="L54" i="22"/>
  <c r="E54" i="22"/>
  <c r="H54" i="22"/>
  <c r="K54" i="22"/>
  <c r="F54" i="22"/>
  <c r="C54" i="22"/>
  <c r="O54" i="22"/>
  <c r="J54" i="22"/>
  <c r="M54" i="22" s="1"/>
  <c r="Q54" i="22"/>
  <c r="D54" i="22"/>
  <c r="G54" i="22"/>
  <c r="S55" i="22" l="1"/>
  <c r="R55" i="22"/>
  <c r="T55" i="22"/>
  <c r="I55" i="22"/>
  <c r="P55" i="22"/>
  <c r="A57" i="22"/>
  <c r="B56" i="22"/>
  <c r="O55" i="22"/>
  <c r="L55" i="22"/>
  <c r="K55" i="22"/>
  <c r="C55" i="22"/>
  <c r="J55" i="22"/>
  <c r="M55" i="22" s="1"/>
  <c r="Q55" i="22"/>
  <c r="D55" i="22"/>
  <c r="F55" i="22"/>
  <c r="E55" i="22"/>
  <c r="H55" i="22"/>
  <c r="G55" i="22"/>
  <c r="R56" i="22" l="1"/>
  <c r="S56" i="22"/>
  <c r="T56" i="22"/>
  <c r="I56" i="22"/>
  <c r="P56" i="22"/>
  <c r="B57" i="22"/>
  <c r="A58" i="22"/>
  <c r="L56" i="22"/>
  <c r="C56" i="22"/>
  <c r="D56" i="22"/>
  <c r="K56" i="22"/>
  <c r="Q56" i="22"/>
  <c r="E56" i="22"/>
  <c r="J56" i="22"/>
  <c r="M56" i="22" s="1"/>
  <c r="O56" i="22"/>
  <c r="H56" i="22"/>
  <c r="F56" i="22"/>
  <c r="G56" i="22"/>
  <c r="S57" i="22" l="1"/>
  <c r="R57" i="22"/>
  <c r="T57" i="22"/>
  <c r="I57" i="22"/>
  <c r="P57" i="22"/>
  <c r="A59" i="22"/>
  <c r="B58" i="22"/>
  <c r="E57" i="22"/>
  <c r="F57" i="22"/>
  <c r="O57" i="22"/>
  <c r="C57" i="22"/>
  <c r="J57" i="22"/>
  <c r="M57" i="22" s="1"/>
  <c r="Q57" i="22"/>
  <c r="D57" i="22"/>
  <c r="H57" i="22"/>
  <c r="K57" i="22"/>
  <c r="L57" i="22"/>
  <c r="G57" i="22"/>
  <c r="S58" i="22" l="1"/>
  <c r="R58" i="22"/>
  <c r="T58" i="22"/>
  <c r="I58" i="22"/>
  <c r="P58" i="22"/>
  <c r="H58" i="22"/>
  <c r="K58" i="22"/>
  <c r="L58" i="22"/>
  <c r="E58" i="22"/>
  <c r="O58" i="22"/>
  <c r="J58" i="22"/>
  <c r="M58" i="22" s="1"/>
  <c r="D58" i="22"/>
  <c r="F58" i="22"/>
  <c r="Q58" i="22"/>
  <c r="C58" i="22"/>
  <c r="G58" i="22"/>
  <c r="A60" i="22"/>
  <c r="B59" i="22"/>
  <c r="S59" i="22" l="1"/>
  <c r="R59" i="22"/>
  <c r="T59" i="22"/>
  <c r="I59" i="22"/>
  <c r="P59" i="22"/>
  <c r="O59" i="22"/>
  <c r="D59" i="22"/>
  <c r="H59" i="22"/>
  <c r="L59" i="22"/>
  <c r="F59" i="22"/>
  <c r="E59" i="22"/>
  <c r="C59" i="22"/>
  <c r="J59" i="22"/>
  <c r="M59" i="22" s="1"/>
  <c r="K59" i="22"/>
  <c r="Q59" i="22"/>
  <c r="G59" i="22"/>
  <c r="B60" i="22"/>
  <c r="A61" i="22"/>
  <c r="R60" i="22" l="1"/>
  <c r="S60" i="22"/>
  <c r="T60" i="22"/>
  <c r="I60" i="22"/>
  <c r="P60" i="22"/>
  <c r="A62" i="22"/>
  <c r="B61" i="22"/>
  <c r="O60" i="22"/>
  <c r="K60" i="22"/>
  <c r="E60" i="22"/>
  <c r="Q60" i="22"/>
  <c r="C60" i="22"/>
  <c r="D60" i="22"/>
  <c r="F60" i="22"/>
  <c r="H60" i="22"/>
  <c r="L60" i="22"/>
  <c r="J60" i="22"/>
  <c r="M60" i="22" s="1"/>
  <c r="G60" i="22"/>
  <c r="S61" i="22" l="1"/>
  <c r="R61" i="22"/>
  <c r="T61" i="22"/>
  <c r="I61" i="22"/>
  <c r="P61" i="22"/>
  <c r="F61" i="22"/>
  <c r="C61" i="22"/>
  <c r="D61" i="22"/>
  <c r="J61" i="22"/>
  <c r="M61" i="22" s="1"/>
  <c r="Q61" i="22"/>
  <c r="K61" i="22"/>
  <c r="E61" i="22"/>
  <c r="L61" i="22"/>
  <c r="O61" i="22"/>
  <c r="H61" i="22"/>
  <c r="G61" i="22"/>
  <c r="B62" i="22"/>
  <c r="A63" i="22"/>
  <c r="S62" i="22" l="1"/>
  <c r="R62" i="22"/>
  <c r="T62" i="22"/>
  <c r="I62" i="22"/>
  <c r="P62" i="22"/>
  <c r="B63" i="22"/>
  <c r="A64" i="22"/>
  <c r="F62" i="22"/>
  <c r="H62" i="22"/>
  <c r="D62" i="22"/>
  <c r="E62" i="22"/>
  <c r="J62" i="22"/>
  <c r="M62" i="22" s="1"/>
  <c r="K62" i="22"/>
  <c r="L62" i="22"/>
  <c r="C62" i="22"/>
  <c r="O62" i="22"/>
  <c r="Q62" i="22"/>
  <c r="G62" i="22"/>
  <c r="R63" i="22" l="1"/>
  <c r="S63" i="22"/>
  <c r="T63" i="22"/>
  <c r="I63" i="22"/>
  <c r="P63" i="22"/>
  <c r="A65" i="22"/>
  <c r="B65" i="22" s="1"/>
  <c r="B64" i="22"/>
  <c r="F63" i="22"/>
  <c r="E63" i="22"/>
  <c r="G63" i="22"/>
  <c r="Q63" i="22"/>
  <c r="K63" i="22"/>
  <c r="D63" i="22"/>
  <c r="L63" i="22"/>
  <c r="C63" i="22"/>
  <c r="O63" i="22"/>
  <c r="J63" i="22"/>
  <c r="M63" i="22" s="1"/>
  <c r="H63" i="22"/>
  <c r="S64" i="22" l="1"/>
  <c r="R64" i="22"/>
  <c r="R65" i="22"/>
  <c r="S65" i="22"/>
  <c r="T65" i="22"/>
  <c r="I65" i="22"/>
  <c r="P65" i="22"/>
  <c r="T64" i="22"/>
  <c r="I64" i="22"/>
  <c r="P64" i="22"/>
  <c r="C65" i="22"/>
  <c r="Q65" i="22"/>
  <c r="K65" i="22"/>
  <c r="O65" i="22"/>
  <c r="H65" i="22"/>
  <c r="E65" i="22"/>
  <c r="L65" i="22"/>
  <c r="D65" i="22"/>
  <c r="F65" i="22"/>
  <c r="J65" i="22"/>
  <c r="M65" i="22" s="1"/>
  <c r="G65" i="22"/>
  <c r="K64" i="22"/>
  <c r="E64" i="22"/>
  <c r="C64" i="22"/>
  <c r="F64" i="22"/>
  <c r="H64" i="22"/>
  <c r="Q64" i="22"/>
  <c r="D64" i="22"/>
  <c r="J64" i="22"/>
  <c r="M64" i="22" s="1"/>
  <c r="L64" i="22"/>
  <c r="O64" i="22"/>
  <c r="G64" i="22"/>
  <c r="T14" i="55" l="1"/>
  <c r="X14" i="55" s="1"/>
  <c r="T15" i="55"/>
  <c r="X15" i="55" s="1"/>
  <c r="T16" i="55" l="1"/>
  <c r="X16" i="55" s="1"/>
  <c r="T17" i="55" l="1"/>
  <c r="X17" i="55" s="1"/>
  <c r="T18" i="55" l="1"/>
  <c r="X18" i="55" s="1"/>
  <c r="T19" i="55" l="1"/>
  <c r="X19" i="55" s="1"/>
  <c r="T20" i="55" l="1"/>
  <c r="X20" i="55" s="1"/>
  <c r="T11" i="55" l="1"/>
  <c r="X11" i="55" s="1"/>
  <c r="T13" i="55" l="1"/>
  <c r="X13" i="55" s="1"/>
  <c r="T12" i="55" l="1"/>
  <c r="X12" i="55" s="1"/>
  <c r="C6" i="55" l="1"/>
  <c r="O19" i="55"/>
  <c r="P11" i="55"/>
  <c r="Q11" i="55" s="1"/>
  <c r="Y19" i="55" l="1"/>
  <c r="Z19" i="55"/>
  <c r="P19" i="55"/>
  <c r="Q19" i="55" s="1"/>
  <c r="E6" i="55"/>
  <c r="D6" i="55"/>
  <c r="O14" i="55"/>
  <c r="O17" i="55"/>
  <c r="O20" i="55"/>
  <c r="O13" i="55"/>
  <c r="O16" i="55"/>
  <c r="O12" i="55"/>
  <c r="O18" i="55"/>
  <c r="O15" i="55"/>
  <c r="Y18" i="55" l="1"/>
  <c r="Z18" i="55"/>
  <c r="Y20" i="55"/>
  <c r="Z20" i="55"/>
  <c r="Y12" i="55"/>
  <c r="Z12" i="55"/>
  <c r="Y14" i="55"/>
  <c r="Z14" i="55"/>
  <c r="Y17" i="55"/>
  <c r="Z17" i="55"/>
  <c r="Y16" i="55"/>
  <c r="Z16" i="55"/>
  <c r="Y15" i="55"/>
  <c r="Z15" i="55"/>
  <c r="Y13" i="55"/>
  <c r="Z13" i="55"/>
  <c r="P15" i="55"/>
  <c r="Q15" i="55" s="1"/>
  <c r="P18" i="55"/>
  <c r="Q18" i="55" s="1"/>
  <c r="P13" i="55"/>
  <c r="Q13" i="55" s="1"/>
  <c r="P20" i="55"/>
  <c r="Q20" i="55" s="1"/>
  <c r="P12" i="55"/>
  <c r="Q12" i="55" s="1"/>
  <c r="P17" i="55"/>
  <c r="Q17" i="55" s="1"/>
  <c r="P16" i="55"/>
  <c r="Q16" i="55" s="1"/>
  <c r="P14" i="55"/>
  <c r="Q14" i="55" s="1"/>
  <c r="AA12" i="55" l="1"/>
  <c r="AA13" i="55" l="1"/>
  <c r="AA14" i="55" l="1"/>
  <c r="AA15" i="55" l="1"/>
  <c r="AA16" i="55" l="1"/>
  <c r="AA17" i="55" l="1"/>
  <c r="AA18" i="55" l="1"/>
  <c r="AA19" i="55" l="1"/>
  <c r="AA20" i="55" l="1"/>
  <c r="F6" i="55" l="1"/>
  <c r="G6" i="55" l="1"/>
  <c r="N10" i="55" l="1"/>
  <c r="O10" i="55" s="1"/>
  <c r="Y10" i="55" l="1"/>
  <c r="Z10" i="55"/>
  <c r="P10" i="55"/>
  <c r="Q10" i="55" s="1"/>
  <c r="AA10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Kaczmarek</author>
  </authors>
  <commentList>
    <comment ref="N3" authorId="0" shapeId="0" xr:uid="{080D6F04-6D9F-4C48-B6B0-0496C173A970}">
      <text>
        <r>
          <rPr>
            <sz val="9"/>
            <color indexed="81"/>
            <rFont val="Tahoma"/>
            <family val="2"/>
          </rPr>
          <t xml:space="preserve">
This is the number of days the user chooses for the pipeline. This will facto into how many items are needed to purchase.</t>
        </r>
      </text>
    </comment>
    <comment ref="F7" authorId="0" shapeId="0" xr:uid="{A67B7C98-92C0-4668-8571-262C24ACFD51}">
      <text>
        <r>
          <rPr>
            <sz val="9"/>
            <color indexed="81"/>
            <rFont val="Tahoma"/>
            <family val="2"/>
          </rPr>
          <t xml:space="preserve">
In a "real" version of this tool, clicking this button will refresh all of the data tables, giving the user real-time data to work with. This version is not connected to any data tables, so the button will not do anything.</t>
        </r>
      </text>
    </comment>
    <comment ref="K11" authorId="0" shapeId="0" xr:uid="{6DDA00CF-B5EA-41BD-89CD-3E3A16CBC642}">
      <text>
        <r>
          <rPr>
            <sz val="9"/>
            <color indexed="81"/>
            <rFont val="Tahoma"/>
            <family val="2"/>
          </rPr>
          <t xml:space="preserve">
These options allow the user to change the forecast parameters. 
1 = 60 days of history + 30 days of history + 14 days of history / divided by 3.
2 = 30 days of history + 14 days of history / divided by 2
3 = 60 days of history + 14 days of history / divided by 2
4 = the highest forecast of all options
5 = the lowest forecast of all options
6 = the average forecast for all option</t>
        </r>
      </text>
    </comment>
    <comment ref="H13" authorId="0" shapeId="0" xr:uid="{647DD3DC-896F-4C61-956B-837ED888C074}">
      <text>
        <r>
          <rPr>
            <sz val="9"/>
            <color indexed="81"/>
            <rFont val="Tahoma"/>
            <family val="2"/>
          </rPr>
          <t xml:space="preserve">
This determines how many days from today's date to consider open sales orders for allocations. This give the user control over how far to consider into the future when purchasing / planning production.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Kaczmarek</author>
  </authors>
  <commentList>
    <comment ref="C4" authorId="0" shapeId="0" xr:uid="{35F36E2A-28C8-4586-9675-E1C42020BAE7}">
      <text>
        <r>
          <rPr>
            <sz val="9"/>
            <color indexed="81"/>
            <rFont val="Tahoma"/>
            <family val="2"/>
          </rPr>
          <t xml:space="preserve">
This is a "high-level" view of the total value of the current inventory</t>
        </r>
      </text>
    </comment>
    <comment ref="L9" authorId="0" shapeId="0" xr:uid="{E8E879A7-7744-4203-BD2F-EC4E2900D3F5}">
      <text>
        <r>
          <rPr>
            <sz val="9"/>
            <color indexed="81"/>
            <rFont val="Tahoma"/>
            <family val="2"/>
          </rPr>
          <t xml:space="preserve">
Notice how the cells in these columns turn colors based on severity of the supply issue.
Green = good
Yellow = warning
Orange = look out
Red = critical care needed
Blue = ordering too much, caution</t>
        </r>
      </text>
    </comment>
    <comment ref="Q9" authorId="0" shapeId="0" xr:uid="{6631D601-9990-47C8-B0E7-AA2DF203B0D7}">
      <text>
        <r>
          <rPr>
            <sz val="9"/>
            <color indexed="81"/>
            <rFont val="Tahoma"/>
            <family val="2"/>
          </rPr>
          <t xml:space="preserve">
This column display the quantity needed based on all of the inputs.</t>
        </r>
      </text>
    </comment>
    <comment ref="R9" authorId="0" shapeId="0" xr:uid="{859C9CA8-191C-4C42-B527-9F89A39BBB03}">
      <text>
        <r>
          <rPr>
            <sz val="9"/>
            <color indexed="81"/>
            <rFont val="Tahoma"/>
            <family val="2"/>
          </rPr>
          <t xml:space="preserve">
This column is for the user to control. See what happens when you add numbers based on the "Bottles Required" column. This can also be automated in custom tools.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05B08A-AB7F-449C-B741-B81A3F54042E}" name="Query from Mac10" type="1" refreshedVersion="8" deleted="1" background="1" saveData="1">
    <dbPr connection="" command=""/>
  </connection>
  <connection id="2" xr16:uid="{6B2BA465-F1BF-40DF-BF1E-E6C338594A39}" name="Query from Mac101" type="1" refreshedVersion="8" deleted="1" background="1" saveData="1">
    <dbPr connection="" command=""/>
  </connection>
  <connection id="3" xr16:uid="{7C191DAA-8232-4E03-B936-4055723B61D7}" name="Query from Mac102" type="1" refreshedVersion="8" deleted="1" background="1" saveData="1">
    <dbPr connection="" command=""/>
  </connection>
  <connection id="4" xr16:uid="{D27AF065-E227-496E-9102-011278B13251}" name="Query from Mac103" type="1" refreshedVersion="8" deleted="1" background="1" saveData="1">
    <dbPr connection="" command=""/>
  </connection>
  <connection id="5" xr16:uid="{A507ECCC-9B58-4A2E-A13A-FD75D4E69A7E}" name="Query from Mac104" type="1" refreshedVersion="8" deleted="1" background="1" saveData="1">
    <dbPr connection="" command=""/>
    <parameters count="1">
      <parameter name="end date" sqlType="11" parameterType="cell" cell="'Dashboard Control'!$F$14"/>
    </parameters>
  </connection>
  <connection id="6" xr16:uid="{63691CBB-D241-40A9-A390-4609AE374735}" name="Query from Mac105" type="1" refreshedVersion="6" deleted="1" background="1" saveData="1">
    <dbPr connection="" command=""/>
  </connection>
</connections>
</file>

<file path=xl/sharedStrings.xml><?xml version="1.0" encoding="utf-8"?>
<sst xmlns="http://schemas.openxmlformats.org/spreadsheetml/2006/main" count="685" uniqueCount="312">
  <si>
    <t>item_no</t>
  </si>
  <si>
    <t>seq_no</t>
  </si>
  <si>
    <t>comp_item_no</t>
  </si>
  <si>
    <t>alt_item_no</t>
  </si>
  <si>
    <t>qty_per_par</t>
  </si>
  <si>
    <t>attaching_oper_no</t>
  </si>
  <si>
    <t>scrap_factor</t>
  </si>
  <si>
    <t>activity_fg</t>
  </si>
  <si>
    <t>user_def_fld</t>
  </si>
  <si>
    <t>effectivity_dt</t>
  </si>
  <si>
    <t>obsolete_dt</t>
  </si>
  <si>
    <t>mfg_uom</t>
  </si>
  <si>
    <t>loc</t>
  </si>
  <si>
    <t>backflush_fg</t>
  </si>
  <si>
    <t>bulk_issue_fg</t>
  </si>
  <si>
    <t>scrap_qty</t>
  </si>
  <si>
    <t/>
  </si>
  <si>
    <t>A</t>
  </si>
  <si>
    <t>N</t>
  </si>
  <si>
    <t>On Order</t>
  </si>
  <si>
    <t>Components Needed</t>
  </si>
  <si>
    <t>Type</t>
  </si>
  <si>
    <t>Promise Date</t>
  </si>
  <si>
    <t>Components On/Off</t>
  </si>
  <si>
    <t>FG Availability</t>
  </si>
  <si>
    <t>Build Needs</t>
  </si>
  <si>
    <t>status</t>
  </si>
  <si>
    <t>prev_status</t>
  </si>
  <si>
    <t>mult_bin_fg</t>
  </si>
  <si>
    <t>qty_on_hand</t>
  </si>
  <si>
    <t>qty_allocated</t>
  </si>
  <si>
    <t>qty_bkord</t>
  </si>
  <si>
    <t>qty_on_ord</t>
  </si>
  <si>
    <t>reorder_lvl</t>
  </si>
  <si>
    <t>ord_up_to_lvl</t>
  </si>
  <si>
    <t>price</t>
  </si>
  <si>
    <t>std_cost</t>
  </si>
  <si>
    <t>discs_apply_fg</t>
  </si>
  <si>
    <t>starting_sls_dt</t>
  </si>
  <si>
    <t>ending_sls_dt</t>
  </si>
  <si>
    <t>sls_price</t>
  </si>
  <si>
    <t>qty_last_sold</t>
  </si>
  <si>
    <t>cycle_count_cd</t>
  </si>
  <si>
    <t>last_count_dt</t>
  </si>
  <si>
    <t>tms_cntd_ytd</t>
  </si>
  <si>
    <t>pct_err_last_cnt</t>
  </si>
  <si>
    <t>frz_cost</t>
  </si>
  <si>
    <t>frz_qty</t>
  </si>
  <si>
    <t>frz_dt</t>
  </si>
  <si>
    <t>frz_tm</t>
  </si>
  <si>
    <t>usage_ptd</t>
  </si>
  <si>
    <t>qty_sld_ptd</t>
  </si>
  <si>
    <t>qty_scrp_ptd</t>
  </si>
  <si>
    <t>sls_ptd</t>
  </si>
  <si>
    <t>cost_ptd</t>
  </si>
  <si>
    <t>usage_ytd</t>
  </si>
  <si>
    <t>qty_sold_ytd</t>
  </si>
  <si>
    <t>qty_scrp_ytd</t>
  </si>
  <si>
    <t>qty_returned_ytd</t>
  </si>
  <si>
    <t>sls_ytd</t>
  </si>
  <si>
    <t>cost_ytd</t>
  </si>
  <si>
    <t>prior_year_usage</t>
  </si>
  <si>
    <t>qty_sold_last_yr</t>
  </si>
  <si>
    <t>qty_scrp_last_yr</t>
  </si>
  <si>
    <t>prior_year_sls</t>
  </si>
  <si>
    <t>cost_last_yr</t>
  </si>
  <si>
    <t>recom_min_ord</t>
  </si>
  <si>
    <t>economic_ord_qty</t>
  </si>
  <si>
    <t>avg_usage</t>
  </si>
  <si>
    <t>po_lead_tm</t>
  </si>
  <si>
    <t>byr_plnr</t>
  </si>
  <si>
    <t>doc_to_stk_ld_tm</t>
  </si>
  <si>
    <t>rollup_prc</t>
  </si>
  <si>
    <t>target_margin</t>
  </si>
  <si>
    <t>inv_class</t>
  </si>
  <si>
    <t>po_min</t>
  </si>
  <si>
    <t>po_max</t>
  </si>
  <si>
    <t>safety_stk</t>
  </si>
  <si>
    <t>avg_frcst_error</t>
  </si>
  <si>
    <t>sum_of_errors</t>
  </si>
  <si>
    <t>usg_wght_fctr</t>
  </si>
  <si>
    <t>safety_fctr</t>
  </si>
  <si>
    <t>usage_filter</t>
  </si>
  <si>
    <t>po_mult</t>
  </si>
  <si>
    <t>active_ords</t>
  </si>
  <si>
    <t>vend_no</t>
  </si>
  <si>
    <t>tax_sched</t>
  </si>
  <si>
    <t>prod_cat</t>
  </si>
  <si>
    <t>picking_seq</t>
  </si>
  <si>
    <t>cube_width_uom</t>
  </si>
  <si>
    <t>cube_length_uom</t>
  </si>
  <si>
    <t>cube_height_uom</t>
  </si>
  <si>
    <t>cube_width</t>
  </si>
  <si>
    <t>cube_length</t>
  </si>
  <si>
    <t>cube_height</t>
  </si>
  <si>
    <t>cube_qty_per</t>
  </si>
  <si>
    <t>user_def_fld_1</t>
  </si>
  <si>
    <t>user_def_fld_2</t>
  </si>
  <si>
    <t>user_def_fld_3</t>
  </si>
  <si>
    <t>user_def_fld_4</t>
  </si>
  <si>
    <t>user_def_fld_5</t>
  </si>
  <si>
    <t>landed_cost_cd</t>
  </si>
  <si>
    <t>landed_cost_cd_2</t>
  </si>
  <si>
    <t>landed_cost_cd_3</t>
  </si>
  <si>
    <t>landed_cost_cd_4</t>
  </si>
  <si>
    <t>landed_cost_cd_5</t>
  </si>
  <si>
    <t>landed_cost_cd_6</t>
  </si>
  <si>
    <t>landed_cost_cd_7</t>
  </si>
  <si>
    <t>landed_cost_cd_8</t>
  </si>
  <si>
    <t>landed_cost_cd_9</t>
  </si>
  <si>
    <t>landed_cost_cd_10</t>
  </si>
  <si>
    <t>loc_qty_fld</t>
  </si>
  <si>
    <t>tag_qty</t>
  </si>
  <si>
    <t>tag_cost</t>
  </si>
  <si>
    <t>tag_frz_dt</t>
  </si>
  <si>
    <t>filler_0002</t>
  </si>
  <si>
    <t>FAM</t>
  </si>
  <si>
    <t>FM1</t>
  </si>
  <si>
    <t>B</t>
  </si>
  <si>
    <t>P</t>
  </si>
  <si>
    <t>ord_no</t>
  </si>
  <si>
    <t>line_no</t>
  </si>
  <si>
    <t>job_no</t>
  </si>
  <si>
    <t>item_desc_1</t>
  </si>
  <si>
    <t>item_desc_2</t>
  </si>
  <si>
    <t>vend_item_no</t>
  </si>
  <si>
    <t>ord_status</t>
  </si>
  <si>
    <t>chg_cancel_cd</t>
  </si>
  <si>
    <t>vend_late_cncl_fg</t>
  </si>
  <si>
    <t>stk_loc</t>
  </si>
  <si>
    <t>qty_ordered</t>
  </si>
  <si>
    <t>qty_remaining</t>
  </si>
  <si>
    <t>qty_rejected</t>
  </si>
  <si>
    <t>qty_cancelled</t>
  </si>
  <si>
    <t>qty_inv</t>
  </si>
  <si>
    <t>qty_rec_insp</t>
  </si>
  <si>
    <t>qty_mat_rev</t>
  </si>
  <si>
    <t>dollars_inv</t>
  </si>
  <si>
    <t>landed_cost_fg</t>
  </si>
  <si>
    <t>req_date_chg_fg</t>
  </si>
  <si>
    <t>request_dt</t>
  </si>
  <si>
    <t>promise_dt</t>
  </si>
  <si>
    <t>receipt_dt</t>
  </si>
  <si>
    <t>mrp_byr_plnr</t>
  </si>
  <si>
    <t>rej_reason_cd</t>
  </si>
  <si>
    <t>weight</t>
  </si>
  <si>
    <t>cmt_cd_1</t>
  </si>
  <si>
    <t>cmt_1</t>
  </si>
  <si>
    <t>cmt_cd_2</t>
  </si>
  <si>
    <t>cmt_2</t>
  </si>
  <si>
    <t>mfg_cd_1</t>
  </si>
  <si>
    <t>mfg_name_1</t>
  </si>
  <si>
    <t>mfg_1_item_no</t>
  </si>
  <si>
    <t>mfg_cd_2</t>
  </si>
  <si>
    <t>mfg_name_2</t>
  </si>
  <si>
    <t>mfg_2_item_no</t>
  </si>
  <si>
    <t>mfg_cd_3</t>
  </si>
  <si>
    <t>mfg_name_3</t>
  </si>
  <si>
    <t>mfg_3_item_no</t>
  </si>
  <si>
    <t>path_no</t>
  </si>
  <si>
    <t>shop_dtl_seq_no</t>
  </si>
  <si>
    <t>shop_dtl_rec_type</t>
  </si>
  <si>
    <t>oe_ord_no</t>
  </si>
  <si>
    <t>var_qty_mn_no</t>
  </si>
  <si>
    <t>var_qty_sb_no</t>
  </si>
  <si>
    <t>var_qty_dp_no</t>
  </si>
  <si>
    <t>filler_0003</t>
  </si>
  <si>
    <t>Year</t>
  </si>
  <si>
    <t>Month</t>
  </si>
  <si>
    <t>Date</t>
  </si>
  <si>
    <t>Need-by Date</t>
  </si>
  <si>
    <t>Pyear</t>
  </si>
  <si>
    <t>Pmonth</t>
  </si>
  <si>
    <t>Pdate</t>
  </si>
  <si>
    <t>Location</t>
  </si>
  <si>
    <t xml:space="preserve"> </t>
  </si>
  <si>
    <t>ord_dt</t>
  </si>
  <si>
    <t>Days On Hand</t>
  </si>
  <si>
    <t>Run-out Date</t>
  </si>
  <si>
    <t>Order</t>
  </si>
  <si>
    <t>Description</t>
  </si>
  <si>
    <t>Order Date</t>
  </si>
  <si>
    <t>Components NeededSales</t>
  </si>
  <si>
    <t>space</t>
  </si>
  <si>
    <t>Qty On Order</t>
  </si>
  <si>
    <t>First 
Receipt 
Date</t>
  </si>
  <si>
    <t>Last 
Receipt 
Date</t>
  </si>
  <si>
    <t>Qty On Hand</t>
  </si>
  <si>
    <t>Sugg. Order Qty</t>
  </si>
  <si>
    <t>Open PO Cnt</t>
  </si>
  <si>
    <t>Daily Dmd</t>
  </si>
  <si>
    <t>Proj'd Prod</t>
  </si>
  <si>
    <t>On Prod Ord</t>
  </si>
  <si>
    <t>On Sales Ord</t>
  </si>
  <si>
    <t>Proj Days On Hnd</t>
  </si>
  <si>
    <t>Days of Demand Met by Sales or Production (Max)</t>
  </si>
  <si>
    <t>Proj End Qty</t>
  </si>
  <si>
    <t>vend_name</t>
  </si>
  <si>
    <t>Year2</t>
  </si>
  <si>
    <t>Month2</t>
  </si>
  <si>
    <t>Date2</t>
  </si>
  <si>
    <t>New Balance</t>
  </si>
  <si>
    <t>Days In Pipeline</t>
  </si>
  <si>
    <t>Days To Cover</t>
  </si>
  <si>
    <t>Standard</t>
  </si>
  <si>
    <t>Pipeline Days</t>
  </si>
  <si>
    <t>Daily $ Demand</t>
  </si>
  <si>
    <t>Current $</t>
  </si>
  <si>
    <t>F7A</t>
  </si>
  <si>
    <t>12-Day $$</t>
  </si>
  <si>
    <t>prices_apply_flag</t>
  </si>
  <si>
    <t>inv_class2</t>
  </si>
  <si>
    <t>extra_1</t>
  </si>
  <si>
    <t>Current Value</t>
  </si>
  <si>
    <t>9.00</t>
  </si>
  <si>
    <t>24.00</t>
  </si>
  <si>
    <t>23.00</t>
  </si>
  <si>
    <t>18.00</t>
  </si>
  <si>
    <t>19.00</t>
  </si>
  <si>
    <t>25.00</t>
  </si>
  <si>
    <t>23.50</t>
  </si>
  <si>
    <t>21.00</t>
  </si>
  <si>
    <t>16.00</t>
  </si>
  <si>
    <t>item_desc_12</t>
  </si>
  <si>
    <t>mfg_1_item_no3</t>
  </si>
  <si>
    <t>mfg_2_item_no4</t>
  </si>
  <si>
    <t>mfg_3_item_no5</t>
  </si>
  <si>
    <t>oe_order_line</t>
  </si>
  <si>
    <t>filler_00036</t>
  </si>
  <si>
    <t>ord_status7</t>
  </si>
  <si>
    <t>00</t>
  </si>
  <si>
    <t>Days of Demand met by Production</t>
  </si>
  <si>
    <t>1</t>
  </si>
  <si>
    <t>2</t>
  </si>
  <si>
    <t>3</t>
  </si>
  <si>
    <t>4</t>
  </si>
  <si>
    <t>5</t>
  </si>
  <si>
    <t>6</t>
  </si>
  <si>
    <t>7</t>
  </si>
  <si>
    <t xml:space="preserve">    48111</t>
  </si>
  <si>
    <t>01</t>
  </si>
  <si>
    <t>Avg_Qty_60</t>
  </si>
  <si>
    <t>Avg_Qty_30</t>
  </si>
  <si>
    <t>Avg_Qty_14</t>
  </si>
  <si>
    <t>Averagw</t>
  </si>
  <si>
    <t>qty_to_ship</t>
  </si>
  <si>
    <t>billed_dt</t>
  </si>
  <si>
    <t>Allocated on Sales</t>
  </si>
  <si>
    <t>Allocated on Production</t>
  </si>
  <si>
    <t>filler_0001</t>
  </si>
  <si>
    <t>extra_2</t>
  </si>
  <si>
    <t>extra_3</t>
  </si>
  <si>
    <t>extra_5</t>
  </si>
  <si>
    <t>extra_4</t>
  </si>
  <si>
    <t>ID</t>
  </si>
  <si>
    <t>Column5</t>
  </si>
  <si>
    <t>Column6</t>
  </si>
  <si>
    <t>30/14</t>
  </si>
  <si>
    <t>all</t>
  </si>
  <si>
    <t>60/14</t>
  </si>
  <si>
    <t>60/30</t>
  </si>
  <si>
    <t>Forecast Control</t>
  </si>
  <si>
    <t>60/30/14</t>
  </si>
  <si>
    <t>max of all</t>
  </si>
  <si>
    <t>min of all</t>
  </si>
  <si>
    <t>Average of all</t>
  </si>
  <si>
    <t xml:space="preserve">    </t>
  </si>
  <si>
    <t>12-Day Needs</t>
  </si>
  <si>
    <t>shipping_dt</t>
  </si>
  <si>
    <t>Today</t>
  </si>
  <si>
    <t>End Sales</t>
  </si>
  <si>
    <t>Through Date</t>
  </si>
  <si>
    <t>Max Date^^</t>
  </si>
  <si>
    <t>8</t>
  </si>
  <si>
    <t>BTL-750</t>
  </si>
  <si>
    <t>BTL-002</t>
  </si>
  <si>
    <t>BTL-022</t>
  </si>
  <si>
    <t>BTL-008</t>
  </si>
  <si>
    <t>BTL-011</t>
  </si>
  <si>
    <t>BTL-012</t>
  </si>
  <si>
    <t>BTL-016</t>
  </si>
  <si>
    <t>BTL-031</t>
  </si>
  <si>
    <t>BTL-032</t>
  </si>
  <si>
    <t>BTL-033</t>
  </si>
  <si>
    <t>BTL-1LT</t>
  </si>
  <si>
    <t>RD1</t>
  </si>
  <si>
    <t>Reedley</t>
  </si>
  <si>
    <t>002OZJCE</t>
  </si>
  <si>
    <t>022OZJCE</t>
  </si>
  <si>
    <t>008OZJCE</t>
  </si>
  <si>
    <t>011OZJCE</t>
  </si>
  <si>
    <t>012OZJCE</t>
  </si>
  <si>
    <t>016OZJCE</t>
  </si>
  <si>
    <t>031OZJCE</t>
  </si>
  <si>
    <t>032OZJCE</t>
  </si>
  <si>
    <t>033OZJCE</t>
  </si>
  <si>
    <t>750MLJCE</t>
  </si>
  <si>
    <t>001LTJCE</t>
  </si>
  <si>
    <t>2OZ BOTT</t>
  </si>
  <si>
    <t>33OZ BOTTLE</t>
  </si>
  <si>
    <t>8OZ BOTTLE</t>
  </si>
  <si>
    <t>11OZ BOTTLE</t>
  </si>
  <si>
    <t>12OZ BOTTLE</t>
  </si>
  <si>
    <t>16OZ BOTTLE</t>
  </si>
  <si>
    <t>BORDEAUX BOTTLE</t>
  </si>
  <si>
    <t>32OZ BOTTLE</t>
  </si>
  <si>
    <t>Bottles Required</t>
  </si>
  <si>
    <t>Proposed Order</t>
  </si>
  <si>
    <t>Bottles</t>
  </si>
  <si>
    <t>Pipeline Target Days</t>
  </si>
  <si>
    <t>Bottles R Us</t>
  </si>
  <si>
    <t>On/Off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</si>
</sst>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9" fillId="0" borderId="0"/>
    <xf numFmtId="0" fontId="10" fillId="0" borderId="0"/>
    <xf numFmtId="0" fontId="10" fillId="2" borderId="13" applyNumberFormat="0" applyProtection="0">
      <alignment horizontal="left" vertical="center" indent="1"/>
    </xf>
    <xf numFmtId="0" fontId="10" fillId="2" borderId="13" applyNumberFormat="0" applyProtection="0">
      <alignment horizontal="left" vertical="center" indent="1"/>
    </xf>
  </cellStyleXfs>
  <cellXfs count="9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41" fontId="0" fillId="0" borderId="2" xfId="0" applyNumberFormat="1" applyBorder="1"/>
    <xf numFmtId="14" fontId="0" fillId="0" borderId="3" xfId="0" applyNumberFormat="1" applyBorder="1"/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/>
    <xf numFmtId="41" fontId="0" fillId="0" borderId="5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/>
    <xf numFmtId="41" fontId="0" fillId="0" borderId="8" xfId="0" applyNumberFormat="1" applyBorder="1"/>
    <xf numFmtId="14" fontId="0" fillId="0" borderId="9" xfId="0" applyNumberFormat="1" applyBorder="1"/>
    <xf numFmtId="164" fontId="0" fillId="0" borderId="4" xfId="0" applyNumberFormat="1" applyBorder="1"/>
    <xf numFmtId="14" fontId="0" fillId="0" borderId="10" xfId="0" applyNumberFormat="1" applyBorder="1"/>
    <xf numFmtId="41" fontId="0" fillId="0" borderId="10" xfId="0" applyNumberFormat="1" applyBorder="1"/>
    <xf numFmtId="164" fontId="0" fillId="0" borderId="11" xfId="0" applyNumberFormat="1" applyBorder="1"/>
    <xf numFmtId="164" fontId="0" fillId="0" borderId="10" xfId="0" applyNumberFormat="1" applyBorder="1"/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" fillId="3" borderId="20" xfId="0" applyFont="1" applyFill="1" applyBorder="1" applyProtection="1">
      <protection hidden="1"/>
    </xf>
    <xf numFmtId="0" fontId="4" fillId="3" borderId="21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4" fillId="3" borderId="0" xfId="0" applyFont="1" applyFill="1" applyProtection="1">
      <protection hidden="1"/>
    </xf>
    <xf numFmtId="0" fontId="4" fillId="3" borderId="23" xfId="0" applyFont="1" applyFill="1" applyBorder="1" applyProtection="1">
      <protection hidden="1"/>
    </xf>
    <xf numFmtId="0" fontId="4" fillId="3" borderId="25" xfId="0" applyFont="1" applyFill="1" applyBorder="1" applyProtection="1">
      <protection hidden="1"/>
    </xf>
    <xf numFmtId="0" fontId="4" fillId="3" borderId="26" xfId="0" applyFont="1" applyFill="1" applyBorder="1" applyProtection="1">
      <protection hidden="1"/>
    </xf>
    <xf numFmtId="14" fontId="4" fillId="0" borderId="0" xfId="0" applyNumberFormat="1" applyFont="1" applyProtection="1">
      <protection hidden="1"/>
    </xf>
    <xf numFmtId="0" fontId="16" fillId="3" borderId="0" xfId="0" applyFont="1" applyFill="1" applyProtection="1">
      <protection hidden="1"/>
    </xf>
    <xf numFmtId="0" fontId="16" fillId="3" borderId="19" xfId="0" applyFont="1" applyFill="1" applyBorder="1" applyProtection="1">
      <protection hidden="1"/>
    </xf>
    <xf numFmtId="0" fontId="16" fillId="3" borderId="22" xfId="0" applyFont="1" applyFill="1" applyBorder="1" applyProtection="1">
      <protection hidden="1"/>
    </xf>
    <xf numFmtId="0" fontId="16" fillId="3" borderId="24" xfId="0" applyFont="1" applyFill="1" applyBorder="1" applyProtection="1">
      <protection hidden="1"/>
    </xf>
    <xf numFmtId="0" fontId="14" fillId="0" borderId="0" xfId="0" applyFont="1" applyAlignment="1" applyProtection="1">
      <alignment vertical="top"/>
      <protection hidden="1"/>
    </xf>
    <xf numFmtId="0" fontId="6" fillId="0" borderId="0" xfId="0" applyFont="1" applyProtection="1">
      <protection hidden="1"/>
    </xf>
    <xf numFmtId="14" fontId="14" fillId="0" borderId="0" xfId="0" applyNumberFormat="1" applyFont="1" applyProtection="1">
      <protection hidden="1"/>
    </xf>
    <xf numFmtId="0" fontId="7" fillId="5" borderId="18" xfId="0" applyFont="1" applyFill="1" applyBorder="1" applyAlignment="1" applyProtection="1">
      <alignment horizontal="center" wrapText="1"/>
      <protection hidden="1"/>
    </xf>
    <xf numFmtId="0" fontId="1" fillId="5" borderId="18" xfId="0" applyFont="1" applyFill="1" applyBorder="1" applyAlignment="1" applyProtection="1">
      <alignment horizontal="center" wrapText="1"/>
      <protection hidden="1"/>
    </xf>
    <xf numFmtId="42" fontId="1" fillId="0" borderId="18" xfId="0" applyNumberFormat="1" applyFont="1" applyBorder="1" applyProtection="1">
      <protection hidden="1"/>
    </xf>
    <xf numFmtId="43" fontId="1" fillId="0" borderId="18" xfId="0" applyNumberFormat="1" applyFont="1" applyBorder="1" applyProtection="1">
      <protection hidden="1"/>
    </xf>
    <xf numFmtId="164" fontId="1" fillId="0" borderId="18" xfId="0" applyNumberFormat="1" applyFont="1" applyBorder="1" applyProtection="1">
      <protection hidden="1"/>
    </xf>
    <xf numFmtId="18" fontId="6" fillId="0" borderId="0" xfId="0" applyNumberFormat="1" applyFont="1" applyProtection="1">
      <protection hidden="1"/>
    </xf>
    <xf numFmtId="18" fontId="0" fillId="0" borderId="0" xfId="0" applyNumberFormat="1" applyProtection="1">
      <protection hidden="1"/>
    </xf>
    <xf numFmtId="41" fontId="3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41" fontId="6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43" fontId="1" fillId="0" borderId="0" xfId="0" applyNumberFormat="1" applyFont="1" applyAlignment="1" applyProtection="1">
      <alignment horizontal="center"/>
      <protection hidden="1"/>
    </xf>
    <xf numFmtId="43" fontId="7" fillId="0" borderId="0" xfId="0" applyNumberFormat="1" applyFont="1" applyAlignment="1" applyProtection="1">
      <alignment horizontal="center"/>
      <protection hidden="1"/>
    </xf>
    <xf numFmtId="42" fontId="6" fillId="0" borderId="0" xfId="0" applyNumberFormat="1" applyFont="1" applyProtection="1"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164" fontId="6" fillId="0" borderId="16" xfId="0" applyNumberFormat="1" applyFont="1" applyBorder="1" applyAlignment="1" applyProtection="1">
      <alignment horizontal="center"/>
      <protection hidden="1"/>
    </xf>
    <xf numFmtId="164" fontId="6" fillId="0" borderId="16" xfId="0" applyNumberFormat="1" applyFont="1" applyBorder="1" applyProtection="1">
      <protection hidden="1"/>
    </xf>
    <xf numFmtId="164" fontId="6" fillId="0" borderId="12" xfId="0" applyNumberFormat="1" applyFont="1" applyBorder="1" applyProtection="1">
      <protection hidden="1"/>
    </xf>
    <xf numFmtId="164" fontId="6" fillId="0" borderId="15" xfId="0" applyNumberFormat="1" applyFont="1" applyBorder="1" applyProtection="1">
      <protection hidden="1"/>
    </xf>
    <xf numFmtId="41" fontId="6" fillId="0" borderId="15" xfId="0" applyNumberFormat="1" applyFont="1" applyBorder="1" applyProtection="1">
      <protection hidden="1"/>
    </xf>
    <xf numFmtId="41" fontId="6" fillId="0" borderId="12" xfId="0" applyNumberFormat="1" applyFont="1" applyBorder="1" applyProtection="1">
      <protection hidden="1"/>
    </xf>
    <xf numFmtId="41" fontId="6" fillId="0" borderId="2" xfId="0" applyNumberFormat="1" applyFont="1" applyBorder="1" applyProtection="1">
      <protection hidden="1"/>
    </xf>
    <xf numFmtId="41" fontId="6" fillId="0" borderId="17" xfId="0" applyNumberFormat="1" applyFont="1" applyBorder="1" applyProtection="1">
      <protection hidden="1"/>
    </xf>
    <xf numFmtId="44" fontId="6" fillId="0" borderId="2" xfId="0" applyNumberFormat="1" applyFont="1" applyBorder="1" applyProtection="1">
      <protection hidden="1"/>
    </xf>
    <xf numFmtId="41" fontId="14" fillId="0" borderId="0" xfId="0" applyNumberFormat="1" applyFont="1" applyProtection="1">
      <protection hidden="1"/>
    </xf>
    <xf numFmtId="42" fontId="14" fillId="0" borderId="0" xfId="0" applyNumberFormat="1" applyFont="1" applyProtection="1">
      <protection hidden="1"/>
    </xf>
    <xf numFmtId="164" fontId="14" fillId="0" borderId="0" xfId="0" applyNumberFormat="1" applyFont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164" fontId="6" fillId="0" borderId="5" xfId="0" applyNumberFormat="1" applyFont="1" applyBorder="1" applyAlignment="1" applyProtection="1">
      <alignment horizontal="center"/>
      <protection hidden="1"/>
    </xf>
    <xf numFmtId="164" fontId="6" fillId="0" borderId="5" xfId="0" applyNumberFormat="1" applyFont="1" applyBorder="1" applyProtection="1">
      <protection hidden="1"/>
    </xf>
    <xf numFmtId="41" fontId="6" fillId="0" borderId="5" xfId="0" applyNumberFormat="1" applyFont="1" applyBorder="1" applyProtection="1">
      <protection hidden="1"/>
    </xf>
    <xf numFmtId="41" fontId="6" fillId="0" borderId="4" xfId="0" applyNumberFormat="1" applyFont="1" applyBorder="1" applyProtection="1">
      <protection hidden="1"/>
    </xf>
    <xf numFmtId="41" fontId="6" fillId="0" borderId="14" xfId="0" applyNumberFormat="1" applyFont="1" applyBorder="1" applyProtection="1">
      <protection hidden="1"/>
    </xf>
    <xf numFmtId="41" fontId="6" fillId="0" borderId="6" xfId="0" applyNumberFormat="1" applyFont="1" applyBorder="1" applyProtection="1">
      <protection hidden="1"/>
    </xf>
    <xf numFmtId="44" fontId="6" fillId="0" borderId="14" xfId="0" applyNumberFormat="1" applyFont="1" applyBorder="1" applyProtection="1">
      <protection hidden="1"/>
    </xf>
    <xf numFmtId="0" fontId="17" fillId="0" borderId="0" xfId="0" applyFont="1" applyProtection="1">
      <protection hidden="1"/>
    </xf>
    <xf numFmtId="14" fontId="6" fillId="0" borderId="0" xfId="0" applyNumberFormat="1" applyFont="1" applyProtection="1">
      <protection hidden="1"/>
    </xf>
    <xf numFmtId="0" fontId="8" fillId="4" borderId="2" xfId="0" applyFont="1" applyFill="1" applyBorder="1" applyAlignment="1" applyProtection="1">
      <alignment horizontal="right" vertical="center"/>
      <protection locked="0"/>
    </xf>
    <xf numFmtId="0" fontId="8" fillId="4" borderId="14" xfId="0" applyFont="1" applyFill="1" applyBorder="1" applyAlignment="1" applyProtection="1">
      <alignment horizontal="right" vertical="center"/>
      <protection locked="0"/>
    </xf>
    <xf numFmtId="0" fontId="6" fillId="4" borderId="14" xfId="0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41" fontId="4" fillId="4" borderId="18" xfId="0" applyNumberFormat="1" applyFont="1" applyFill="1" applyBorder="1" applyProtection="1">
      <protection locked="0"/>
    </xf>
    <xf numFmtId="0" fontId="15" fillId="0" borderId="18" xfId="0" applyFont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22" fontId="0" fillId="0" borderId="0" xfId="0" applyNumberFormat="1" applyProtection="1">
      <protection hidden="1"/>
    </xf>
    <xf numFmtId="14" fontId="19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6" fillId="0" borderId="25" xfId="0" applyFont="1" applyBorder="1" applyAlignment="1" applyProtection="1">
      <alignment horizontal="center"/>
      <protection hidden="1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SAPBEXchaText" xfId="3" xr:uid="{00000000-0005-0000-0000-000003000000}"/>
    <cellStyle name="SAPBEXstdItem" xfId="4" xr:uid="{00000000-0005-0000-0000-000004000000}"/>
  </cellStyles>
  <dxfs count="281"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19" formatCode="m/d/yyyy"/>
      <protection locked="1" hidden="1"/>
    </dxf>
    <dxf>
      <protection locked="1" hidden="1"/>
    </dxf>
    <dxf>
      <protection locked="1" hidden="1"/>
    </dxf>
    <dxf>
      <numFmt numFmtId="19" formatCode="m/d/yyyy"/>
      <protection locked="1" hidden="1"/>
    </dxf>
    <dxf>
      <numFmt numFmtId="19" formatCode="m/d/yyyy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19" formatCode="m/d/yyyy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protection locked="1" hidden="1"/>
    </dxf>
    <dxf>
      <numFmt numFmtId="27" formatCode="m/d/yyyy\ h:mm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27" formatCode="m/d/yyyy\ h:mm"/>
      <protection locked="1" hidden="1"/>
    </dxf>
    <dxf>
      <numFmt numFmtId="27" formatCode="m/d/yyyy\ h:mm"/>
      <protection locked="1" hidden="1"/>
    </dxf>
    <dxf>
      <numFmt numFmtId="27" formatCode="m/d/yyyy\ h:mm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numFmt numFmtId="27" formatCode="m/d/yyyy\ h:mm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27" formatCode="m/d/yyyy\ h:mm"/>
      <protection locked="1" hidden="1"/>
    </dxf>
    <dxf>
      <numFmt numFmtId="27" formatCode="m/d/yyyy\ h:mm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27" formatCode="m/d/yyyy\ h:mm"/>
      <protection locked="1" hidden="1"/>
    </dxf>
    <dxf>
      <protection locked="1" hidden="1"/>
    </dxf>
    <dxf>
      <protection locked="1" hidden="1"/>
    </dxf>
    <dxf>
      <protection locked="1" hidden="1"/>
    </dxf>
    <dxf>
      <numFmt numFmtId="27" formatCode="m/d/yyyy\ h:mm"/>
      <protection locked="1" hidden="1"/>
    </dxf>
    <dxf>
      <numFmt numFmtId="27" formatCode="m/d/yyyy\ h:mm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numFmt numFmtId="27" formatCode="m/d/yyyy\ h:mm"/>
      <protection locked="1" hidden="1"/>
    </dxf>
    <dxf>
      <numFmt numFmtId="27" formatCode="m/d/yyyy\ h:mm"/>
      <protection locked="1" hidden="1"/>
    </dxf>
    <dxf>
      <numFmt numFmtId="27" formatCode="m/d/yyyy\ h:mm"/>
      <protection locked="1" hidden="1"/>
    </dxf>
    <dxf>
      <numFmt numFmtId="27" formatCode="m/d/yyyy\ h:mm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27" formatCode="m/d/yyyy\ h:mm"/>
      <protection locked="1" hidden="1"/>
    </dxf>
    <dxf>
      <numFmt numFmtId="27" formatCode="m/d/yyyy\ h:mm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2</xdr:row>
      <xdr:rowOff>190500</xdr:rowOff>
    </xdr:from>
    <xdr:to>
      <xdr:col>8</xdr:col>
      <xdr:colOff>76201</xdr:colOff>
      <xdr:row>10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47926" y="790575"/>
          <a:ext cx="2381250" cy="1438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4</xdr:row>
          <xdr:rowOff>28575</xdr:rowOff>
        </xdr:from>
        <xdr:to>
          <xdr:col>7</xdr:col>
          <xdr:colOff>457200</xdr:colOff>
          <xdr:row>8</xdr:row>
          <xdr:rowOff>171450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Refresh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ac10" connectionId="6" xr16:uid="{CBA7B1D2-ACA2-4697-854C-A2E4FC38D0CF}" autoFormatId="16" applyNumberFormats="0" applyBorderFormats="0" applyFontFormats="0" applyPatternFormats="0" applyAlignmentFormats="0" applyWidthHeightFormats="0">
  <queryTableRefresh nextId="32" unboundColumnsRight="7">
    <queryTableFields count="31">
      <queryTableField id="1" name="item_no" tableColumnId="1"/>
      <queryTableField id="2" name="filler_0001" tableColumnId="2"/>
      <queryTableField id="3" name="seq_no" tableColumnId="3"/>
      <queryTableField id="4" name="comp_item_no" tableColumnId="4"/>
      <queryTableField id="5" name="filler_0002" tableColumnId="5"/>
      <queryTableField id="6" name="alt_item_no" tableColumnId="6"/>
      <queryTableField id="7" name="qty_per_par" tableColumnId="7"/>
      <queryTableField id="8" name="attaching_oper_no" tableColumnId="8"/>
      <queryTableField id="9" name="scrap_factor" tableColumnId="9"/>
      <queryTableField id="10" name="activity_fg" tableColumnId="10"/>
      <queryTableField id="11" name="user_def_fld" tableColumnId="11"/>
      <queryTableField id="12" name="effectivity_dt" tableColumnId="12"/>
      <queryTableField id="13" name="obsolete_dt" tableColumnId="13"/>
      <queryTableField id="14" name="extra_1" tableColumnId="14"/>
      <queryTableField id="15" name="extra_2" tableColumnId="15"/>
      <queryTableField id="16" name="extra_3" tableColumnId="16"/>
      <queryTableField id="17" name="mfg_uom" tableColumnId="17"/>
      <queryTableField id="18" name="extra_5" tableColumnId="18"/>
      <queryTableField id="19" name="loc" tableColumnId="19"/>
      <queryTableField id="20" name="backflush_fg" tableColumnId="20"/>
      <queryTableField id="21" name="bulk_issue_fg" tableColumnId="21"/>
      <queryTableField id="22" name="scrap_qty" tableColumnId="22"/>
      <queryTableField id="23" name="extra_4" tableColumnId="23"/>
      <queryTableField id="24" name="ID" tableColumnId="24"/>
      <queryTableField id="25" dataBound="0" tableColumnId="25"/>
      <queryTableField id="26" dataBound="0" tableColumnId="26"/>
      <queryTableField id="27" dataBound="0" tableColumnId="27"/>
      <queryTableField id="28" dataBound="0" tableColumnId="28"/>
      <queryTableField id="29" dataBound="0" tableColumnId="29"/>
      <queryTableField id="30" dataBound="0" tableColumnId="30"/>
      <queryTableField id="31" dataBound="0" tableColumnId="3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ac10" connectionId="5" xr16:uid="{1DDB1DC7-227C-4F90-890B-75FE94AD3DF7}" autoFormatId="16" applyNumberFormats="0" applyBorderFormats="0" applyFontFormats="0" applyPatternFormats="0" applyAlignmentFormats="0" applyWidthHeightFormats="0">
  <queryTableRefresh nextId="11" unboundColumnsRight="1">
    <queryTableFields count="9">
      <queryTableField id="1" name="item_no" tableColumnId="1"/>
      <queryTableField id="2" name="loc" tableColumnId="2"/>
      <queryTableField id="3" name="ord_no" tableColumnId="3"/>
      <queryTableField id="4" name="qty_to_ship" tableColumnId="4"/>
      <queryTableField id="5" name="billed_dt" tableColumnId="5"/>
      <queryTableField id="6" name="status" tableColumnId="6"/>
      <queryTableField id="7" name="ord_dt" tableColumnId="7"/>
      <queryTableField id="8" name="shipping_dt" tableColumnId="8"/>
      <queryTableField id="10" dataBound="0" tableColumnId="1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ac10" connectionId="1" xr16:uid="{8D73F2E2-2E3B-4797-B670-36FCFB9C0ECA}" autoFormatId="16" applyNumberFormats="0" applyBorderFormats="0" applyFontFormats="0" applyPatternFormats="0" applyAlignmentFormats="0" applyWidthHeightFormats="0">
  <queryTableRefresh nextId="100" unboundColumnsRight="1">
    <queryTableFields count="14">
      <queryTableField id="1" name="item_no" tableColumnId="98"/>
      <queryTableField id="3" name="loc" tableColumnId="100"/>
      <queryTableField id="4" name="status" tableColumnId="101"/>
      <queryTableField id="7" name="qty_on_hand" tableColumnId="104"/>
      <queryTableField id="8" name="qty_allocated" tableColumnId="105"/>
      <queryTableField id="10" name="qty_on_ord" tableColumnId="107"/>
      <queryTableField id="16" name="std_cost" tableColumnId="113"/>
      <queryTableField id="32" name="usage_ptd" tableColumnId="129"/>
      <queryTableField id="33" name="qty_sld_ptd" tableColumnId="130"/>
      <queryTableField id="34" name="qty_scrp_ptd" tableColumnId="131"/>
      <queryTableField id="35" name="sls_ptd" tableColumnId="132"/>
      <queryTableField id="36" name="cost_ptd" tableColumnId="133"/>
      <queryTableField id="37" name="usage_ytd" tableColumnId="134"/>
      <queryTableField id="99" dataBound="0" tableColumnId="196"/>
    </queryTableFields>
    <queryTableDeletedFields count="84">
      <deletedField name="inv_class"/>
      <deletedField name="prev_status"/>
      <deletedField name="mult_bin_fg"/>
      <deletedField name="qty_bkord"/>
      <deletedField name="reorder_lvl"/>
      <deletedField name="ord_up_to_lvl"/>
      <deletedField name="price"/>
      <deletedField name="avg_cost"/>
      <deletedField name="last_cost"/>
      <deletedField name="prices_apply_flag"/>
      <deletedField name="discs_apply_fg"/>
      <deletedField name="starting_sls_dt"/>
      <deletedField name="ending_sls_dt"/>
      <deletedField name="last_sold_dt"/>
      <deletedField name="sls_price"/>
      <deletedField name="qty_last_sold"/>
      <deletedField name="cycle_count_cd"/>
      <deletedField name="last_count_dt"/>
      <deletedField name="tms_cntd_ytd"/>
      <deletedField name="pct_err_last_cnt"/>
      <deletedField name="frz_cost"/>
      <deletedField name="frz_qty"/>
      <deletedField name="frz_dt"/>
      <deletedField name="frz_tm"/>
      <deletedField name="qty_sold_ytd"/>
      <deletedField name="qty_scrp_ytd"/>
      <deletedField name="qty_returned_ytd"/>
      <deletedField name="sls_ytd"/>
      <deletedField name="cost_ytd"/>
      <deletedField name="prior_year_usage"/>
      <deletedField name="qty_sold_last_yr"/>
      <deletedField name="qty_scrp_last_yr"/>
      <deletedField name="prior_year_sls"/>
      <deletedField name="cost_last_yr"/>
      <deletedField name="recom_min_ord"/>
      <deletedField name="economic_ord_qty"/>
      <deletedField name="avg_usage"/>
      <deletedField name="po_lead_tm"/>
      <deletedField name="byr_plnr"/>
      <deletedField name="doc_to_stk_ld_tm"/>
      <deletedField name="rollup_prc"/>
      <deletedField name="target_margin"/>
      <deletedField name="inv_class"/>
      <deletedField name="po_min"/>
      <deletedField name="po_max"/>
      <deletedField name="safety_stk"/>
      <deletedField name="avg_frcst_error"/>
      <deletedField name="sum_of_errors"/>
      <deletedField name="usg_wght_fctr"/>
      <deletedField name="safety_fctr"/>
      <deletedField name="usage_filter"/>
      <deletedField name="po_mult"/>
      <deletedField name="active_ords"/>
      <deletedField name="vend_no"/>
      <deletedField name="tax_sched"/>
      <deletedField name="prod_cat"/>
      <deletedField name="picking_seq"/>
      <deletedField name="cube_width_uom"/>
      <deletedField name="cube_length_uom"/>
      <deletedField name="cube_height_uom"/>
      <deletedField name="cube_width"/>
      <deletedField name="cube_length"/>
      <deletedField name="cube_height"/>
      <deletedField name="cube_qty_per"/>
      <deletedField name="user_def_fld_1"/>
      <deletedField name="user_def_fld_2"/>
      <deletedField name="user_def_fld_3"/>
      <deletedField name="user_def_fld_5"/>
      <deletedField name="landed_cost_cd"/>
      <deletedField name="landed_cost_cd_2"/>
      <deletedField name="landed_cost_cd_3"/>
      <deletedField name="landed_cost_cd_4"/>
      <deletedField name="landed_cost_cd_5"/>
      <deletedField name="landed_cost_cd_6"/>
      <deletedField name="landed_cost_cd_7"/>
      <deletedField name="landed_cost_cd_8"/>
      <deletedField name="landed_cost_cd_9"/>
      <deletedField name="landed_cost_cd_10"/>
      <deletedField name="loc_qty_fld"/>
      <deletedField name="tag_qty"/>
      <deletedField name="tag_cost"/>
      <deletedField name="tag_frz_dt"/>
      <deletedField name="filler_0002"/>
      <deletedField name="extra_1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ac10" connectionId="3" xr16:uid="{906F7E99-ABE8-480C-851A-66F4E29786DC}" autoFormatId="16" applyNumberFormats="0" applyBorderFormats="0" applyFontFormats="0" applyPatternFormats="0" applyAlignmentFormats="0" applyWidthHeightFormats="0">
  <queryTableRefresh nextId="100" unboundColumnsRight="2">
    <queryTableFields count="96">
      <queryTableField id="1" name="item_no" tableColumnId="98"/>
      <queryTableField id="2" name="inv_class" tableColumnId="99"/>
      <queryTableField id="3" name="loc" tableColumnId="100"/>
      <queryTableField id="4" name="status" tableColumnId="101"/>
      <queryTableField id="5" name="prev_status" tableColumnId="102"/>
      <queryTableField id="6" name="mult_bin_fg" tableColumnId="103"/>
      <queryTableField id="7" name="qty_on_hand" tableColumnId="104"/>
      <queryTableField id="8" name="qty_allocated" tableColumnId="105"/>
      <queryTableField id="9" name="qty_bkord" tableColumnId="106"/>
      <queryTableField id="10" name="qty_on_ord" tableColumnId="107"/>
      <queryTableField id="11" name="reorder_lvl" tableColumnId="108"/>
      <queryTableField id="12" name="ord_up_to_lvl" tableColumnId="109"/>
      <queryTableField id="13" name="price" tableColumnId="110"/>
      <queryTableField id="16" name="std_cost" tableColumnId="113"/>
      <queryTableField id="17" name="prices_apply_flag" tableColumnId="114"/>
      <queryTableField id="18" name="discs_apply_fg" tableColumnId="115"/>
      <queryTableField id="19" name="starting_sls_dt" tableColumnId="116"/>
      <queryTableField id="20" name="ending_sls_dt" tableColumnId="117"/>
      <queryTableField id="22" name="sls_price" tableColumnId="119"/>
      <queryTableField id="23" name="qty_last_sold" tableColumnId="120"/>
      <queryTableField id="24" name="cycle_count_cd" tableColumnId="121"/>
      <queryTableField id="25" name="last_count_dt" tableColumnId="122"/>
      <queryTableField id="26" name="tms_cntd_ytd" tableColumnId="123"/>
      <queryTableField id="27" name="pct_err_last_cnt" tableColumnId="124"/>
      <queryTableField id="28" name="frz_cost" tableColumnId="125"/>
      <queryTableField id="29" name="frz_qty" tableColumnId="126"/>
      <queryTableField id="30" name="frz_dt" tableColumnId="127"/>
      <queryTableField id="31" name="frz_tm" tableColumnId="128"/>
      <queryTableField id="32" name="usage_ptd" tableColumnId="129"/>
      <queryTableField id="33" name="qty_sld_ptd" tableColumnId="130"/>
      <queryTableField id="34" name="qty_scrp_ptd" tableColumnId="131"/>
      <queryTableField id="35" name="sls_ptd" tableColumnId="132"/>
      <queryTableField id="36" name="cost_ptd" tableColumnId="133"/>
      <queryTableField id="37" name="usage_ytd" tableColumnId="134"/>
      <queryTableField id="38" name="qty_sold_ytd" tableColumnId="135"/>
      <queryTableField id="39" name="qty_scrp_ytd" tableColumnId="136"/>
      <queryTableField id="40" name="qty_returned_ytd" tableColumnId="137"/>
      <queryTableField id="41" name="sls_ytd" tableColumnId="138"/>
      <queryTableField id="42" name="cost_ytd" tableColumnId="139"/>
      <queryTableField id="43" name="prior_year_usage" tableColumnId="140"/>
      <queryTableField id="44" name="qty_sold_last_yr" tableColumnId="141"/>
      <queryTableField id="45" name="qty_scrp_last_yr" tableColumnId="142"/>
      <queryTableField id="46" name="prior_year_sls" tableColumnId="143"/>
      <queryTableField id="47" name="cost_last_yr" tableColumnId="144"/>
      <queryTableField id="48" name="recom_min_ord" tableColumnId="145"/>
      <queryTableField id="49" name="economic_ord_qty" tableColumnId="146"/>
      <queryTableField id="50" name="avg_usage" tableColumnId="147"/>
      <queryTableField id="51" name="po_lead_tm" tableColumnId="148"/>
      <queryTableField id="52" name="byr_plnr" tableColumnId="149"/>
      <queryTableField id="53" name="doc_to_stk_ld_tm" tableColumnId="150"/>
      <queryTableField id="54" name="rollup_prc" tableColumnId="151"/>
      <queryTableField id="55" name="target_margin" tableColumnId="152"/>
      <queryTableField id="56" name="inv_class" tableColumnId="153"/>
      <queryTableField id="57" name="po_min" tableColumnId="154"/>
      <queryTableField id="58" name="po_max" tableColumnId="155"/>
      <queryTableField id="59" name="safety_stk" tableColumnId="156"/>
      <queryTableField id="60" name="avg_frcst_error" tableColumnId="157"/>
      <queryTableField id="61" name="sum_of_errors" tableColumnId="158"/>
      <queryTableField id="62" name="usg_wght_fctr" tableColumnId="159"/>
      <queryTableField id="63" name="safety_fctr" tableColumnId="160"/>
      <queryTableField id="64" name="usage_filter" tableColumnId="161"/>
      <queryTableField id="65" name="po_mult" tableColumnId="162"/>
      <queryTableField id="66" name="active_ords" tableColumnId="163"/>
      <queryTableField id="67" name="vend_no" tableColumnId="164"/>
      <queryTableField id="68" name="tax_sched" tableColumnId="165"/>
      <queryTableField id="69" name="prod_cat" tableColumnId="166"/>
      <queryTableField id="70" name="picking_seq" tableColumnId="167"/>
      <queryTableField id="71" name="cube_width_uom" tableColumnId="168"/>
      <queryTableField id="72" name="cube_length_uom" tableColumnId="169"/>
      <queryTableField id="73" name="cube_height_uom" tableColumnId="170"/>
      <queryTableField id="74" name="cube_width" tableColumnId="171"/>
      <queryTableField id="75" name="cube_length" tableColumnId="172"/>
      <queryTableField id="76" name="cube_height" tableColumnId="173"/>
      <queryTableField id="77" name="cube_qty_per" tableColumnId="174"/>
      <queryTableField id="78" name="user_def_fld_1" tableColumnId="175"/>
      <queryTableField id="79" name="user_def_fld_2" tableColumnId="176"/>
      <queryTableField id="80" name="user_def_fld_3" tableColumnId="177"/>
      <queryTableField id="81" name="user_def_fld_5" tableColumnId="178"/>
      <queryTableField id="82" name="landed_cost_cd" tableColumnId="179"/>
      <queryTableField id="83" name="landed_cost_cd_2" tableColumnId="180"/>
      <queryTableField id="84" name="landed_cost_cd_3" tableColumnId="181"/>
      <queryTableField id="85" name="landed_cost_cd_4" tableColumnId="182"/>
      <queryTableField id="86" name="landed_cost_cd_5" tableColumnId="183"/>
      <queryTableField id="87" name="landed_cost_cd_6" tableColumnId="184"/>
      <queryTableField id="88" name="landed_cost_cd_7" tableColumnId="185"/>
      <queryTableField id="89" name="landed_cost_cd_8" tableColumnId="186"/>
      <queryTableField id="90" name="landed_cost_cd_9" tableColumnId="187"/>
      <queryTableField id="91" name="landed_cost_cd_10" tableColumnId="188"/>
      <queryTableField id="92" name="loc_qty_fld" tableColumnId="189"/>
      <queryTableField id="93" name="tag_qty" tableColumnId="190"/>
      <queryTableField id="94" name="tag_cost" tableColumnId="191"/>
      <queryTableField id="95" name="tag_frz_dt" tableColumnId="192"/>
      <queryTableField id="96" name="filler_0002" tableColumnId="193"/>
      <queryTableField id="97" name="extra_1" tableColumnId="194"/>
      <queryTableField id="98" dataBound="0" tableColumnId="195"/>
      <queryTableField id="99" dataBound="0" tableColumnId="196"/>
    </queryTableFields>
    <queryTableDeletedFields count="3">
      <deletedField name="avg_cost"/>
      <deletedField name="last_cost"/>
      <deletedField name="last_sold_dt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ac10" connectionId="2" xr16:uid="{121AACBC-ABB1-421D-B65F-C688769266F2}" autoFormatId="16" applyNumberFormats="0" applyBorderFormats="0" applyFontFormats="0" applyPatternFormats="0" applyAlignmentFormats="0" applyWidthHeightFormats="0">
  <queryTableRefresh nextId="107" unboundColumnsRight="13">
    <queryTableFields count="78">
      <queryTableField id="1" name="ord_no" tableColumnId="91"/>
      <queryTableField id="2" name="line_no" tableColumnId="92"/>
      <queryTableField id="3" name="vend_no" tableColumnId="93"/>
      <queryTableField id="4" name="job_no" tableColumnId="94"/>
      <queryTableField id="5" name="item_no" tableColumnId="95"/>
      <queryTableField id="6" name="item_desc_1" tableColumnId="96"/>
      <queryTableField id="7" name="item_desc_1" tableColumnId="97"/>
      <queryTableField id="8" name="item_desc_2" tableColumnId="98"/>
      <queryTableField id="9" name="vend_item_no" tableColumnId="99"/>
      <queryTableField id="10" name="ord_status" tableColumnId="100"/>
      <queryTableField id="11" name="chg_cancel_cd" tableColumnId="101"/>
      <queryTableField id="12" name="vend_late_cncl_fg" tableColumnId="102"/>
      <queryTableField id="30" name="std_cost" tableColumnId="120"/>
      <queryTableField id="37" name="stk_loc" tableColumnId="127"/>
      <queryTableField id="40" name="qty_ordered" tableColumnId="130"/>
      <queryTableField id="44" name="qty_remaining" tableColumnId="134"/>
      <queryTableField id="45" name="qty_rejected" tableColumnId="135"/>
      <queryTableField id="46" name="qty_cancelled" tableColumnId="136"/>
      <queryTableField id="47" name="qty_inv" tableColumnId="137"/>
      <queryTableField id="48" name="qty_rec_insp" tableColumnId="138"/>
      <queryTableField id="49" name="qty_mat_rev" tableColumnId="139"/>
      <queryTableField id="50" name="dollars_inv" tableColumnId="140"/>
      <queryTableField id="51" name="landed_cost_fg" tableColumnId="141"/>
      <queryTableField id="52" name="req_date_chg_fg" tableColumnId="142"/>
      <queryTableField id="53" name="request_dt" tableColumnId="143"/>
      <queryTableField id="54" name="promise_dt" tableColumnId="144"/>
      <queryTableField id="55" name="receipt_dt" tableColumnId="145"/>
      <queryTableField id="56" name="byr_plnr" tableColumnId="146"/>
      <queryTableField id="57" name="mrp_byr_plnr" tableColumnId="147"/>
      <queryTableField id="58" name="rej_reason_cd" tableColumnId="148"/>
      <queryTableField id="59" name="weight" tableColumnId="149"/>
      <queryTableField id="60" name="cmt_cd_1" tableColumnId="150"/>
      <queryTableField id="61" name="cmt_1" tableColumnId="151"/>
      <queryTableField id="62" name="cmt_cd_2" tableColumnId="152"/>
      <queryTableField id="63" name="cmt_2" tableColumnId="153"/>
      <queryTableField id="64" name="user_def_fld_1" tableColumnId="154"/>
      <queryTableField id="65" name="user_def_fld_2" tableColumnId="155"/>
      <queryTableField id="66" name="user_def_fld_3" tableColumnId="156"/>
      <queryTableField id="67" name="user_def_fld_4" tableColumnId="157"/>
      <queryTableField id="68" name="user_def_fld_5" tableColumnId="158"/>
      <queryTableField id="69" name="mfg_cd_1" tableColumnId="159"/>
      <queryTableField id="70" name="mfg_name_1" tableColumnId="160"/>
      <queryTableField id="71" name="mfg_1_item_no" tableColumnId="161"/>
      <queryTableField id="72" name="mfg_1_item_no" tableColumnId="162"/>
      <queryTableField id="73" name="mfg_cd_2" tableColumnId="163"/>
      <queryTableField id="74" name="mfg_name_2" tableColumnId="164"/>
      <queryTableField id="75" name="mfg_2_item_no" tableColumnId="165"/>
      <queryTableField id="76" name="mfg_2_item_no" tableColumnId="166"/>
      <queryTableField id="77" name="mfg_cd_3" tableColumnId="167"/>
      <queryTableField id="78" name="mfg_name_3" tableColumnId="168"/>
      <queryTableField id="79" name="mfg_3_item_no" tableColumnId="169"/>
      <queryTableField id="80" name="mfg_3_item_no" tableColumnId="170"/>
      <queryTableField id="81" name="path_no" tableColumnId="171"/>
      <queryTableField id="82" name="shop_dtl_seq_no" tableColumnId="172"/>
      <queryTableField id="83" name="shop_dtl_rec_type" tableColumnId="173"/>
      <queryTableField id="84" name="oe_ord_no" tableColumnId="174"/>
      <queryTableField id="85" name="var_qty_mn_no" tableColumnId="175"/>
      <queryTableField id="86" name="var_qty_sb_no" tableColumnId="176"/>
      <queryTableField id="87" name="var_qty_dp_no" tableColumnId="177"/>
      <queryTableField id="88" name="oe_order_line" tableColumnId="178"/>
      <queryTableField id="89" name="filler_0003" tableColumnId="179"/>
      <queryTableField id="90" name="filler_0003" tableColumnId="180"/>
      <queryTableField id="91" name="ord_status" tableColumnId="1"/>
      <queryTableField id="92" name="vend_name" tableColumnId="2"/>
      <queryTableField id="106" name="ord_dt" tableColumnId="16"/>
      <queryTableField id="93" dataBound="0" tableColumnId="3"/>
      <queryTableField id="94" dataBound="0" tableColumnId="4"/>
      <queryTableField id="95" dataBound="0" tableColumnId="5"/>
      <queryTableField id="96" dataBound="0" tableColumnId="6"/>
      <queryTableField id="97" dataBound="0" tableColumnId="7"/>
      <queryTableField id="98" dataBound="0" tableColumnId="8"/>
      <queryTableField id="99" dataBound="0" tableColumnId="9"/>
      <queryTableField id="100" dataBound="0" tableColumnId="10"/>
      <queryTableField id="101" dataBound="0" tableColumnId="11"/>
      <queryTableField id="102" dataBound="0" tableColumnId="12"/>
      <queryTableField id="103" dataBound="0" tableColumnId="13"/>
      <queryTableField id="104" dataBound="0" tableColumnId="14"/>
      <queryTableField id="105" dataBound="0" tableColumnId="15"/>
    </queryTableFields>
    <queryTableDeletedFields count="28">
      <deletedField name="mn_no"/>
      <deletedField name="sb_no"/>
      <deletedField name="dp_no"/>
      <deletedField name="var_mn_no"/>
      <deletedField name="var_sb_no"/>
      <deletedField name="var_dp_no"/>
      <deletedField name="acc_mn_no"/>
      <deletedField name="acc_sb_no"/>
      <deletedField name="acc_dp_no"/>
      <deletedField name="uom"/>
      <deletedField name="stk_uom"/>
      <deletedField name="purch_uom"/>
      <deletedField name="one_tm_uom"/>
      <deletedField name="purch_to_stk_rat"/>
      <deletedField name="one_tm_uom_ratio"/>
      <deletedField name="exp_unit_cost"/>
      <deletedField name="act_unit_cost"/>
      <deletedField name="curr_cd_cost"/>
      <deletedField name="curr_cd_rt"/>
      <deletedField name="commodity_cd"/>
      <deletedField name="notify_initials"/>
      <deletedField name="move_to_loc"/>
      <deletedField name="bkt_tp"/>
      <deletedField name="shop_ord_no"/>
      <deletedField name="oper_no"/>
      <deletedField name="qty_ord_chg_amt"/>
      <deletedField name="qty_released"/>
      <deletedField name="qty_received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ac10" connectionId="4" xr16:uid="{020AD488-F2EA-4165-9FBF-2F34AF049C0E}" autoFormatId="16" applyNumberFormats="0" applyBorderFormats="0" applyFontFormats="0" applyPatternFormats="0" applyAlignmentFormats="0" applyWidthHeightFormats="0">
  <queryTableRefresh nextId="13" unboundColumnsRight="7">
    <queryTableFields count="12">
      <queryTableField id="1" name="item_no" tableColumnId="1"/>
      <queryTableField id="2" name="loc" tableColumnId="2"/>
      <queryTableField id="3" name="Avg_Qty_60" tableColumnId="3"/>
      <queryTableField id="4" name="Avg_Qty_30" tableColumnId="4"/>
      <queryTableField id="5" name="Avg_Qty_14" tableColumnId="5"/>
      <queryTableField id="6" dataBound="0" tableColumnId="6"/>
      <queryTableField id="7" dataBound="0" tableColumnId="7"/>
      <queryTableField id="8" dataBound="0" tableColumnId="8"/>
      <queryTableField id="9" dataBound="0" tableColumnId="9"/>
      <queryTableField id="10" dataBound="0" tableColumnId="10"/>
      <queryTableField id="11" dataBound="0" tableColumnId="11"/>
      <queryTableField id="12" dataBound="0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C8D291D-A718-4DCE-9DE4-3FE8D178DCF5}" name="Table_Query_from_Mac107" displayName="Table_Query_from_Mac107" ref="A1:AE12" tableType="queryTable" totalsRowShown="0" headerRowDxfId="251" dataDxfId="250">
  <autoFilter ref="A1:AE12" xr:uid="{37B30CA1-801D-4CBD-9E78-793801855F2B}"/>
  <tableColumns count="31">
    <tableColumn id="1" xr3:uid="{90EF9473-36BC-4888-8B95-3B58627C1CD0}" uniqueName="1" name="item_no" queryTableFieldId="1" dataDxfId="249"/>
    <tableColumn id="2" xr3:uid="{5FAC7F64-CFC0-4B5E-B434-4510D07AA41A}" uniqueName="2" name="filler_0001" queryTableFieldId="2" dataDxfId="248"/>
    <tableColumn id="3" xr3:uid="{210A8239-89A8-472D-A489-7A2514A5665F}" uniqueName="3" name="seq_no" queryTableFieldId="3" dataDxfId="247"/>
    <tableColumn id="4" xr3:uid="{22439506-0373-42FD-8CA7-F4F6495B0E8E}" uniqueName="4" name="comp_item_no" queryTableFieldId="4" dataDxfId="246"/>
    <tableColumn id="5" xr3:uid="{6617621A-1ED9-41EF-ACE0-A5EAA8238938}" uniqueName="5" name="filler_0002" queryTableFieldId="5" dataDxfId="245"/>
    <tableColumn id="6" xr3:uid="{41086DD6-E091-45E0-87F1-659CD344D092}" uniqueName="6" name="alt_item_no" queryTableFieldId="6" dataDxfId="244"/>
    <tableColumn id="7" xr3:uid="{53A42301-B6E3-4377-B27B-6B5EDCA3CECC}" uniqueName="7" name="qty_per_par" queryTableFieldId="7" dataDxfId="243"/>
    <tableColumn id="8" xr3:uid="{5A3A89F0-AFE4-48DD-8E27-6DC561B03F05}" uniqueName="8" name="attaching_oper_no" queryTableFieldId="8" dataDxfId="242"/>
    <tableColumn id="9" xr3:uid="{890EDCF3-810B-44BF-9D80-DE2C65D2B484}" uniqueName="9" name="scrap_factor" queryTableFieldId="9" dataDxfId="241"/>
    <tableColumn id="10" xr3:uid="{A7BE721B-48B5-462C-9D1B-CB90C6512820}" uniqueName="10" name="activity_fg" queryTableFieldId="10" dataDxfId="240"/>
    <tableColumn id="11" xr3:uid="{90BD0648-2D9F-4974-99B6-CA4E83A55EDF}" uniqueName="11" name="user_def_fld" queryTableFieldId="11" dataDxfId="239"/>
    <tableColumn id="12" xr3:uid="{83E89D89-A3CA-49D5-979D-C6F254D77722}" uniqueName="12" name="effectivity_dt" queryTableFieldId="12" dataDxfId="238"/>
    <tableColumn id="13" xr3:uid="{8A0F97F2-DD2B-47A7-A034-15DE55513D6F}" uniqueName="13" name="obsolete_dt" queryTableFieldId="13" dataDxfId="237"/>
    <tableColumn id="14" xr3:uid="{4AC4FCA6-EDCB-4488-8204-D349CA13F0D6}" uniqueName="14" name="extra_1" queryTableFieldId="14" dataDxfId="236"/>
    <tableColumn id="15" xr3:uid="{1447EC77-865B-454A-959F-61CBCAC8B13B}" uniqueName="15" name="extra_2" queryTableFieldId="15" dataDxfId="235"/>
    <tableColumn id="16" xr3:uid="{B9A86E01-79F1-409F-A81E-36BDE1F036E2}" uniqueName="16" name="extra_3" queryTableFieldId="16" dataDxfId="234"/>
    <tableColumn id="17" xr3:uid="{74F40F06-6857-4096-8A40-D090C41DB2DE}" uniqueName="17" name="mfg_uom" queryTableFieldId="17" dataDxfId="233"/>
    <tableColumn id="18" xr3:uid="{42EFA24D-0256-4064-9949-29FC7ADF3D37}" uniqueName="18" name="extra_5" queryTableFieldId="18" dataDxfId="232"/>
    <tableColumn id="19" xr3:uid="{1243FFAE-1C19-4269-B084-B102E179FAB7}" uniqueName="19" name="loc" queryTableFieldId="19" dataDxfId="231"/>
    <tableColumn id="20" xr3:uid="{677413E6-C4D0-428A-97B4-EEFCA20D75FF}" uniqueName="20" name="backflush_fg" queryTableFieldId="20" dataDxfId="230"/>
    <tableColumn id="21" xr3:uid="{3EAF2888-CB7C-4E38-8E99-CCEEEF2378BB}" uniqueName="21" name="bulk_issue_fg" queryTableFieldId="21" dataDxfId="229"/>
    <tableColumn id="22" xr3:uid="{A0791D1E-A321-4641-BB0C-FD61C867CA01}" uniqueName="22" name="scrap_qty" queryTableFieldId="22" dataDxfId="228"/>
    <tableColumn id="23" xr3:uid="{BC215A96-8667-459B-A8AE-CF03F9A1EBA8}" uniqueName="23" name="extra_4" queryTableFieldId="23" dataDxfId="227"/>
    <tableColumn id="24" xr3:uid="{0E4596FD-013C-4F31-85F0-13A77318B6E9}" uniqueName="24" name="ID" queryTableFieldId="24" dataDxfId="226"/>
    <tableColumn id="25" xr3:uid="{6196EAFD-0881-47F1-935C-6AC11C5ABFF0}" uniqueName="25" name="On Order" queryTableFieldId="25" dataDxfId="225">
      <calculatedColumnFormula>IF(SummaryBottles!$K$8=1,SUMIFS(Sales!D:D,Sales!A:A,Table_Query_from_Mac107[[#This Row],[item_no]],Sales!B:B,'Dashboard Control'!$C$2)+SUMIFS(#REF!,#REF!,Table_Query_from_Mac107[[#This Row],[item_no]],#REF!,'Dashboard Control'!$C$2),SUMIFS(Sales!D:D,Sales!A:A,Table_Query_from_Mac107[[#This Row],[item_no]],Sales!B:B,'Dashboard Control'!$C$2))</calculatedColumnFormula>
    </tableColumn>
    <tableColumn id="26" xr3:uid="{9B2BF6F4-6A8D-47A2-BBAE-66F80FDB2EFC}" uniqueName="26" name="Components Needed" queryTableFieldId="26" dataDxfId="224">
      <calculatedColumnFormula>Table_Query_from_Mac107[[#This Row],[On Order]]*Table_Query_from_Mac107[[#This Row],[qty_per_par]]</calculatedColumnFormula>
    </tableColumn>
    <tableColumn id="27" xr3:uid="{AB3CAB79-620A-4D21-BEE4-914B42AD431E}" uniqueName="27" name="Type" queryTableFieldId="27" dataDxfId="223">
      <calculatedColumnFormula>LEFT(Table_Query_from_Mac107[[#This Row],[comp_item_no]],4)</calculatedColumnFormula>
    </tableColumn>
    <tableColumn id="28" xr3:uid="{997BD038-6363-4C95-BA81-936835F6D6FF}" uniqueName="28" name="Components On/Off" queryTableFieldId="28" dataDxfId="222">
      <calculatedColumnFormula>IF(Table_Query_from_Mac107[[#This Row],[Components NeededSales]]&gt;0,1,0)</calculatedColumnFormula>
    </tableColumn>
    <tableColumn id="29" xr3:uid="{B7688B82-DEE2-4A12-A70C-E172C237C1C3}" uniqueName="29" name="FG Availability" queryTableFieldId="29" dataDxfId="221">
      <calculatedColumnFormula>SUMIFS('FG-Inventory'!G:G,'FG-Inventory'!A:A,Table_Query_from_Mac107[[#This Row],[item_no]],'FG-Inventory'!C:C,'Dashboard Control'!$C$2)</calculatedColumnFormula>
    </tableColumn>
    <tableColumn id="30" xr3:uid="{C709D1DA-7804-4E8A-BC81-1B598F3B38AB}" uniqueName="30" name="Build Needs" queryTableFieldId="30" dataDxfId="220">
      <calculatedColumnFormula>IF(Table_Query_from_Mac107[[#This Row],[On Order]]&gt;Table_Query_from_Mac107[[#This Row],[FG Availability]],Table_Query_from_Mac107[[#This Row],[FG Availability]]-Table_Query_from_Mac107[[#This Row],[On Order]],0)</calculatedColumnFormula>
    </tableColumn>
    <tableColumn id="31" xr3:uid="{CC250962-941B-4165-BB18-2782601B5912}" uniqueName="31" name="Components NeededSales" queryTableFieldId="31" dataDxfId="219">
      <calculatedColumnFormula>(SUM(1+Table_Query_from_Mac107[[#This Row],[scrap_factor]]/100)*Table_Query_from_Mac107[[#This Row],[qty_per_par]])*ABS(Table_Query_from_Mac107[[#This Row],[Build Needs]])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6DE3F8-9E55-4BD4-B767-527E066237E8}" name="Table_Query_from_Mac103" displayName="Table_Query_from_Mac103" ref="A1:I34" tableType="queryTable" totalsRowShown="0" headerRowDxfId="218" dataDxfId="217">
  <autoFilter ref="A1:I34" xr:uid="{7DF2CE0C-068C-4A6A-9131-B49F17BFEF20}"/>
  <tableColumns count="9">
    <tableColumn id="1" xr3:uid="{55FFD8D0-A07E-4570-87A7-A4C38E429147}" uniqueName="1" name="item_no" queryTableFieldId="1" dataDxfId="216"/>
    <tableColumn id="2" xr3:uid="{69A04BAB-E16E-4B3B-AAF3-0BC2AE9E252B}" uniqueName="2" name="loc" queryTableFieldId="2" dataDxfId="215"/>
    <tableColumn id="3" xr3:uid="{F9A91899-D24A-4E24-AB98-27ABB1AD67AD}" uniqueName="3" name="ord_no" queryTableFieldId="3" dataDxfId="214"/>
    <tableColumn id="4" xr3:uid="{8129A865-098E-425A-9D18-7E056F6A27DD}" uniqueName="4" name="qty_to_ship" queryTableFieldId="4" dataDxfId="213"/>
    <tableColumn id="5" xr3:uid="{FD7681F7-4B09-4B5B-8FBF-91B94DE9730E}" uniqueName="5" name="billed_dt" queryTableFieldId="5" dataDxfId="212"/>
    <tableColumn id="6" xr3:uid="{B3414E55-940E-40DB-9255-DF74CB1395F8}" uniqueName="6" name="status" queryTableFieldId="6" dataDxfId="211"/>
    <tableColumn id="7" xr3:uid="{66F42D36-AF97-4A35-8486-24901BC2FD35}" uniqueName="7" name="ord_dt" queryTableFieldId="7" dataDxfId="210"/>
    <tableColumn id="8" xr3:uid="{C7D7418C-E616-4263-873F-DDB062B18AD6}" uniqueName="8" name="shipping_dt" queryTableFieldId="8" dataDxfId="209"/>
    <tableColumn id="10" xr3:uid="{20BD8587-B804-44EB-94FB-5DC2C49F3A9D}" uniqueName="10" name="On/Off" queryTableFieldId="10" dataDxfId="208">
      <calculatedColumnFormula>IF(Table_Query_from_Mac103[[#This Row],[shipping_dt]]&lt;='Dashboard Control'!$F$14,1,0)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6F0733D-ED91-49DE-9F38-904E7D31545D}" name="Table_Query_from_Mac10" displayName="Table_Query_from_Mac10" ref="A1:N12" tableType="queryTable" totalsRowShown="0" headerRowDxfId="207" dataDxfId="206">
  <autoFilter ref="A1:N12" xr:uid="{9B01618E-42B5-447E-B8B7-F8A50077773A}"/>
  <tableColumns count="14">
    <tableColumn id="98" xr3:uid="{54DAF834-CCB8-4831-BA3D-2E355DBC3D6C}" uniqueName="98" name="item_no" queryTableFieldId="1" dataDxfId="205"/>
    <tableColumn id="100" xr3:uid="{677A0659-B665-47CD-85C4-5D19CFD5D4D4}" uniqueName="100" name="loc" queryTableFieldId="3" dataDxfId="204"/>
    <tableColumn id="101" xr3:uid="{37622F12-70D0-4FF4-A450-F749804554DD}" uniqueName="101" name="status" queryTableFieldId="4" dataDxfId="203"/>
    <tableColumn id="104" xr3:uid="{A635110A-C3E2-403F-B134-C18B21091A4B}" uniqueName="104" name="qty_on_hand" queryTableFieldId="7" dataDxfId="202"/>
    <tableColumn id="105" xr3:uid="{D364DDAC-7362-4900-9C09-27AFBC62D076}" uniqueName="105" name="qty_allocated" queryTableFieldId="8" dataDxfId="201"/>
    <tableColumn id="107" xr3:uid="{A1AE621F-B694-4872-A22E-C3F95F691A62}" uniqueName="107" name="qty_on_ord" queryTableFieldId="10" dataDxfId="200"/>
    <tableColumn id="113" xr3:uid="{D86E7387-FEFF-4819-858F-71A8019D1451}" uniqueName="113" name="std_cost" queryTableFieldId="16" dataDxfId="199"/>
    <tableColumn id="129" xr3:uid="{0B053E78-513D-4563-B15F-B5FFC88622B9}" uniqueName="129" name="usage_ptd" queryTableFieldId="32" dataDxfId="198"/>
    <tableColumn id="130" xr3:uid="{E00100B4-96AE-42B2-8F08-EE0BE66DEB8C}" uniqueName="130" name="qty_sld_ptd" queryTableFieldId="33" dataDxfId="197"/>
    <tableColumn id="131" xr3:uid="{7C42A8D9-5353-4431-8192-7A5B9AAAC304}" uniqueName="131" name="qty_scrp_ptd" queryTableFieldId="34" dataDxfId="196"/>
    <tableColumn id="132" xr3:uid="{E515EC3F-E0D8-442F-96FE-9A15BA37902C}" uniqueName="132" name="sls_ptd" queryTableFieldId="35" dataDxfId="195"/>
    <tableColumn id="133" xr3:uid="{8392A52F-106E-4AC7-928B-0F3385556CAA}" uniqueName="133" name="cost_ptd" queryTableFieldId="36" dataDxfId="194"/>
    <tableColumn id="134" xr3:uid="{C558EA22-9C3D-40D5-9ABE-4DF0A5189B38}" uniqueName="134" name="usage_ytd" queryTableFieldId="37" dataDxfId="193"/>
    <tableColumn id="196" xr3:uid="{D47AFC6D-7C4D-4B71-8A0F-6ED85EF783E4}" uniqueName="196" name="Current Value" queryTableFieldId="99" dataDxfId="192">
      <calculatedColumnFormula>Table_Query_from_Mac10[[#This Row],[qty_on_hand]]*Table_Query_from_Mac10[[#This Row],[std_cost]]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655F2E1-DDF4-4F42-A844-34FB497A2B54}" name="Table_Query_from_Mac1012" displayName="Table_Query_from_Mac1012" ref="A1:CR12" tableType="queryTable" totalsRowShown="0" headerRowDxfId="191" dataDxfId="190">
  <autoFilter ref="A1:CR12" xr:uid="{9B01618E-42B5-447E-B8B7-F8A50077773A}"/>
  <tableColumns count="96">
    <tableColumn id="98" xr3:uid="{FE1A4DFB-B41D-4202-8A33-0EA0D512AA80}" uniqueName="98" name="item_no" queryTableFieldId="1" dataDxfId="189"/>
    <tableColumn id="99" xr3:uid="{AC638C88-DB95-4398-9F8F-AE9609A292D7}" uniqueName="99" name="inv_class" queryTableFieldId="2" dataDxfId="188"/>
    <tableColumn id="100" xr3:uid="{D3497C0E-4B28-4166-BB0D-2F76B7BCFC13}" uniqueName="100" name="loc" queryTableFieldId="3" dataDxfId="187"/>
    <tableColumn id="101" xr3:uid="{080C6D3F-A114-40E9-AEB8-A1F689A586BE}" uniqueName="101" name="status" queryTableFieldId="4" dataDxfId="186"/>
    <tableColumn id="102" xr3:uid="{D9AA431D-10D4-4DA9-B279-1AB07BFB4CE2}" uniqueName="102" name="prev_status" queryTableFieldId="5" dataDxfId="185"/>
    <tableColumn id="103" xr3:uid="{A8736FA4-F95B-481C-A5A9-69A2E6FC28FE}" uniqueName="103" name="mult_bin_fg" queryTableFieldId="6" dataDxfId="184"/>
    <tableColumn id="104" xr3:uid="{CBC7CE11-CF4A-44C5-BDD1-9A3B013EFD5A}" uniqueName="104" name="qty_on_hand" queryTableFieldId="7" dataDxfId="183"/>
    <tableColumn id="105" xr3:uid="{D6AC7D15-ED20-4C82-A465-72678F65891C}" uniqueName="105" name="qty_allocated" queryTableFieldId="8" dataDxfId="182"/>
    <tableColumn id="106" xr3:uid="{6DE0B3B4-0EA7-4C3A-BB51-1E4F7B73C25A}" uniqueName="106" name="qty_bkord" queryTableFieldId="9" dataDxfId="181"/>
    <tableColumn id="107" xr3:uid="{C9983D96-3BDE-4E03-83E6-4B3925813114}" uniqueName="107" name="qty_on_ord" queryTableFieldId="10" dataDxfId="180"/>
    <tableColumn id="108" xr3:uid="{9105EB0A-7502-40A0-BE44-93EFD7ECED0C}" uniqueName="108" name="reorder_lvl" queryTableFieldId="11" dataDxfId="179"/>
    <tableColumn id="109" xr3:uid="{49FF8FA1-67C6-400D-A301-39E239D9860B}" uniqueName="109" name="ord_up_to_lvl" queryTableFieldId="12" dataDxfId="178"/>
    <tableColumn id="110" xr3:uid="{08C0F8A4-AC9D-4DA9-A298-001933EDB9CB}" uniqueName="110" name="price" queryTableFieldId="13" dataDxfId="177"/>
    <tableColumn id="113" xr3:uid="{747FDB9C-DFA8-4F39-977C-69573B3F35E9}" uniqueName="113" name="std_cost" queryTableFieldId="16" dataDxfId="176"/>
    <tableColumn id="114" xr3:uid="{4D6962FE-1F61-47C3-A83C-E84D46FC5FBA}" uniqueName="114" name="prices_apply_flag" queryTableFieldId="17" dataDxfId="175"/>
    <tableColumn id="115" xr3:uid="{4A514104-B916-4DDD-AFCE-90308058D287}" uniqueName="115" name="discs_apply_fg" queryTableFieldId="18" dataDxfId="174"/>
    <tableColumn id="116" xr3:uid="{819919AC-A8AC-4080-8C6E-0A1625C2DC5F}" uniqueName="116" name="starting_sls_dt" queryTableFieldId="19" dataDxfId="173"/>
    <tableColumn id="117" xr3:uid="{AED1EBA9-0F92-4C71-BC10-7A0939E7B74D}" uniqueName="117" name="ending_sls_dt" queryTableFieldId="20" dataDxfId="172"/>
    <tableColumn id="119" xr3:uid="{EBE7504E-2DA6-4A19-BAA7-8174C4D32B6E}" uniqueName="119" name="sls_price" queryTableFieldId="22" dataDxfId="171"/>
    <tableColumn id="120" xr3:uid="{E7A1E211-9218-47AC-A3FE-7F7ED41A3095}" uniqueName="120" name="qty_last_sold" queryTableFieldId="23" dataDxfId="170"/>
    <tableColumn id="121" xr3:uid="{F579122F-DE6A-406D-9799-323F5EC86E18}" uniqueName="121" name="cycle_count_cd" queryTableFieldId="24" dataDxfId="169"/>
    <tableColumn id="122" xr3:uid="{65F95508-2F2A-4BF5-B647-752781AF35C2}" uniqueName="122" name="last_count_dt" queryTableFieldId="25" dataDxfId="168"/>
    <tableColumn id="123" xr3:uid="{C10B27A3-68EF-49D4-A48D-2115DE7CC25E}" uniqueName="123" name="tms_cntd_ytd" queryTableFieldId="26" dataDxfId="167"/>
    <tableColumn id="124" xr3:uid="{E54FC260-2E6E-4336-BC35-C3994C3FA82B}" uniqueName="124" name="pct_err_last_cnt" queryTableFieldId="27" dataDxfId="166"/>
    <tableColumn id="125" xr3:uid="{D8159956-69B0-4699-82DD-116F697D1A98}" uniqueName="125" name="frz_cost" queryTableFieldId="28" dataDxfId="165"/>
    <tableColumn id="126" xr3:uid="{A9C24C75-BBED-465E-9142-F03EBE8619B3}" uniqueName="126" name="frz_qty" queryTableFieldId="29" dataDxfId="164"/>
    <tableColumn id="127" xr3:uid="{8BA0EE6B-5F07-4E3E-B7E0-F4492356ACBB}" uniqueName="127" name="frz_dt" queryTableFieldId="30" dataDxfId="163"/>
    <tableColumn id="128" xr3:uid="{2BCB91DE-668E-4942-86B8-4892478C8F51}" uniqueName="128" name="frz_tm" queryTableFieldId="31" dataDxfId="162"/>
    <tableColumn id="129" xr3:uid="{675511D0-6933-4A9E-8FD1-683ED85F1210}" uniqueName="129" name="usage_ptd" queryTableFieldId="32" dataDxfId="161"/>
    <tableColumn id="130" xr3:uid="{87A28341-7107-4D83-A9EF-9369BA84E35D}" uniqueName="130" name="qty_sld_ptd" queryTableFieldId="33" dataDxfId="160"/>
    <tableColumn id="131" xr3:uid="{2788473E-762F-4633-9C62-D89D52DD4BFA}" uniqueName="131" name="qty_scrp_ptd" queryTableFieldId="34" dataDxfId="159"/>
    <tableColumn id="132" xr3:uid="{30799D0D-E192-428F-94F5-D32B77450679}" uniqueName="132" name="sls_ptd" queryTableFieldId="35" dataDxfId="158"/>
    <tableColumn id="133" xr3:uid="{7C45F922-0E90-4C6D-816E-2A3C351012E8}" uniqueName="133" name="cost_ptd" queryTableFieldId="36" dataDxfId="157"/>
    <tableColumn id="134" xr3:uid="{BE089DD6-DC63-4079-BD6A-27E8DE5AA4D5}" uniqueName="134" name="usage_ytd" queryTableFieldId="37" dataDxfId="156"/>
    <tableColumn id="135" xr3:uid="{E282B404-8664-4066-8FF8-F87948B1B22B}" uniqueName="135" name="qty_sold_ytd" queryTableFieldId="38" dataDxfId="155"/>
    <tableColumn id="136" xr3:uid="{E601A2D0-4018-44AC-8DB7-9D531E3640EA}" uniqueName="136" name="qty_scrp_ytd" queryTableFieldId="39" dataDxfId="154"/>
    <tableColumn id="137" xr3:uid="{5F1AB1E0-C9BC-4E7F-8362-5B952EE3FC47}" uniqueName="137" name="qty_returned_ytd" queryTableFieldId="40" dataDxfId="153"/>
    <tableColumn id="138" xr3:uid="{A73DD9A6-A677-4B1F-984B-76FA89EBFEFF}" uniqueName="138" name="sls_ytd" queryTableFieldId="41" dataDxfId="152"/>
    <tableColumn id="139" xr3:uid="{74317B5C-02C5-4CB7-94BD-978388323E49}" uniqueName="139" name="cost_ytd" queryTableFieldId="42" dataDxfId="151"/>
    <tableColumn id="140" xr3:uid="{4598E668-9B23-4D0D-ACA4-3C2446C16912}" uniqueName="140" name="prior_year_usage" queryTableFieldId="43" dataDxfId="150"/>
    <tableColumn id="141" xr3:uid="{3B3B81BD-CCBF-4022-AC5D-91BD74A669FA}" uniqueName="141" name="qty_sold_last_yr" queryTableFieldId="44" dataDxfId="149"/>
    <tableColumn id="142" xr3:uid="{64A52475-7B93-417A-B1F5-197B58535CBE}" uniqueName="142" name="qty_scrp_last_yr" queryTableFieldId="45" dataDxfId="148"/>
    <tableColumn id="143" xr3:uid="{91880DD4-3231-45A5-B220-4A0B52A90291}" uniqueName="143" name="prior_year_sls" queryTableFieldId="46" dataDxfId="147"/>
    <tableColumn id="144" xr3:uid="{F4117515-736D-4B8F-9F61-D718963DC18D}" uniqueName="144" name="cost_last_yr" queryTableFieldId="47" dataDxfId="146"/>
    <tableColumn id="145" xr3:uid="{E9EECF1D-05F9-4063-8076-7974F609AA71}" uniqueName="145" name="recom_min_ord" queryTableFieldId="48" dataDxfId="145"/>
    <tableColumn id="146" xr3:uid="{CDD8FC5E-D030-4B0B-B9AA-3A3CCDF6F30C}" uniqueName="146" name="economic_ord_qty" queryTableFieldId="49" dataDxfId="144"/>
    <tableColumn id="147" xr3:uid="{DB00964C-D599-4AB0-BD9F-2EFC3A4C9F20}" uniqueName="147" name="avg_usage" queryTableFieldId="50" dataDxfId="143"/>
    <tableColumn id="148" xr3:uid="{4370EE0E-853B-4250-B7D3-2381147A313C}" uniqueName="148" name="po_lead_tm" queryTableFieldId="51" dataDxfId="142"/>
    <tableColumn id="149" xr3:uid="{41873835-D7AB-44B2-9159-A1EAB7382776}" uniqueName="149" name="byr_plnr" queryTableFieldId="52" dataDxfId="141"/>
    <tableColumn id="150" xr3:uid="{EB2EC5F9-2657-49C8-81E8-528551D3EF02}" uniqueName="150" name="doc_to_stk_ld_tm" queryTableFieldId="53" dataDxfId="140"/>
    <tableColumn id="151" xr3:uid="{C8140342-D597-47B4-A78D-7E4EC50DC5EE}" uniqueName="151" name="rollup_prc" queryTableFieldId="54" dataDxfId="139"/>
    <tableColumn id="152" xr3:uid="{E6837E72-EC36-4436-AA2B-928D4BB1545D}" uniqueName="152" name="target_margin" queryTableFieldId="55" dataDxfId="138"/>
    <tableColumn id="153" xr3:uid="{F77DFA95-072B-4887-84A2-15508DE314A1}" uniqueName="153" name="inv_class2" queryTableFieldId="56" dataDxfId="137"/>
    <tableColumn id="154" xr3:uid="{1EF9ED44-5DF7-4E3D-AA5E-5586031BB9B4}" uniqueName="154" name="po_min" queryTableFieldId="57" dataDxfId="136"/>
    <tableColumn id="155" xr3:uid="{AF92FD8B-3844-4CF1-822A-5885EC12598E}" uniqueName="155" name="po_max" queryTableFieldId="58" dataDxfId="135"/>
    <tableColumn id="156" xr3:uid="{24746470-1961-4693-A3F6-F3860C5C97A0}" uniqueName="156" name="safety_stk" queryTableFieldId="59" dataDxfId="134"/>
    <tableColumn id="157" xr3:uid="{C10062D5-08E1-4EDF-BD7D-0B6439F7F29F}" uniqueName="157" name="avg_frcst_error" queryTableFieldId="60" dataDxfId="133"/>
    <tableColumn id="158" xr3:uid="{BDAE1512-07D9-405C-A079-CE6FC871C1DF}" uniqueName="158" name="sum_of_errors" queryTableFieldId="61" dataDxfId="132"/>
    <tableColumn id="159" xr3:uid="{B5D47D5D-1B3F-4327-BA8C-B1E4BC686816}" uniqueName="159" name="usg_wght_fctr" queryTableFieldId="62" dataDxfId="131"/>
    <tableColumn id="160" xr3:uid="{B863AFD8-3BB9-452F-85ED-7EF9CD3956E3}" uniqueName="160" name="safety_fctr" queryTableFieldId="63" dataDxfId="130"/>
    <tableColumn id="161" xr3:uid="{DC1BA1E3-2F9D-4B02-9739-F81D9238361F}" uniqueName="161" name="usage_filter" queryTableFieldId="64" dataDxfId="129"/>
    <tableColumn id="162" xr3:uid="{64CAF8B4-1822-46EF-987B-1B39CECA5972}" uniqueName="162" name="po_mult" queryTableFieldId="65" dataDxfId="128"/>
    <tableColumn id="163" xr3:uid="{09E35EEA-F1EE-4D1B-961C-8B81B9D75BBB}" uniqueName="163" name="active_ords" queryTableFieldId="66" dataDxfId="127"/>
    <tableColumn id="164" xr3:uid="{5F50C24E-6A76-4AB1-91B1-40B581BAA96D}" uniqueName="164" name="vend_no" queryTableFieldId="67" dataDxfId="126"/>
    <tableColumn id="165" xr3:uid="{3CDD3263-F163-4327-AE34-BBA788B9E7B9}" uniqueName="165" name="tax_sched" queryTableFieldId="68" dataDxfId="125"/>
    <tableColumn id="166" xr3:uid="{16442613-6B48-4CAF-A4BC-11E95C768F4D}" uniqueName="166" name="prod_cat" queryTableFieldId="69" dataDxfId="124"/>
    <tableColumn id="167" xr3:uid="{E39028AF-579F-46BC-9760-F130E8F7DC4D}" uniqueName="167" name="picking_seq" queryTableFieldId="70" dataDxfId="123"/>
    <tableColumn id="168" xr3:uid="{62F00772-527B-4EE5-A72E-C3CC9A54DD3F}" uniqueName="168" name="cube_width_uom" queryTableFieldId="71" dataDxfId="122"/>
    <tableColumn id="169" xr3:uid="{31533F6E-7875-4357-B531-7ECD1310F74F}" uniqueName="169" name="cube_length_uom" queryTableFieldId="72" dataDxfId="121"/>
    <tableColumn id="170" xr3:uid="{2B19D223-E185-4D43-B63F-C97C7C8A8456}" uniqueName="170" name="cube_height_uom" queryTableFieldId="73" dataDxfId="120"/>
    <tableColumn id="171" xr3:uid="{5977AC93-5BC7-4D3C-8EFB-40F9FFAB1ABD}" uniqueName="171" name="cube_width" queryTableFieldId="74" dataDxfId="119"/>
    <tableColumn id="172" xr3:uid="{5D957F2A-47B5-40C6-987E-DB8354DF3DD3}" uniqueName="172" name="cube_length" queryTableFieldId="75" dataDxfId="118"/>
    <tableColumn id="173" xr3:uid="{0309FC9F-44AE-4E60-8E0C-D4DFFA965201}" uniqueName="173" name="cube_height" queryTableFieldId="76" dataDxfId="117"/>
    <tableColumn id="174" xr3:uid="{CE164C1D-4D93-44A8-AA6E-B6702DAC5386}" uniqueName="174" name="cube_qty_per" queryTableFieldId="77" dataDxfId="116"/>
    <tableColumn id="175" xr3:uid="{F5F1D46D-E7A5-4C1E-8356-0B1014385D6C}" uniqueName="175" name="user_def_fld_1" queryTableFieldId="78" dataDxfId="115"/>
    <tableColumn id="176" xr3:uid="{424DD8C2-A507-482D-A34C-E07A7D5DBE5C}" uniqueName="176" name="user_def_fld_2" queryTableFieldId="79" dataDxfId="114"/>
    <tableColumn id="177" xr3:uid="{FF7E0A51-D2CF-4EE7-952C-A0D9AAC40D3C}" uniqueName="177" name="user_def_fld_3" queryTableFieldId="80" dataDxfId="113"/>
    <tableColumn id="178" xr3:uid="{326340B7-CB18-406A-97F4-F43E3DEAC64E}" uniqueName="178" name="user_def_fld_5" queryTableFieldId="81" dataDxfId="112"/>
    <tableColumn id="179" xr3:uid="{97B11E0E-5771-46C1-B997-92A2D9D70AD3}" uniqueName="179" name="landed_cost_cd" queryTableFieldId="82" dataDxfId="111"/>
    <tableColumn id="180" xr3:uid="{50970E8F-98DB-4D3A-93B1-7BE01A06FCF6}" uniqueName="180" name="landed_cost_cd_2" queryTableFieldId="83" dataDxfId="110"/>
    <tableColumn id="181" xr3:uid="{0146FA41-D869-4512-869E-737306FF78FA}" uniqueName="181" name="landed_cost_cd_3" queryTableFieldId="84" dataDxfId="109"/>
    <tableColumn id="182" xr3:uid="{9AA604C6-CDEC-41B9-AAF6-CBDAE3C8C5C0}" uniqueName="182" name="landed_cost_cd_4" queryTableFieldId="85" dataDxfId="108"/>
    <tableColumn id="183" xr3:uid="{7E5171FD-663C-4B0E-959D-32B72CD8E707}" uniqueName="183" name="landed_cost_cd_5" queryTableFieldId="86" dataDxfId="107"/>
    <tableColumn id="184" xr3:uid="{F63DE695-ABB2-426E-8859-C54838506D53}" uniqueName="184" name="landed_cost_cd_6" queryTableFieldId="87" dataDxfId="106"/>
    <tableColumn id="185" xr3:uid="{7E818D47-C3E1-42F6-8E05-AF9E82E3F649}" uniqueName="185" name="landed_cost_cd_7" queryTableFieldId="88" dataDxfId="105"/>
    <tableColumn id="186" xr3:uid="{CC9A023A-CDDA-409D-98D1-D6B1531B2B11}" uniqueName="186" name="landed_cost_cd_8" queryTableFieldId="89" dataDxfId="104"/>
    <tableColumn id="187" xr3:uid="{249CA13D-BE82-49F7-A3F5-CF5E1169F8D8}" uniqueName="187" name="landed_cost_cd_9" queryTableFieldId="90" dataDxfId="103"/>
    <tableColumn id="188" xr3:uid="{C8BD4B20-A332-4FDE-9AC4-5601593BF68C}" uniqueName="188" name="landed_cost_cd_10" queryTableFieldId="91" dataDxfId="102"/>
    <tableColumn id="189" xr3:uid="{21A806B6-A226-4B61-B31A-C60581BFE164}" uniqueName="189" name="loc_qty_fld" queryTableFieldId="92" dataDxfId="101"/>
    <tableColumn id="190" xr3:uid="{B1024DD3-5A47-4F08-885F-78F56884F229}" uniqueName="190" name="tag_qty" queryTableFieldId="93" dataDxfId="100"/>
    <tableColumn id="191" xr3:uid="{BB2FB4A5-C7DE-467B-9A47-F01DAF42AA39}" uniqueName="191" name="tag_cost" queryTableFieldId="94" dataDxfId="99"/>
    <tableColumn id="192" xr3:uid="{3805ED3F-E0E0-4ACE-B540-69854460B88E}" uniqueName="192" name="tag_frz_dt" queryTableFieldId="95" dataDxfId="98"/>
    <tableColumn id="193" xr3:uid="{BCD01043-F05D-4FC0-BEC1-43CD9CE3AFBD}" uniqueName="193" name="filler_0002" queryTableFieldId="96" dataDxfId="97"/>
    <tableColumn id="194" xr3:uid="{850CE1D2-FFE2-4C88-9198-2C066545E05C}" uniqueName="194" name="extra_1" queryTableFieldId="97" dataDxfId="96"/>
    <tableColumn id="195" xr3:uid="{1E27C66C-99DA-45CD-83AD-707E85ADE607}" uniqueName="195" name="Type" queryTableFieldId="98" dataDxfId="95">
      <calculatedColumnFormula>LEFT(Table_Query_from_Mac1012[[#This Row],[item_no]],4)</calculatedColumnFormula>
    </tableColumn>
    <tableColumn id="196" xr3:uid="{ACFF459F-FF9A-4FFD-8775-24B655E8CA2F}" uniqueName="196" name="Current Value" queryTableFieldId="99" dataDxfId="94">
      <calculatedColumnFormula>Table_Query_from_Mac1012[[#This Row],[qty_on_hand]]*Table_Query_from_Mac1012[[#This Row],[std_cost]]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996AC5-CF7E-4F0B-987B-D5880094C9D5}" name="Table_Query_from_Mac106" displayName="Table_Query_from_Mac106" ref="A1:BZ9" tableType="queryTable" totalsRowShown="0" headerRowDxfId="93" dataDxfId="92">
  <autoFilter ref="A1:BZ9" xr:uid="{1039BD0D-48EC-4428-8D86-A4EFFE9D5858}"/>
  <sortState xmlns:xlrd2="http://schemas.microsoft.com/office/spreadsheetml/2017/richdata2" ref="A2:BZ9">
    <sortCondition ref="A1:A9"/>
  </sortState>
  <tableColumns count="78">
    <tableColumn id="91" xr3:uid="{D0BDA5D4-B540-4D08-8163-93FB68968B15}" uniqueName="91" name="ord_no" queryTableFieldId="1" dataDxfId="91"/>
    <tableColumn id="92" xr3:uid="{AB221036-0FA2-471D-A3CF-388C6A0D81A8}" uniqueName="92" name="line_no" queryTableFieldId="2" dataDxfId="90"/>
    <tableColumn id="93" xr3:uid="{6B15C508-C422-4E78-8229-2D28BB2EC465}" uniqueName="93" name="vend_no" queryTableFieldId="3" dataDxfId="89"/>
    <tableColumn id="94" xr3:uid="{8A2381D8-2193-4509-8317-A9F71C040C1C}" uniqueName="94" name="job_no" queryTableFieldId="4" dataDxfId="88"/>
    <tableColumn id="95" xr3:uid="{9829BBA2-71B3-4F6F-A900-01D7A0CF3BB3}" uniqueName="95" name="item_no" queryTableFieldId="5" dataDxfId="87"/>
    <tableColumn id="96" xr3:uid="{E9D80951-F8FB-46F1-A3E6-43E34F4DD31C}" uniqueName="96" name="item_desc_1" queryTableFieldId="6" dataDxfId="86"/>
    <tableColumn id="97" xr3:uid="{F8556A9C-70C2-49E7-A007-6710C7BAAD8F}" uniqueName="97" name="item_desc_12" queryTableFieldId="7" dataDxfId="85"/>
    <tableColumn id="98" xr3:uid="{9B7F07BE-4F9C-4875-A674-B7E75287BF33}" uniqueName="98" name="item_desc_2" queryTableFieldId="8" dataDxfId="84"/>
    <tableColumn id="99" xr3:uid="{B81113E9-B03A-4571-9DDF-5DBCCEB4F177}" uniqueName="99" name="vend_item_no" queryTableFieldId="9" dataDxfId="83"/>
    <tableColumn id="100" xr3:uid="{4AD34913-682A-4482-8532-D5FE7A53A439}" uniqueName="100" name="ord_status" queryTableFieldId="10" dataDxfId="82"/>
    <tableColumn id="101" xr3:uid="{7DBF1D9B-9349-41D2-8AEC-9D74D47888F4}" uniqueName="101" name="chg_cancel_cd" queryTableFieldId="11" dataDxfId="81"/>
    <tableColumn id="102" xr3:uid="{511703E3-16B2-4B6D-8A7B-D74A6068608C}" uniqueName="102" name="vend_late_cncl_fg" queryTableFieldId="12" dataDxfId="80"/>
    <tableColumn id="120" xr3:uid="{5A8915E4-5C0A-4767-A0D9-0A44411565CB}" uniqueName="120" name="std_cost" queryTableFieldId="30" dataDxfId="79"/>
    <tableColumn id="127" xr3:uid="{8722FDCC-1AEB-4A4C-9EFB-63E177CF02FC}" uniqueName="127" name="stk_loc" queryTableFieldId="37" dataDxfId="78"/>
    <tableColumn id="130" xr3:uid="{A237D14C-1F7D-4B1F-99FB-25B87374FFC8}" uniqueName="130" name="qty_ordered" queryTableFieldId="40" dataDxfId="77"/>
    <tableColumn id="134" xr3:uid="{7CB2E495-5131-4BC1-9697-EB7D0DEB65C3}" uniqueName="134" name="qty_remaining" queryTableFieldId="44" dataDxfId="76"/>
    <tableColumn id="135" xr3:uid="{D70CF95E-4AFA-4FA8-A6E0-D8208134BCCC}" uniqueName="135" name="qty_rejected" queryTableFieldId="45" dataDxfId="75"/>
    <tableColumn id="136" xr3:uid="{44798DC6-CC9F-443C-8A4B-1900FD437218}" uniqueName="136" name="qty_cancelled" queryTableFieldId="46" dataDxfId="74"/>
    <tableColumn id="137" xr3:uid="{A81FE7DB-E3F4-459F-9D0F-0882726E71E7}" uniqueName="137" name="qty_inv" queryTableFieldId="47" dataDxfId="73"/>
    <tableColumn id="138" xr3:uid="{A1C25190-FAB2-4E58-8AF4-04BC770A94BD}" uniqueName="138" name="qty_rec_insp" queryTableFieldId="48" dataDxfId="72"/>
    <tableColumn id="139" xr3:uid="{92749A42-91AF-49EF-83FA-A3AC47D377B3}" uniqueName="139" name="qty_mat_rev" queryTableFieldId="49" dataDxfId="71"/>
    <tableColumn id="140" xr3:uid="{8575E2B3-4031-4D78-851E-4A376B4180A3}" uniqueName="140" name="dollars_inv" queryTableFieldId="50" dataDxfId="70"/>
    <tableColumn id="141" xr3:uid="{1605DDD9-B978-4480-9297-546701C3E938}" uniqueName="141" name="landed_cost_fg" queryTableFieldId="51" dataDxfId="69"/>
    <tableColumn id="142" xr3:uid="{1048F4BD-BE6D-46A1-85C6-86FB9A9BD4CC}" uniqueName="142" name="req_date_chg_fg" queryTableFieldId="52" dataDxfId="68"/>
    <tableColumn id="143" xr3:uid="{9F6FD3E4-31FD-4C70-998B-6970E7F87D67}" uniqueName="143" name="request_dt" queryTableFieldId="53" dataDxfId="67"/>
    <tableColumn id="144" xr3:uid="{92DD1CAD-1573-49C0-A3B1-B8647743936C}" uniqueName="144" name="promise_dt" queryTableFieldId="54" dataDxfId="66"/>
    <tableColumn id="145" xr3:uid="{4EFBCC33-465C-4B9D-9393-9302B26C9ED0}" uniqueName="145" name="receipt_dt" queryTableFieldId="55" dataDxfId="65"/>
    <tableColumn id="146" xr3:uid="{3A263989-9F51-485A-86A3-1EC5A3A92131}" uniqueName="146" name="byr_plnr" queryTableFieldId="56" dataDxfId="64"/>
    <tableColumn id="147" xr3:uid="{C4784797-BF51-4B14-9E76-323057B0534A}" uniqueName="147" name="mrp_byr_plnr" queryTableFieldId="57" dataDxfId="63"/>
    <tableColumn id="148" xr3:uid="{22E5AD08-DF2C-4B89-B73C-9AE0866470FB}" uniqueName="148" name="rej_reason_cd" queryTableFieldId="58" dataDxfId="62"/>
    <tableColumn id="149" xr3:uid="{CAFC6CC7-A846-4AC1-AF11-93DEF4C9F504}" uniqueName="149" name="weight" queryTableFieldId="59" dataDxfId="61"/>
    <tableColumn id="150" xr3:uid="{8D7DB6E9-9366-426B-BF48-36D2986A4E5C}" uniqueName="150" name="cmt_cd_1" queryTableFieldId="60" dataDxfId="60"/>
    <tableColumn id="151" xr3:uid="{96022FBE-98DB-4A28-A8F2-C40CBE528DCE}" uniqueName="151" name="cmt_1" queryTableFieldId="61" dataDxfId="59"/>
    <tableColumn id="152" xr3:uid="{6C1E47DE-9787-4E68-B8EE-B7EA88805B52}" uniqueName="152" name="cmt_cd_2" queryTableFieldId="62" dataDxfId="58"/>
    <tableColumn id="153" xr3:uid="{CEB9863D-D107-4703-AC83-3990048475E4}" uniqueName="153" name="cmt_2" queryTableFieldId="63" dataDxfId="57"/>
    <tableColumn id="154" xr3:uid="{C44BB8B9-1F3F-4429-A747-087E7B086EA1}" uniqueName="154" name="user_def_fld_1" queryTableFieldId="64" dataDxfId="56"/>
    <tableColumn id="155" xr3:uid="{8BAC263E-D18D-49BA-A3D2-41106F3036D0}" uniqueName="155" name="user_def_fld_2" queryTableFieldId="65" dataDxfId="55"/>
    <tableColumn id="156" xr3:uid="{E025E05E-323B-446D-BB5D-403C09480096}" uniqueName="156" name="user_def_fld_3" queryTableFieldId="66" dataDxfId="54"/>
    <tableColumn id="157" xr3:uid="{F3543E89-1146-4DFF-823A-A072575A9D0F}" uniqueName="157" name="user_def_fld_4" queryTableFieldId="67" dataDxfId="53"/>
    <tableColumn id="158" xr3:uid="{4AB0680D-8ECE-4376-AFFE-215870650E4B}" uniqueName="158" name="user_def_fld_5" queryTableFieldId="68" dataDxfId="52"/>
    <tableColumn id="159" xr3:uid="{26637FA8-AB8B-4F0D-BDD4-4C380A1411AE}" uniqueName="159" name="mfg_cd_1" queryTableFieldId="69" dataDxfId="51"/>
    <tableColumn id="160" xr3:uid="{0035A0FF-D730-4646-905C-EC17D46D0A47}" uniqueName="160" name="mfg_name_1" queryTableFieldId="70" dataDxfId="50"/>
    <tableColumn id="161" xr3:uid="{C6016F20-E714-40E7-853A-789B65B254A5}" uniqueName="161" name="mfg_1_item_no" queryTableFieldId="71" dataDxfId="49"/>
    <tableColumn id="162" xr3:uid="{986D2355-EB19-4920-8880-7311F1596526}" uniqueName="162" name="mfg_1_item_no3" queryTableFieldId="72" dataDxfId="48"/>
    <tableColumn id="163" xr3:uid="{99E21FA1-C346-4733-BE9F-C7D4244ED9E4}" uniqueName="163" name="mfg_cd_2" queryTableFieldId="73" dataDxfId="47"/>
    <tableColumn id="164" xr3:uid="{559A6FFD-6FC5-4277-88C7-5BA7B09994DE}" uniqueName="164" name="mfg_name_2" queryTableFieldId="74" dataDxfId="46"/>
    <tableColumn id="165" xr3:uid="{943CE99E-F9F5-4C2B-9D21-DD2F3480ED94}" uniqueName="165" name="mfg_2_item_no" queryTableFieldId="75" dataDxfId="45"/>
    <tableColumn id="166" xr3:uid="{ECAFDD09-86FD-473A-8EB9-A558742BEB4A}" uniqueName="166" name="mfg_2_item_no4" queryTableFieldId="76" dataDxfId="44"/>
    <tableColumn id="167" xr3:uid="{F6EFD84F-E1FF-4478-84FF-F8AC931E3834}" uniqueName="167" name="mfg_cd_3" queryTableFieldId="77" dataDxfId="43"/>
    <tableColumn id="168" xr3:uid="{BBD66289-4730-4AE5-AC68-7894A4A4D2FD}" uniqueName="168" name="mfg_name_3" queryTableFieldId="78" dataDxfId="42"/>
    <tableColumn id="169" xr3:uid="{5564E1C3-07CC-4338-8ECA-0984D652AB34}" uniqueName="169" name="mfg_3_item_no" queryTableFieldId="79" dataDxfId="41"/>
    <tableColumn id="170" xr3:uid="{1ACE6914-643A-4C42-9E54-5CBF974DA52B}" uniqueName="170" name="mfg_3_item_no5" queryTableFieldId="80" dataDxfId="40"/>
    <tableColumn id="171" xr3:uid="{9735748C-534C-471E-A303-A3A5BA93945D}" uniqueName="171" name="path_no" queryTableFieldId="81" dataDxfId="39"/>
    <tableColumn id="172" xr3:uid="{C989AF50-C3DF-4604-913A-8C92130BF72B}" uniqueName="172" name="shop_dtl_seq_no" queryTableFieldId="82" dataDxfId="38"/>
    <tableColumn id="173" xr3:uid="{51BD731D-9D4F-48A2-81AE-5E81DFE975C7}" uniqueName="173" name="shop_dtl_rec_type" queryTableFieldId="83" dataDxfId="37"/>
    <tableColumn id="174" xr3:uid="{32EECD76-7E75-4C72-AD3B-446BBC90670B}" uniqueName="174" name="oe_ord_no" queryTableFieldId="84" dataDxfId="36"/>
    <tableColumn id="175" xr3:uid="{923DE33A-9BF5-4473-9AA2-4E0E44160A04}" uniqueName="175" name="var_qty_mn_no" queryTableFieldId="85" dataDxfId="35"/>
    <tableColumn id="176" xr3:uid="{6037FD8A-8391-405A-9695-09B671DEA175}" uniqueName="176" name="var_qty_sb_no" queryTableFieldId="86" dataDxfId="34"/>
    <tableColumn id="177" xr3:uid="{E518A32B-1B74-4B1B-A1F9-EBEBAC63C048}" uniqueName="177" name="var_qty_dp_no" queryTableFieldId="87" dataDxfId="33"/>
    <tableColumn id="178" xr3:uid="{91A89EB6-CAC3-46A6-8EC0-07623AAB5869}" uniqueName="178" name="oe_order_line" queryTableFieldId="88" dataDxfId="32"/>
    <tableColumn id="179" xr3:uid="{9D55297F-1290-4424-ABCD-51FF7DD547FA}" uniqueName="179" name="filler_0003" queryTableFieldId="89" dataDxfId="31"/>
    <tableColumn id="180" xr3:uid="{08CB6CA5-3B48-48AF-BB52-C11F0DB4B4D8}" uniqueName="180" name="filler_00036" queryTableFieldId="90" dataDxfId="30"/>
    <tableColumn id="1" xr3:uid="{15AC9308-CE38-492B-83C7-D4831405117A}" uniqueName="1" name="ord_status7" queryTableFieldId="91" dataDxfId="29"/>
    <tableColumn id="2" xr3:uid="{BA28599F-38A0-4FF6-B23A-07B082767E8D}" uniqueName="2" name="vend_name" queryTableFieldId="92" dataDxfId="28"/>
    <tableColumn id="16" xr3:uid="{30588669-8550-4D01-A9DB-6ADF5CE74479}" uniqueName="16" name="ord_dt" queryTableFieldId="106" dataDxfId="27"/>
    <tableColumn id="3" xr3:uid="{60877DDE-2C94-4706-A054-8FF21499033A}" uniqueName="3" name="Type" queryTableFieldId="93" dataDxfId="26"/>
    <tableColumn id="4" xr3:uid="{47FAE668-00D0-42FF-A629-71DC5CCB826B}" uniqueName="4" name="Year" queryTableFieldId="94" dataDxfId="25">
      <calculatedColumnFormula>YEAR(Table_Query_from_Mac106[[#This Row],[request_dt]])</calculatedColumnFormula>
    </tableColumn>
    <tableColumn id="5" xr3:uid="{AA936E72-3618-4310-8578-CB7FADCFA7BA}" uniqueName="5" name="Month" queryTableFieldId="95" dataDxfId="24">
      <calculatedColumnFormula>MONTH(Table_Query_from_Mac106[[#This Row],[request_dt]])</calculatedColumnFormula>
    </tableColumn>
    <tableColumn id="6" xr3:uid="{9B31B803-0217-4CAA-8AC7-C23DFEDF1426}" uniqueName="6" name="Date" queryTableFieldId="96" dataDxfId="23">
      <calculatedColumnFormula>DAY(Table_Query_from_Mac106[[#This Row],[request_dt]])</calculatedColumnFormula>
    </tableColumn>
    <tableColumn id="7" xr3:uid="{7DBA8A26-7D5B-44D8-9353-3B0665870D8F}" uniqueName="7" name="Need-by Date" queryTableFieldId="97" dataDxfId="22">
      <calculatedColumnFormula>DATE(Table_Query_from_Mac106[[#This Row],[Year]],Table_Query_from_Mac106[[#This Row],[Month]],Table_Query_from_Mac106[[#This Row],[Date]])</calculatedColumnFormula>
    </tableColumn>
    <tableColumn id="8" xr3:uid="{27777183-F182-4975-8DB8-F21BE7C0A05B}" uniqueName="8" name="Pyear" queryTableFieldId="98" dataDxfId="21">
      <calculatedColumnFormula>YEAR(Table_Query_from_Mac106[[#This Row],[promise_dt]])</calculatedColumnFormula>
    </tableColumn>
    <tableColumn id="9" xr3:uid="{AFF849A6-D37B-4B92-88E8-C942FDBFCEEB}" uniqueName="9" name="Pmonth" queryTableFieldId="99" dataDxfId="20">
      <calculatedColumnFormula>MONTH(Table_Query_from_Mac106[[#This Row],[promise_dt]])</calculatedColumnFormula>
    </tableColumn>
    <tableColumn id="10" xr3:uid="{6B248B27-97DE-4DAA-AF0B-4968C3822D1A}" uniqueName="10" name="Pdate" queryTableFieldId="100" dataDxfId="19">
      <calculatedColumnFormula>DAY(Table_Query_from_Mac106[[#This Row],[promise_dt]])</calculatedColumnFormula>
    </tableColumn>
    <tableColumn id="11" xr3:uid="{AEA7356C-C886-4B91-A791-6787E3D01BE9}" uniqueName="11" name="Promise Date" queryTableFieldId="101" dataDxfId="18">
      <calculatedColumnFormula>IFERROR(DATE(Table_Query_from_Mac106[[#This Row],[Pyear]],Table_Query_from_Mac106[[#This Row],[Pmonth]],Table_Query_from_Mac106[[#This Row],[Pdate]]),"Confirm")</calculatedColumnFormula>
    </tableColumn>
    <tableColumn id="12" xr3:uid="{3372B72A-EE31-4E4D-AE8B-AC408C212285}" uniqueName="12" name="Year2" queryTableFieldId="102" dataDxfId="17">
      <calculatedColumnFormula>YEAR(Table_Query_from_Mac106[[#This Row],[ord_dt]])</calculatedColumnFormula>
    </tableColumn>
    <tableColumn id="13" xr3:uid="{2C5E9A79-3917-4CC2-9FC8-995157EFBE1D}" uniqueName="13" name="Month2" queryTableFieldId="103" dataDxfId="16"/>
    <tableColumn id="14" xr3:uid="{9E969BEA-BFDC-45C1-8533-6556EFCB07EE}" uniqueName="14" name="Date2" queryTableFieldId="104" dataDxfId="15"/>
    <tableColumn id="15" xr3:uid="{0334EC91-2CA4-421C-94EB-FCBDC0F2C3E2}" uniqueName="15" name="Order Date" queryTableFieldId="105" dataDxfId="14">
      <calculatedColumnFormula>Table_Query_from_Mac106[[#This Row],[ord_dt]]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751F62-957C-43A0-BFEF-3C47E9361637}" name="Table_Query_from_Mac105" displayName="Table_Query_from_Mac105" ref="A1:L12" tableType="queryTable" totalsRowShown="0" headerRowDxfId="13" dataDxfId="12">
  <autoFilter ref="A1:L12" xr:uid="{447DE148-BF49-4416-9BD7-3F1B4FE7ED86}"/>
  <tableColumns count="12">
    <tableColumn id="1" xr3:uid="{E11C31DC-1D71-4913-8964-E689DC94D4F6}" uniqueName="1" name="item_no" queryTableFieldId="1" dataDxfId="11"/>
    <tableColumn id="2" xr3:uid="{A16F0A90-8DD9-43C6-B2D1-325978F9CDC9}" uniqueName="2" name="loc" queryTableFieldId="2" dataDxfId="10"/>
    <tableColumn id="3" xr3:uid="{4400B5D1-DE2B-4B88-A0F7-644F65E8BD59}" uniqueName="3" name="Avg_Qty_60" queryTableFieldId="3" dataDxfId="9"/>
    <tableColumn id="4" xr3:uid="{52690E7E-5CF7-4893-A984-3594C559E9F8}" uniqueName="4" name="Avg_Qty_30" queryTableFieldId="4" dataDxfId="8"/>
    <tableColumn id="5" xr3:uid="{9B8E07CC-DA1E-4065-8D8D-231C3F831C93}" uniqueName="5" name="Avg_Qty_14" queryTableFieldId="5" dataDxfId="7"/>
    <tableColumn id="6" xr3:uid="{A6432DFE-027D-4FAB-9D8B-72AFD22EB435}" uniqueName="6" name="Averagw" queryTableFieldId="6" dataDxfId="6">
      <calculatedColumnFormula>IFERROR(IF(VLOOKUP(Table_Query_from_Mac105[[#This Row],[loc]],$Q$1:$R$4,2,FALSE)=1,AVERAGE(Table_Query_from_Mac105[[#This Row],[Avg_Qty_60]:[Avg_Qty_14]]),IF(VLOOKUP(Table_Query_from_Mac105[[#This Row],[loc]],$Q$1:$R$4,2,FALSE)=2,Table_Query_from_Mac105[[#This Row],[30/14]],IF(VLOOKUP(Table_Query_from_Mac105[[#This Row],[loc]],$Q$1:$R$4,2,FALSE)=3,Table_Query_from_Mac105[[#This Row],[60/14]],IF(VLOOKUP(Table_Query_from_Mac105[[#This Row],[loc]],$Q$1:$R$4,2,FALSE)=4,MAX(Table_Query_from_Mac105[[#This Row],[all]:[60/30]]),IF(VLOOKUP(Table_Query_from_Mac105[[#This Row],[loc]],$Q$1:$R$4,2,FALSE)=5,MIN(Table_Query_from_Mac105[[#This Row],[all]:[60/30]]),"broken"))))),0)</calculatedColumnFormula>
    </tableColumn>
    <tableColumn id="7" xr3:uid="{3187D76F-C190-4240-8672-0D5BF91E82CD}" uniqueName="7" name="all" queryTableFieldId="7" dataDxfId="5">
      <calculatedColumnFormula>IFERROR(AVERAGE(Table_Query_from_Mac105[[#This Row],[Avg_Qty_60]:[Avg_Qty_14]]),0)</calculatedColumnFormula>
    </tableColumn>
    <tableColumn id="8" xr3:uid="{637839F0-CA0B-46A6-85E6-6DEA91409377}" uniqueName="8" name="30/14" queryTableFieldId="8" dataDxfId="4">
      <calculatedColumnFormula>IFERROR(AVERAGE(Table_Query_from_Mac105[[#This Row],[Avg_Qty_30]:[Avg_Qty_14]]),0)</calculatedColumnFormula>
    </tableColumn>
    <tableColumn id="9" xr3:uid="{6C816D80-EEED-43D8-9E9C-95C0E5B07E7F}" uniqueName="9" name="60/14" queryTableFieldId="9" dataDxfId="3">
      <calculatedColumnFormula>IFERROR(AVERAGE(Table_Query_from_Mac105[[#This Row],[Avg_Qty_60]],Table_Query_from_Mac105[[#This Row],[Avg_Qty_14]]),0)</calculatedColumnFormula>
    </tableColumn>
    <tableColumn id="10" xr3:uid="{40FA3BE7-A271-4C07-8BBA-01D20A1ED2C5}" uniqueName="10" name="60/30" queryTableFieldId="10" dataDxfId="2">
      <calculatedColumnFormula>IFERROR(AVERAGE(Table_Query_from_Mac105[[#This Row],[Avg_Qty_60]],Table_Query_from_Mac105[[#This Row],[Avg_Qty_30]]),0)</calculatedColumnFormula>
    </tableColumn>
    <tableColumn id="11" xr3:uid="{4A0083C8-818D-4122-B125-A122C6E7A2B6}" uniqueName="11" name="Column5" queryTableFieldId="11" dataDxfId="1"/>
    <tableColumn id="12" xr3:uid="{9BBB6574-CE1D-4DE7-91A3-D6EAC4826110}" uniqueName="12" name="Column6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W65"/>
  <sheetViews>
    <sheetView workbookViewId="0">
      <selection activeCell="H2" sqref="H2"/>
    </sheetView>
  </sheetViews>
  <sheetFormatPr defaultRowHeight="15" x14ac:dyDescent="0.25"/>
  <cols>
    <col min="1" max="1" width="6.42578125" customWidth="1"/>
    <col min="2" max="2" width="11.85546875" customWidth="1"/>
    <col min="3" max="3" width="9.7109375" customWidth="1"/>
    <col min="4" max="4" width="7.5703125" customWidth="1"/>
    <col min="5" max="6" width="7.85546875" customWidth="1"/>
    <col min="7" max="7" width="7.28515625" customWidth="1"/>
    <col min="8" max="8" width="6.85546875" customWidth="1"/>
    <col min="9" max="9" width="13" customWidth="1"/>
    <col min="10" max="10" width="5.5703125" customWidth="1"/>
    <col min="11" max="11" width="10.5703125" customWidth="1"/>
    <col min="12" max="12" width="11.7109375" customWidth="1"/>
    <col min="13" max="13" width="10.5703125" customWidth="1"/>
    <col min="14" max="14" width="1.5703125" customWidth="1"/>
    <col min="15" max="15" width="9.42578125" customWidth="1"/>
    <col min="16" max="16" width="7.85546875" customWidth="1"/>
    <col min="17" max="17" width="7.5703125" customWidth="1"/>
    <col min="18" max="19" width="10.42578125" customWidth="1"/>
    <col min="20" max="20" width="11.28515625" customWidth="1"/>
    <col min="22" max="22" width="10.5703125" bestFit="1" customWidth="1"/>
  </cols>
  <sheetData>
    <row r="1" spans="1:23" ht="81.75" customHeight="1" thickBot="1" x14ac:dyDescent="0.3">
      <c r="A1" s="2" t="s">
        <v>179</v>
      </c>
      <c r="B1" s="2" t="s">
        <v>180</v>
      </c>
      <c r="C1" s="2" t="s">
        <v>187</v>
      </c>
      <c r="D1" s="2" t="s">
        <v>193</v>
      </c>
      <c r="E1" s="2" t="s">
        <v>192</v>
      </c>
      <c r="F1" s="2" t="s">
        <v>191</v>
      </c>
      <c r="G1" s="2" t="s">
        <v>177</v>
      </c>
      <c r="H1" s="2" t="s">
        <v>190</v>
      </c>
      <c r="I1" s="2" t="s">
        <v>195</v>
      </c>
      <c r="J1" s="2" t="s">
        <v>189</v>
      </c>
      <c r="K1" s="2" t="s">
        <v>184</v>
      </c>
      <c r="L1" s="2" t="s">
        <v>185</v>
      </c>
      <c r="M1" s="2" t="s">
        <v>186</v>
      </c>
      <c r="N1" s="3" t="s">
        <v>183</v>
      </c>
      <c r="O1" s="2" t="s">
        <v>196</v>
      </c>
      <c r="P1" s="2" t="s">
        <v>194</v>
      </c>
      <c r="Q1" s="2" t="s">
        <v>188</v>
      </c>
      <c r="R1" s="2" t="s">
        <v>181</v>
      </c>
      <c r="S1" s="2" t="s">
        <v>170</v>
      </c>
      <c r="T1" s="2" t="s">
        <v>178</v>
      </c>
    </row>
    <row r="2" spans="1:23" x14ac:dyDescent="0.25">
      <c r="A2" t="e">
        <f>MAX(#REF!)</f>
        <v>#REF!</v>
      </c>
      <c r="B2" s="4" t="e">
        <f>INDEX(#REF!,MATCH(Summary!A2,#REF!,0))</f>
        <v>#REF!</v>
      </c>
      <c r="C2" s="5">
        <f>IFERROR(SUMIFS(#REF!,#REF!,Summary!B2),0)</f>
        <v>0</v>
      </c>
      <c r="D2" s="6">
        <f>IFERROR(INDEX(#REF!,MATCH(Summary!$B2,#REF!,0)),0)</f>
        <v>0</v>
      </c>
      <c r="E2" s="6" t="e">
        <f>INDEX(#REF!,MATCH(Summary!$B2,#REF!,0))</f>
        <v>#REF!</v>
      </c>
      <c r="F2" s="6" t="e">
        <f>INDEX(#REF!,MATCH(Summary!$B2,#REF!,0))</f>
        <v>#REF!</v>
      </c>
      <c r="G2" s="6" t="e">
        <f>INDEX(#REF!,MATCH(Summary!$B2,#REF!,0))</f>
        <v>#REF!</v>
      </c>
      <c r="H2" s="6" t="e">
        <f>INDEX(#REF!,MATCH(Summary!$B2,#REF!,0))</f>
        <v>#REF!</v>
      </c>
      <c r="I2" s="24" t="e">
        <f>INDEX(#REF!,MATCH(Summary!B2,#REF!,0))</f>
        <v>#REF!</v>
      </c>
      <c r="J2" s="22" t="e">
        <f>INDEX(#REF!,MATCH(Summary!$B2,#REF!,0))</f>
        <v>#REF!</v>
      </c>
      <c r="K2" s="7" t="e">
        <f>SUMIFS(#REF!,#REF!,Summary!B2)</f>
        <v>#REF!</v>
      </c>
      <c r="L2" s="21" t="e">
        <f>INDEX(#REF!,MATCH(Summary!B2,#REF!,0))</f>
        <v>#REF!</v>
      </c>
      <c r="M2" s="8" t="e">
        <f>IF(J2&gt;1,INDEX(#REF!,MATCH(Summary!B2,#REF!,0)),"")</f>
        <v>#REF!</v>
      </c>
      <c r="O2" s="23" t="e">
        <f>INDEX(#REF!,MATCH(Summary!B2,#REF!,0))</f>
        <v>#REF!</v>
      </c>
      <c r="P2" s="23" t="e">
        <f>INDEX(#REF!,MATCH(Summary!B2,#REF!,0))</f>
        <v>#REF!</v>
      </c>
      <c r="Q2" s="7">
        <f>IFERROR(SUMIFS(#REF!,#REF!,Summary!B2),0)</f>
        <v>0</v>
      </c>
      <c r="R2" s="8" t="str">
        <f>IFERROR(INDEX(#REF!,MATCH(Summary!$B2,#REF!,0)),"")</f>
        <v/>
      </c>
      <c r="S2" s="8" t="e">
        <f>INDEX(#REF!,MATCH(Summary!B2,#REF!,0))</f>
        <v>#REF!</v>
      </c>
      <c r="T2" s="8" t="str">
        <f>IFERROR(INDEX(#REF!,MATCH(Summary!$B2,#REF!,0)),"")</f>
        <v/>
      </c>
      <c r="V2" s="1" t="e">
        <f ca="1">TODAY()+G2+I2</f>
        <v>#REF!</v>
      </c>
      <c r="W2" t="e">
        <f ca="1">NETWORKDAYS(TODAY(),TODAY()+I2)</f>
        <v>#REF!</v>
      </c>
    </row>
    <row r="3" spans="1:23" x14ac:dyDescent="0.25">
      <c r="A3" t="e">
        <f t="shared" ref="A3:A34" si="0">IF(AND(A2&gt;1,A2&lt;&gt;""),A2-1,"")</f>
        <v>#REF!</v>
      </c>
      <c r="B3" s="9" t="e">
        <f>INDEX(#REF!,MATCH(Summary!A3,#REF!,0))</f>
        <v>#REF!</v>
      </c>
      <c r="C3" s="10">
        <f>IFERROR(SUMIFS(#REF!,#REF!,Summary!B3),0)</f>
        <v>0</v>
      </c>
      <c r="D3" s="11">
        <f>IFERROR(INDEX(#REF!,MATCH(Summary!$B3,#REF!,0)),0)</f>
        <v>0</v>
      </c>
      <c r="E3" s="11" t="e">
        <f>INDEX(#REF!,MATCH(Summary!$B3,#REF!,0))</f>
        <v>#REF!</v>
      </c>
      <c r="F3" s="11" t="e">
        <f>INDEX(#REF!,MATCH(Summary!$B3,#REF!,0))</f>
        <v>#REF!</v>
      </c>
      <c r="G3" s="11" t="e">
        <f>INDEX(#REF!,MATCH(Summary!$B3,#REF!,0))</f>
        <v>#REF!</v>
      </c>
      <c r="H3" s="11" t="e">
        <f>INDEX(#REF!,MATCH(Summary!$B3,#REF!,0))</f>
        <v>#REF!</v>
      </c>
      <c r="I3" s="11" t="e">
        <f>INDEX(#REF!,MATCH(Summary!B3,#REF!,0))</f>
        <v>#REF!</v>
      </c>
      <c r="J3" s="12" t="e">
        <f>INDEX(#REF!,MATCH(Summary!$B3,#REF!,0))</f>
        <v>#REF!</v>
      </c>
      <c r="K3" s="12" t="e">
        <f>SUMIFS(#REF!,#REF!,Summary!B3)</f>
        <v>#REF!</v>
      </c>
      <c r="L3" s="13" t="e">
        <f>INDEX(#REF!,MATCH(Summary!B3,#REF!,0))</f>
        <v>#REF!</v>
      </c>
      <c r="M3" s="14" t="e">
        <f>IF(J3&gt;1,INDEX(#REF!,MATCH(Summary!B3,#REF!,0)),"")</f>
        <v>#REF!</v>
      </c>
      <c r="O3" s="20" t="e">
        <f>INDEX(#REF!,MATCH(Summary!B3,#REF!,0))</f>
        <v>#REF!</v>
      </c>
      <c r="P3" s="20" t="e">
        <f>INDEX(#REF!,MATCH(Summary!B3,#REF!,0))</f>
        <v>#REF!</v>
      </c>
      <c r="Q3" s="12">
        <f>IFERROR(SUMIFS(#REF!,#REF!,Summary!B3),0)</f>
        <v>0</v>
      </c>
      <c r="R3" s="14" t="str">
        <f>IFERROR(INDEX(#REF!,MATCH(Summary!$B3,#REF!,0)),"")</f>
        <v/>
      </c>
      <c r="S3" s="14" t="e">
        <f>INDEX(#REF!,MATCH(Summary!B3,#REF!,0))</f>
        <v>#REF!</v>
      </c>
      <c r="T3" s="14" t="str">
        <f>IFERROR(INDEX(#REF!,MATCH(Summary!$B3,#REF!,0)),"")</f>
        <v/>
      </c>
      <c r="U3" t="e">
        <f>O3/H3</f>
        <v>#REF!</v>
      </c>
    </row>
    <row r="4" spans="1:23" x14ac:dyDescent="0.25">
      <c r="A4" t="e">
        <f t="shared" si="0"/>
        <v>#REF!</v>
      </c>
      <c r="B4" s="9" t="e">
        <f>INDEX(#REF!,MATCH(Summary!A4,#REF!,0))</f>
        <v>#REF!</v>
      </c>
      <c r="C4" s="10">
        <f>IFERROR(SUMIFS(#REF!,#REF!,Summary!B4),0)</f>
        <v>0</v>
      </c>
      <c r="D4" s="11">
        <f>IFERROR(INDEX(#REF!,MATCH(Summary!$B4,#REF!,0)),0)</f>
        <v>0</v>
      </c>
      <c r="E4" s="11" t="e">
        <f>INDEX(#REF!,MATCH(Summary!$B4,#REF!,0))</f>
        <v>#REF!</v>
      </c>
      <c r="F4" s="11" t="e">
        <f>INDEX(#REF!,MATCH(Summary!$B4,#REF!,0))</f>
        <v>#REF!</v>
      </c>
      <c r="G4" s="11" t="e">
        <f>INDEX(#REF!,MATCH(Summary!$B4,#REF!,0))</f>
        <v>#REF!</v>
      </c>
      <c r="H4" s="11" t="e">
        <f>INDEX(#REF!,MATCH(Summary!$B4,#REF!,0))</f>
        <v>#REF!</v>
      </c>
      <c r="I4" s="11" t="e">
        <f>INDEX(#REF!,MATCH(Summary!B4,#REF!,0))</f>
        <v>#REF!</v>
      </c>
      <c r="J4" s="12" t="e">
        <f>INDEX(#REF!,MATCH(Summary!$B4,#REF!,0))</f>
        <v>#REF!</v>
      </c>
      <c r="K4" s="12" t="e">
        <f>SUMIFS(#REF!,#REF!,Summary!B4)</f>
        <v>#REF!</v>
      </c>
      <c r="L4" s="13" t="e">
        <f>INDEX(#REF!,MATCH(Summary!B4,#REF!,0))</f>
        <v>#REF!</v>
      </c>
      <c r="M4" s="14" t="e">
        <f>IF(J4&gt;1,INDEX(#REF!,MATCH(Summary!B4,#REF!,0)),"")</f>
        <v>#REF!</v>
      </c>
      <c r="O4" s="20" t="e">
        <f>INDEX(#REF!,MATCH(Summary!B4,#REF!,0))</f>
        <v>#REF!</v>
      </c>
      <c r="P4" s="20" t="e">
        <f>INDEX(#REF!,MATCH(Summary!B4,#REF!,0))</f>
        <v>#REF!</v>
      </c>
      <c r="Q4" s="12">
        <f>IFERROR(SUMIFS(#REF!,#REF!,Summary!B4),0)</f>
        <v>0</v>
      </c>
      <c r="R4" s="14" t="str">
        <f>IFERROR(INDEX(#REF!,MATCH(Summary!$B4,#REF!,0)),"")</f>
        <v/>
      </c>
      <c r="S4" s="14" t="e">
        <f>INDEX(#REF!,MATCH(Summary!B4,#REF!,0))</f>
        <v>#REF!</v>
      </c>
      <c r="T4" s="14" t="str">
        <f>IFERROR(INDEX(#REF!,MATCH(Summary!$B4,#REF!,0)),"")</f>
        <v/>
      </c>
      <c r="U4" t="e">
        <f>O4/H4</f>
        <v>#REF!</v>
      </c>
    </row>
    <row r="5" spans="1:23" x14ac:dyDescent="0.25">
      <c r="A5" t="e">
        <f t="shared" si="0"/>
        <v>#REF!</v>
      </c>
      <c r="B5" s="9" t="e">
        <f>INDEX(#REF!,MATCH(Summary!A5,#REF!,0))</f>
        <v>#REF!</v>
      </c>
      <c r="C5" s="10">
        <f>IFERROR(SUMIFS(#REF!,#REF!,Summary!B5),0)</f>
        <v>0</v>
      </c>
      <c r="D5" s="11">
        <f>IFERROR(INDEX(#REF!,MATCH(Summary!$B5,#REF!,0)),0)</f>
        <v>0</v>
      </c>
      <c r="E5" s="11" t="e">
        <f>INDEX(#REF!,MATCH(Summary!$B5,#REF!,0))</f>
        <v>#REF!</v>
      </c>
      <c r="F5" s="11" t="e">
        <f>INDEX(#REF!,MATCH(Summary!$B5,#REF!,0))</f>
        <v>#REF!</v>
      </c>
      <c r="G5" s="11" t="e">
        <f>INDEX(#REF!,MATCH(Summary!$B5,#REF!,0))</f>
        <v>#REF!</v>
      </c>
      <c r="H5" s="11" t="e">
        <f>INDEX(#REF!,MATCH(Summary!$B5,#REF!,0))</f>
        <v>#REF!</v>
      </c>
      <c r="I5" s="11" t="e">
        <f>INDEX(#REF!,MATCH(Summary!B5,#REF!,0))</f>
        <v>#REF!</v>
      </c>
      <c r="J5" s="12" t="e">
        <f>INDEX(#REF!,MATCH(Summary!$B5,#REF!,0))</f>
        <v>#REF!</v>
      </c>
      <c r="K5" s="12" t="e">
        <f>SUMIFS(#REF!,#REF!,Summary!B5)</f>
        <v>#REF!</v>
      </c>
      <c r="L5" s="13" t="e">
        <f>INDEX(#REF!,MATCH(Summary!B5,#REF!,0))</f>
        <v>#REF!</v>
      </c>
      <c r="M5" s="14" t="e">
        <f>IF(J5&gt;1,INDEX(#REF!,MATCH(Summary!B5,#REF!,0)),"")</f>
        <v>#REF!</v>
      </c>
      <c r="O5" s="20" t="e">
        <f>INDEX(#REF!,MATCH(Summary!B5,#REF!,0))</f>
        <v>#REF!</v>
      </c>
      <c r="P5" s="20" t="e">
        <f>INDEX(#REF!,MATCH(Summary!B5,#REF!,0))</f>
        <v>#REF!</v>
      </c>
      <c r="Q5" s="12">
        <f>IFERROR(SUMIFS(#REF!,#REF!,Summary!B5),0)</f>
        <v>0</v>
      </c>
      <c r="R5" s="14" t="str">
        <f>IFERROR(INDEX(#REF!,MATCH(Summary!$B5,#REF!,0)),"")</f>
        <v/>
      </c>
      <c r="S5" s="14" t="e">
        <f>INDEX(#REF!,MATCH(Summary!B5,#REF!,0))</f>
        <v>#REF!</v>
      </c>
      <c r="T5" s="14" t="str">
        <f>IFERROR(INDEX(#REF!,MATCH(Summary!$B5,#REF!,0)),"")</f>
        <v/>
      </c>
      <c r="U5" t="e">
        <f>O5/H5</f>
        <v>#REF!</v>
      </c>
    </row>
    <row r="6" spans="1:23" x14ac:dyDescent="0.25">
      <c r="A6" t="e">
        <f t="shared" si="0"/>
        <v>#REF!</v>
      </c>
      <c r="B6" s="9" t="e">
        <f>INDEX(#REF!,MATCH(Summary!A6,#REF!,0))</f>
        <v>#REF!</v>
      </c>
      <c r="C6" s="10">
        <f>IFERROR(SUMIFS(#REF!,#REF!,Summary!B6),0)</f>
        <v>0</v>
      </c>
      <c r="D6" s="11">
        <f>IFERROR(INDEX(#REF!,MATCH(Summary!$B6,#REF!,0)),0)</f>
        <v>0</v>
      </c>
      <c r="E6" s="11" t="e">
        <f>INDEX(#REF!,MATCH(Summary!$B6,#REF!,0))</f>
        <v>#REF!</v>
      </c>
      <c r="F6" s="11" t="e">
        <f>INDEX(#REF!,MATCH(Summary!$B6,#REF!,0))</f>
        <v>#REF!</v>
      </c>
      <c r="G6" s="11" t="e">
        <f>INDEX(#REF!,MATCH(Summary!$B6,#REF!,0))</f>
        <v>#REF!</v>
      </c>
      <c r="H6" s="11" t="e">
        <f>INDEX(#REF!,MATCH(Summary!$B6,#REF!,0))</f>
        <v>#REF!</v>
      </c>
      <c r="I6" s="11" t="e">
        <f>INDEX(#REF!,MATCH(Summary!B6,#REF!,0))</f>
        <v>#REF!</v>
      </c>
      <c r="J6" s="12" t="e">
        <f>INDEX(#REF!,MATCH(Summary!$B6,#REF!,0))</f>
        <v>#REF!</v>
      </c>
      <c r="K6" s="12" t="e">
        <f>SUMIFS(#REF!,#REF!,Summary!B6)</f>
        <v>#REF!</v>
      </c>
      <c r="L6" s="13" t="e">
        <f>INDEX(#REF!,MATCH(Summary!B6,#REF!,0))</f>
        <v>#REF!</v>
      </c>
      <c r="M6" s="14" t="e">
        <f>IF(J6&gt;1,INDEX(#REF!,MATCH(Summary!B6,#REF!,0)),"")</f>
        <v>#REF!</v>
      </c>
      <c r="O6" s="20" t="e">
        <f>INDEX(#REF!,MATCH(Summary!B6,#REF!,0))</f>
        <v>#REF!</v>
      </c>
      <c r="P6" s="20" t="e">
        <f>INDEX(#REF!,MATCH(Summary!B6,#REF!,0))</f>
        <v>#REF!</v>
      </c>
      <c r="Q6" s="12">
        <f>IFERROR(SUMIFS(#REF!,#REF!,Summary!B6),0)</f>
        <v>0</v>
      </c>
      <c r="R6" s="14" t="str">
        <f>IFERROR(INDEX(#REF!,MATCH(Summary!$B6,#REF!,0)),"")</f>
        <v/>
      </c>
      <c r="S6" s="14" t="e">
        <f>INDEX(#REF!,MATCH(Summary!B6,#REF!,0))</f>
        <v>#REF!</v>
      </c>
      <c r="T6" s="14" t="str">
        <f>IFERROR(INDEX(#REF!,MATCH(Summary!$B6,#REF!,0)),"")</f>
        <v/>
      </c>
      <c r="U6" t="e">
        <f>O6/H6</f>
        <v>#REF!</v>
      </c>
    </row>
    <row r="7" spans="1:23" x14ac:dyDescent="0.25">
      <c r="A7" t="e">
        <f t="shared" si="0"/>
        <v>#REF!</v>
      </c>
      <c r="B7" s="9" t="e">
        <f>INDEX(#REF!,MATCH(Summary!A7,#REF!,0))</f>
        <v>#REF!</v>
      </c>
      <c r="C7" s="10">
        <f>IFERROR(SUMIFS(#REF!,#REF!,Summary!B7),0)</f>
        <v>0</v>
      </c>
      <c r="D7" s="11">
        <f>IFERROR(INDEX(#REF!,MATCH(Summary!$B7,#REF!,0)),0)</f>
        <v>0</v>
      </c>
      <c r="E7" s="11" t="e">
        <f>INDEX(#REF!,MATCH(Summary!$B7,#REF!,0))</f>
        <v>#REF!</v>
      </c>
      <c r="F7" s="11" t="e">
        <f>INDEX(#REF!,MATCH(Summary!$B7,#REF!,0))</f>
        <v>#REF!</v>
      </c>
      <c r="G7" s="11" t="e">
        <f>INDEX(#REF!,MATCH(Summary!$B7,#REF!,0))</f>
        <v>#REF!</v>
      </c>
      <c r="H7" s="11" t="e">
        <f>INDEX(#REF!,MATCH(Summary!$B7,#REF!,0))</f>
        <v>#REF!</v>
      </c>
      <c r="I7" s="11" t="e">
        <f>INDEX(#REF!,MATCH(Summary!B7,#REF!,0))</f>
        <v>#REF!</v>
      </c>
      <c r="J7" s="12" t="e">
        <f>INDEX(#REF!,MATCH(Summary!$B7,#REF!,0))</f>
        <v>#REF!</v>
      </c>
      <c r="K7" s="12" t="e">
        <f>SUMIFS(#REF!,#REF!,Summary!B7)</f>
        <v>#REF!</v>
      </c>
      <c r="L7" s="13" t="e">
        <f>INDEX(#REF!,MATCH(Summary!B7,#REF!,0))</f>
        <v>#REF!</v>
      </c>
      <c r="M7" s="14" t="e">
        <f>IF(J7&gt;1,INDEX(#REF!,MATCH(Summary!B7,#REF!,0)),"")</f>
        <v>#REF!</v>
      </c>
      <c r="O7" s="20" t="e">
        <f>INDEX(#REF!,MATCH(Summary!B7,#REF!,0))</f>
        <v>#REF!</v>
      </c>
      <c r="P7" s="20" t="e">
        <f>INDEX(#REF!,MATCH(Summary!B7,#REF!,0))</f>
        <v>#REF!</v>
      </c>
      <c r="Q7" s="12">
        <f>IFERROR(SUMIFS(#REF!,#REF!,Summary!B7),0)</f>
        <v>0</v>
      </c>
      <c r="R7" s="14" t="str">
        <f>IFERROR(INDEX(#REF!,MATCH(Summary!$B7,#REF!,0)),"")</f>
        <v/>
      </c>
      <c r="S7" s="14" t="e">
        <f>INDEX(#REF!,MATCH(Summary!B7,#REF!,0))</f>
        <v>#REF!</v>
      </c>
      <c r="T7" s="14" t="str">
        <f>IFERROR(INDEX(#REF!,MATCH(Summary!$B7,#REF!,0)),"")</f>
        <v/>
      </c>
    </row>
    <row r="8" spans="1:23" x14ac:dyDescent="0.25">
      <c r="A8" t="e">
        <f t="shared" si="0"/>
        <v>#REF!</v>
      </c>
      <c r="B8" s="9" t="e">
        <f>INDEX(#REF!,MATCH(Summary!A8,#REF!,0))</f>
        <v>#REF!</v>
      </c>
      <c r="C8" s="10">
        <f>IFERROR(SUMIFS(#REF!,#REF!,Summary!B8),0)</f>
        <v>0</v>
      </c>
      <c r="D8" s="11">
        <f>IFERROR(INDEX(#REF!,MATCH(Summary!$B8,#REF!,0)),0)</f>
        <v>0</v>
      </c>
      <c r="E8" s="11" t="e">
        <f>INDEX(#REF!,MATCH(Summary!$B8,#REF!,0))</f>
        <v>#REF!</v>
      </c>
      <c r="F8" s="11" t="e">
        <f>INDEX(#REF!,MATCH(Summary!$B8,#REF!,0))</f>
        <v>#REF!</v>
      </c>
      <c r="G8" s="11" t="e">
        <f>INDEX(#REF!,MATCH(Summary!$B8,#REF!,0))</f>
        <v>#REF!</v>
      </c>
      <c r="H8" s="11" t="e">
        <f>INDEX(#REF!,MATCH(Summary!$B8,#REF!,0))</f>
        <v>#REF!</v>
      </c>
      <c r="I8" s="11" t="e">
        <f>INDEX(#REF!,MATCH(Summary!B8,#REF!,0))</f>
        <v>#REF!</v>
      </c>
      <c r="J8" s="12" t="e">
        <f>INDEX(#REF!,MATCH(Summary!$B8,#REF!,0))</f>
        <v>#REF!</v>
      </c>
      <c r="K8" s="12" t="e">
        <f>SUMIFS(#REF!,#REF!,Summary!B8)</f>
        <v>#REF!</v>
      </c>
      <c r="L8" s="13" t="e">
        <f>INDEX(#REF!,MATCH(Summary!B8,#REF!,0))</f>
        <v>#REF!</v>
      </c>
      <c r="M8" s="14" t="e">
        <f>IF(J8&gt;1,INDEX(#REF!,MATCH(Summary!B8,#REF!,0)),"")</f>
        <v>#REF!</v>
      </c>
      <c r="O8" s="20" t="e">
        <f>INDEX(#REF!,MATCH(Summary!B8,#REF!,0))</f>
        <v>#REF!</v>
      </c>
      <c r="P8" s="20" t="e">
        <f>INDEX(#REF!,MATCH(Summary!B8,#REF!,0))</f>
        <v>#REF!</v>
      </c>
      <c r="Q8" s="12">
        <f>IFERROR(SUMIFS(#REF!,#REF!,Summary!B8),0)</f>
        <v>0</v>
      </c>
      <c r="R8" s="14" t="str">
        <f>IFERROR(INDEX(#REF!,MATCH(Summary!$B8,#REF!,0)),"")</f>
        <v/>
      </c>
      <c r="S8" s="14" t="e">
        <f>INDEX(#REF!,MATCH(Summary!B8,#REF!,0))</f>
        <v>#REF!</v>
      </c>
      <c r="T8" s="14" t="str">
        <f>IFERROR(INDEX(#REF!,MATCH(Summary!$B8,#REF!,0)),"")</f>
        <v/>
      </c>
    </row>
    <row r="9" spans="1:23" x14ac:dyDescent="0.25">
      <c r="A9" t="e">
        <f t="shared" si="0"/>
        <v>#REF!</v>
      </c>
      <c r="B9" s="9" t="e">
        <f>INDEX(#REF!,MATCH(Summary!A9,#REF!,0))</f>
        <v>#REF!</v>
      </c>
      <c r="C9" s="10">
        <f>IFERROR(SUMIFS(#REF!,#REF!,Summary!B9),0)</f>
        <v>0</v>
      </c>
      <c r="D9" s="11">
        <f>IFERROR(INDEX(#REF!,MATCH(Summary!$B9,#REF!,0)),0)</f>
        <v>0</v>
      </c>
      <c r="E9" s="11" t="e">
        <f>INDEX(#REF!,MATCH(Summary!$B9,#REF!,0))</f>
        <v>#REF!</v>
      </c>
      <c r="F9" s="11" t="e">
        <f>INDEX(#REF!,MATCH(Summary!$B9,#REF!,0))</f>
        <v>#REF!</v>
      </c>
      <c r="G9" s="11" t="e">
        <f>INDEX(#REF!,MATCH(Summary!$B9,#REF!,0))</f>
        <v>#REF!</v>
      </c>
      <c r="H9" s="11" t="e">
        <f>INDEX(#REF!,MATCH(Summary!$B9,#REF!,0))</f>
        <v>#REF!</v>
      </c>
      <c r="I9" s="11" t="e">
        <f>INDEX(#REF!,MATCH(Summary!B9,#REF!,0))</f>
        <v>#REF!</v>
      </c>
      <c r="J9" s="12" t="e">
        <f>INDEX(#REF!,MATCH(Summary!$B9,#REF!,0))</f>
        <v>#REF!</v>
      </c>
      <c r="K9" s="12" t="e">
        <f>SUMIFS(#REF!,#REF!,Summary!B9)</f>
        <v>#REF!</v>
      </c>
      <c r="L9" s="13" t="e">
        <f>INDEX(#REF!,MATCH(Summary!B9,#REF!,0))</f>
        <v>#REF!</v>
      </c>
      <c r="M9" s="14" t="e">
        <f>IF(J9&gt;1,INDEX(#REF!,MATCH(Summary!B9,#REF!,0)),"")</f>
        <v>#REF!</v>
      </c>
      <c r="O9" s="20" t="e">
        <f>INDEX(#REF!,MATCH(Summary!B9,#REF!,0))</f>
        <v>#REF!</v>
      </c>
      <c r="P9" s="20" t="e">
        <f>INDEX(#REF!,MATCH(Summary!B9,#REF!,0))</f>
        <v>#REF!</v>
      </c>
      <c r="Q9" s="12">
        <f>IFERROR(SUMIFS(#REF!,#REF!,Summary!B9),0)</f>
        <v>0</v>
      </c>
      <c r="R9" s="14" t="str">
        <f>IFERROR(INDEX(#REF!,MATCH(Summary!$B9,#REF!,0)),"")</f>
        <v/>
      </c>
      <c r="S9" s="14" t="e">
        <f>INDEX(#REF!,MATCH(Summary!B9,#REF!,0))</f>
        <v>#REF!</v>
      </c>
      <c r="T9" s="14" t="str">
        <f>IFERROR(INDEX(#REF!,MATCH(Summary!$B9,#REF!,0)),"")</f>
        <v/>
      </c>
    </row>
    <row r="10" spans="1:23" x14ac:dyDescent="0.25">
      <c r="A10" t="e">
        <f t="shared" si="0"/>
        <v>#REF!</v>
      </c>
      <c r="B10" s="9" t="e">
        <f>INDEX(#REF!,MATCH(Summary!A10,#REF!,0))</f>
        <v>#REF!</v>
      </c>
      <c r="C10" s="10">
        <f>IFERROR(SUMIFS(#REF!,#REF!,Summary!B10),0)</f>
        <v>0</v>
      </c>
      <c r="D10" s="11">
        <f>IFERROR(INDEX(#REF!,MATCH(Summary!$B10,#REF!,0)),0)</f>
        <v>0</v>
      </c>
      <c r="E10" s="11" t="e">
        <f>INDEX(#REF!,MATCH(Summary!$B10,#REF!,0))</f>
        <v>#REF!</v>
      </c>
      <c r="F10" s="11" t="e">
        <f>INDEX(#REF!,MATCH(Summary!$B10,#REF!,0))</f>
        <v>#REF!</v>
      </c>
      <c r="G10" s="11" t="e">
        <f>INDEX(#REF!,MATCH(Summary!$B10,#REF!,0))</f>
        <v>#REF!</v>
      </c>
      <c r="H10" s="11" t="e">
        <f>INDEX(#REF!,MATCH(Summary!$B10,#REF!,0))</f>
        <v>#REF!</v>
      </c>
      <c r="I10" s="11" t="e">
        <f>INDEX(#REF!,MATCH(Summary!B10,#REF!,0))</f>
        <v>#REF!</v>
      </c>
      <c r="J10" s="12" t="e">
        <f>INDEX(#REF!,MATCH(Summary!$B10,#REF!,0))</f>
        <v>#REF!</v>
      </c>
      <c r="K10" s="12" t="e">
        <f>SUMIFS(#REF!,#REF!,Summary!B10)</f>
        <v>#REF!</v>
      </c>
      <c r="L10" s="13" t="e">
        <f>INDEX(#REF!,MATCH(Summary!B10,#REF!,0))</f>
        <v>#REF!</v>
      </c>
      <c r="M10" s="14" t="e">
        <f>IF(J10&gt;1,INDEX(#REF!,MATCH(Summary!B10,#REF!,0)),"")</f>
        <v>#REF!</v>
      </c>
      <c r="O10" s="20" t="e">
        <f>INDEX(#REF!,MATCH(Summary!B10,#REF!,0))</f>
        <v>#REF!</v>
      </c>
      <c r="P10" s="20" t="e">
        <f>INDEX(#REF!,MATCH(Summary!B10,#REF!,0))</f>
        <v>#REF!</v>
      </c>
      <c r="Q10" s="12">
        <f>IFERROR(SUMIFS(#REF!,#REF!,Summary!B10),0)</f>
        <v>0</v>
      </c>
      <c r="R10" s="14" t="str">
        <f>IFERROR(INDEX(#REF!,MATCH(Summary!$B10,#REF!,0)),"")</f>
        <v/>
      </c>
      <c r="S10" s="14" t="e">
        <f>INDEX(#REF!,MATCH(Summary!B10,#REF!,0))</f>
        <v>#REF!</v>
      </c>
      <c r="T10" s="14" t="str">
        <f>IFERROR(INDEX(#REF!,MATCH(Summary!$B10,#REF!,0)),"")</f>
        <v/>
      </c>
    </row>
    <row r="11" spans="1:23" x14ac:dyDescent="0.25">
      <c r="A11" t="e">
        <f t="shared" si="0"/>
        <v>#REF!</v>
      </c>
      <c r="B11" s="9" t="e">
        <f>INDEX(#REF!,MATCH(Summary!A11,#REF!,0))</f>
        <v>#REF!</v>
      </c>
      <c r="C11" s="10">
        <f>IFERROR(SUMIFS(#REF!,#REF!,Summary!B11),0)</f>
        <v>0</v>
      </c>
      <c r="D11" s="11">
        <f>IFERROR(INDEX(#REF!,MATCH(Summary!$B11,#REF!,0)),0)</f>
        <v>0</v>
      </c>
      <c r="E11" s="11" t="e">
        <f>INDEX(#REF!,MATCH(Summary!$B11,#REF!,0))</f>
        <v>#REF!</v>
      </c>
      <c r="F11" s="11" t="e">
        <f>INDEX(#REF!,MATCH(Summary!$B11,#REF!,0))</f>
        <v>#REF!</v>
      </c>
      <c r="G11" s="11" t="e">
        <f>INDEX(#REF!,MATCH(Summary!$B11,#REF!,0))</f>
        <v>#REF!</v>
      </c>
      <c r="H11" s="11" t="e">
        <f>INDEX(#REF!,MATCH(Summary!$B11,#REF!,0))</f>
        <v>#REF!</v>
      </c>
      <c r="I11" s="11" t="e">
        <f>INDEX(#REF!,MATCH(Summary!B11,#REF!,0))</f>
        <v>#REF!</v>
      </c>
      <c r="J11" s="12" t="e">
        <f>INDEX(#REF!,MATCH(Summary!$B11,#REF!,0))</f>
        <v>#REF!</v>
      </c>
      <c r="K11" s="12" t="e">
        <f>SUMIFS(#REF!,#REF!,Summary!B11)</f>
        <v>#REF!</v>
      </c>
      <c r="L11" s="13" t="e">
        <f>INDEX(#REF!,MATCH(Summary!B11,#REF!,0))</f>
        <v>#REF!</v>
      </c>
      <c r="M11" s="14" t="e">
        <f>IF(J11&gt;1,INDEX(#REF!,MATCH(Summary!B11,#REF!,0)),"")</f>
        <v>#REF!</v>
      </c>
      <c r="O11" s="20" t="e">
        <f>INDEX(#REF!,MATCH(Summary!B11,#REF!,0))</f>
        <v>#REF!</v>
      </c>
      <c r="P11" s="20" t="e">
        <f>INDEX(#REF!,MATCH(Summary!B11,#REF!,0))</f>
        <v>#REF!</v>
      </c>
      <c r="Q11" s="12">
        <f>IFERROR(SUMIFS(#REF!,#REF!,Summary!B11),0)</f>
        <v>0</v>
      </c>
      <c r="R11" s="14" t="str">
        <f>IFERROR(INDEX(#REF!,MATCH(Summary!$B11,#REF!,0)),"")</f>
        <v/>
      </c>
      <c r="S11" s="14" t="e">
        <f>INDEX(#REF!,MATCH(Summary!B11,#REF!,0))</f>
        <v>#REF!</v>
      </c>
      <c r="T11" s="14" t="str">
        <f>IFERROR(INDEX(#REF!,MATCH(Summary!$B11,#REF!,0)),"")</f>
        <v/>
      </c>
    </row>
    <row r="12" spans="1:23" x14ac:dyDescent="0.25">
      <c r="A12" t="e">
        <f t="shared" si="0"/>
        <v>#REF!</v>
      </c>
      <c r="B12" s="9" t="e">
        <f>INDEX(#REF!,MATCH(Summary!A12,#REF!,0))</f>
        <v>#REF!</v>
      </c>
      <c r="C12" s="10">
        <f>IFERROR(SUMIFS(#REF!,#REF!,Summary!B12),0)</f>
        <v>0</v>
      </c>
      <c r="D12" s="11">
        <f>IFERROR(INDEX(#REF!,MATCH(Summary!$B12,#REF!,0)),0)</f>
        <v>0</v>
      </c>
      <c r="E12" s="11" t="e">
        <f>INDEX(#REF!,MATCH(Summary!$B12,#REF!,0))</f>
        <v>#REF!</v>
      </c>
      <c r="F12" s="11" t="e">
        <f>INDEX(#REF!,MATCH(Summary!$B12,#REF!,0))</f>
        <v>#REF!</v>
      </c>
      <c r="G12" s="11" t="e">
        <f>INDEX(#REF!,MATCH(Summary!$B12,#REF!,0))</f>
        <v>#REF!</v>
      </c>
      <c r="H12" s="11" t="e">
        <f>INDEX(#REF!,MATCH(Summary!$B12,#REF!,0))</f>
        <v>#REF!</v>
      </c>
      <c r="I12" s="11" t="e">
        <f>INDEX(#REF!,MATCH(Summary!B12,#REF!,0))</f>
        <v>#REF!</v>
      </c>
      <c r="J12" s="12" t="e">
        <f>INDEX(#REF!,MATCH(Summary!$B12,#REF!,0))</f>
        <v>#REF!</v>
      </c>
      <c r="K12" s="12" t="e">
        <f>SUMIFS(#REF!,#REF!,Summary!B12)</f>
        <v>#REF!</v>
      </c>
      <c r="L12" s="13" t="e">
        <f>INDEX(#REF!,MATCH(Summary!B12,#REF!,0))</f>
        <v>#REF!</v>
      </c>
      <c r="M12" s="14" t="e">
        <f>IF(J12&gt;1,INDEX(#REF!,MATCH(Summary!B12,#REF!,0)),"")</f>
        <v>#REF!</v>
      </c>
      <c r="O12" s="20" t="e">
        <f>INDEX(#REF!,MATCH(Summary!B12,#REF!,0))</f>
        <v>#REF!</v>
      </c>
      <c r="P12" s="20" t="e">
        <f>INDEX(#REF!,MATCH(Summary!B12,#REF!,0))</f>
        <v>#REF!</v>
      </c>
      <c r="Q12" s="12">
        <f>IFERROR(SUMIFS(#REF!,#REF!,Summary!B12),0)</f>
        <v>0</v>
      </c>
      <c r="R12" s="14" t="str">
        <f>IFERROR(INDEX(#REF!,MATCH(Summary!$B12,#REF!,0)),"")</f>
        <v/>
      </c>
      <c r="S12" s="14" t="e">
        <f>INDEX(#REF!,MATCH(Summary!B12,#REF!,0))</f>
        <v>#REF!</v>
      </c>
      <c r="T12" s="14" t="str">
        <f>IFERROR(INDEX(#REF!,MATCH(Summary!$B12,#REF!,0)),"")</f>
        <v/>
      </c>
    </row>
    <row r="13" spans="1:23" x14ac:dyDescent="0.25">
      <c r="A13" t="e">
        <f t="shared" si="0"/>
        <v>#REF!</v>
      </c>
      <c r="B13" s="9" t="e">
        <f>INDEX(#REF!,MATCH(Summary!A13,#REF!,0))</f>
        <v>#REF!</v>
      </c>
      <c r="C13" s="10">
        <f>IFERROR(SUMIFS(#REF!,#REF!,Summary!B13),0)</f>
        <v>0</v>
      </c>
      <c r="D13" s="11">
        <f>IFERROR(INDEX(#REF!,MATCH(Summary!$B13,#REF!,0)),0)</f>
        <v>0</v>
      </c>
      <c r="E13" s="11" t="e">
        <f>INDEX(#REF!,MATCH(Summary!$B13,#REF!,0))</f>
        <v>#REF!</v>
      </c>
      <c r="F13" s="11" t="e">
        <f>INDEX(#REF!,MATCH(Summary!$B13,#REF!,0))</f>
        <v>#REF!</v>
      </c>
      <c r="G13" s="11" t="e">
        <f>INDEX(#REF!,MATCH(Summary!$B13,#REF!,0))</f>
        <v>#REF!</v>
      </c>
      <c r="H13" s="11" t="e">
        <f>INDEX(#REF!,MATCH(Summary!$B13,#REF!,0))</f>
        <v>#REF!</v>
      </c>
      <c r="I13" s="11" t="e">
        <f>INDEX(#REF!,MATCH(Summary!B13,#REF!,0))</f>
        <v>#REF!</v>
      </c>
      <c r="J13" s="12" t="e">
        <f>INDEX(#REF!,MATCH(Summary!$B13,#REF!,0))</f>
        <v>#REF!</v>
      </c>
      <c r="K13" s="12" t="e">
        <f>SUMIFS(#REF!,#REF!,Summary!B13)</f>
        <v>#REF!</v>
      </c>
      <c r="L13" s="13" t="e">
        <f>INDEX(#REF!,MATCH(Summary!B13,#REF!,0))</f>
        <v>#REF!</v>
      </c>
      <c r="M13" s="14" t="e">
        <f>IF(J13&gt;1,INDEX(#REF!,MATCH(Summary!B13,#REF!,0)),"")</f>
        <v>#REF!</v>
      </c>
      <c r="O13" s="20" t="e">
        <f>INDEX(#REF!,MATCH(Summary!B13,#REF!,0))</f>
        <v>#REF!</v>
      </c>
      <c r="P13" s="20" t="e">
        <f>INDEX(#REF!,MATCH(Summary!B13,#REF!,0))</f>
        <v>#REF!</v>
      </c>
      <c r="Q13" s="12">
        <f>IFERROR(SUMIFS(#REF!,#REF!,Summary!B13),0)</f>
        <v>0</v>
      </c>
      <c r="R13" s="14" t="str">
        <f>IFERROR(INDEX(#REF!,MATCH(Summary!$B13,#REF!,0)),"")</f>
        <v/>
      </c>
      <c r="S13" s="14" t="e">
        <f>INDEX(#REF!,MATCH(Summary!B13,#REF!,0))</f>
        <v>#REF!</v>
      </c>
      <c r="T13" s="14" t="str">
        <f>IFERROR(INDEX(#REF!,MATCH(Summary!$B13,#REF!,0)),"")</f>
        <v/>
      </c>
    </row>
    <row r="14" spans="1:23" x14ac:dyDescent="0.25">
      <c r="A14" t="e">
        <f t="shared" si="0"/>
        <v>#REF!</v>
      </c>
      <c r="B14" s="9" t="e">
        <f>INDEX(#REF!,MATCH(Summary!A14,#REF!,0))</f>
        <v>#REF!</v>
      </c>
      <c r="C14" s="10">
        <f>IFERROR(SUMIFS(#REF!,#REF!,Summary!B14),0)</f>
        <v>0</v>
      </c>
      <c r="D14" s="11">
        <f>IFERROR(INDEX(#REF!,MATCH(Summary!$B14,#REF!,0)),0)</f>
        <v>0</v>
      </c>
      <c r="E14" s="11" t="e">
        <f>INDEX(#REF!,MATCH(Summary!$B14,#REF!,0))</f>
        <v>#REF!</v>
      </c>
      <c r="F14" s="11" t="e">
        <f>INDEX(#REF!,MATCH(Summary!$B14,#REF!,0))</f>
        <v>#REF!</v>
      </c>
      <c r="G14" s="11" t="e">
        <f>INDEX(#REF!,MATCH(Summary!$B14,#REF!,0))</f>
        <v>#REF!</v>
      </c>
      <c r="H14" s="11" t="e">
        <f>INDEX(#REF!,MATCH(Summary!$B14,#REF!,0))</f>
        <v>#REF!</v>
      </c>
      <c r="I14" s="11" t="e">
        <f>INDEX(#REF!,MATCH(Summary!B14,#REF!,0))</f>
        <v>#REF!</v>
      </c>
      <c r="J14" s="12" t="e">
        <f>INDEX(#REF!,MATCH(Summary!$B14,#REF!,0))</f>
        <v>#REF!</v>
      </c>
      <c r="K14" s="12" t="e">
        <f>SUMIFS(#REF!,#REF!,Summary!B14)</f>
        <v>#REF!</v>
      </c>
      <c r="L14" s="13" t="e">
        <f>INDEX(#REF!,MATCH(Summary!B14,#REF!,0))</f>
        <v>#REF!</v>
      </c>
      <c r="M14" s="14" t="e">
        <f>IF(J14&gt;1,INDEX(#REF!,MATCH(Summary!B14,#REF!,0)),"")</f>
        <v>#REF!</v>
      </c>
      <c r="O14" s="20" t="e">
        <f>INDEX(#REF!,MATCH(Summary!B14,#REF!,0))</f>
        <v>#REF!</v>
      </c>
      <c r="P14" s="20" t="e">
        <f>INDEX(#REF!,MATCH(Summary!B14,#REF!,0))</f>
        <v>#REF!</v>
      </c>
      <c r="Q14" s="12">
        <f>IFERROR(SUMIFS(#REF!,#REF!,Summary!B14),0)</f>
        <v>0</v>
      </c>
      <c r="R14" s="14" t="str">
        <f>IFERROR(INDEX(#REF!,MATCH(Summary!$B14,#REF!,0)),"")</f>
        <v/>
      </c>
      <c r="S14" s="14" t="e">
        <f>INDEX(#REF!,MATCH(Summary!B14,#REF!,0))</f>
        <v>#REF!</v>
      </c>
      <c r="T14" s="14" t="str">
        <f>IFERROR(INDEX(#REF!,MATCH(Summary!$B14,#REF!,0)),"")</f>
        <v/>
      </c>
    </row>
    <row r="15" spans="1:23" x14ac:dyDescent="0.25">
      <c r="A15" t="e">
        <f t="shared" si="0"/>
        <v>#REF!</v>
      </c>
      <c r="B15" s="9" t="e">
        <f>INDEX(#REF!,MATCH(Summary!A15,#REF!,0))</f>
        <v>#REF!</v>
      </c>
      <c r="C15" s="10">
        <f>IFERROR(SUMIFS(#REF!,#REF!,Summary!B15),0)</f>
        <v>0</v>
      </c>
      <c r="D15" s="11">
        <f>IFERROR(INDEX(#REF!,MATCH(Summary!$B15,#REF!,0)),0)</f>
        <v>0</v>
      </c>
      <c r="E15" s="11" t="e">
        <f>INDEX(#REF!,MATCH(Summary!$B15,#REF!,0))</f>
        <v>#REF!</v>
      </c>
      <c r="F15" s="11" t="e">
        <f>INDEX(#REF!,MATCH(Summary!$B15,#REF!,0))</f>
        <v>#REF!</v>
      </c>
      <c r="G15" s="11" t="e">
        <f>INDEX(#REF!,MATCH(Summary!$B15,#REF!,0))</f>
        <v>#REF!</v>
      </c>
      <c r="H15" s="11" t="e">
        <f>INDEX(#REF!,MATCH(Summary!$B15,#REF!,0))</f>
        <v>#REF!</v>
      </c>
      <c r="I15" s="11" t="e">
        <f>INDEX(#REF!,MATCH(Summary!B15,#REF!,0))</f>
        <v>#REF!</v>
      </c>
      <c r="J15" s="12" t="e">
        <f>INDEX(#REF!,MATCH(Summary!$B15,#REF!,0))</f>
        <v>#REF!</v>
      </c>
      <c r="K15" s="12" t="e">
        <f>SUMIFS(#REF!,#REF!,Summary!B15)</f>
        <v>#REF!</v>
      </c>
      <c r="L15" s="13" t="e">
        <f>INDEX(#REF!,MATCH(Summary!B15,#REF!,0))</f>
        <v>#REF!</v>
      </c>
      <c r="M15" s="14" t="e">
        <f>IF(J15&gt;1,INDEX(#REF!,MATCH(Summary!B15,#REF!,0)),"")</f>
        <v>#REF!</v>
      </c>
      <c r="O15" s="20" t="e">
        <f>INDEX(#REF!,MATCH(Summary!B15,#REF!,0))</f>
        <v>#REF!</v>
      </c>
      <c r="P15" s="20" t="e">
        <f>INDEX(#REF!,MATCH(Summary!B15,#REF!,0))</f>
        <v>#REF!</v>
      </c>
      <c r="Q15" s="12">
        <f>IFERROR(SUMIFS(#REF!,#REF!,Summary!B15),0)</f>
        <v>0</v>
      </c>
      <c r="R15" s="14" t="str">
        <f>IFERROR(INDEX(#REF!,MATCH(Summary!$B15,#REF!,0)),"")</f>
        <v/>
      </c>
      <c r="S15" s="14" t="e">
        <f>INDEX(#REF!,MATCH(Summary!B15,#REF!,0))</f>
        <v>#REF!</v>
      </c>
      <c r="T15" s="14" t="str">
        <f>IFERROR(INDEX(#REF!,MATCH(Summary!$B15,#REF!,0)),"")</f>
        <v/>
      </c>
    </row>
    <row r="16" spans="1:23" x14ac:dyDescent="0.25">
      <c r="A16" t="e">
        <f t="shared" si="0"/>
        <v>#REF!</v>
      </c>
      <c r="B16" s="9" t="e">
        <f>INDEX(#REF!,MATCH(Summary!A16,#REF!,0))</f>
        <v>#REF!</v>
      </c>
      <c r="C16" s="10">
        <f>IFERROR(SUMIFS(#REF!,#REF!,Summary!B16),0)</f>
        <v>0</v>
      </c>
      <c r="D16" s="11">
        <f>IFERROR(INDEX(#REF!,MATCH(Summary!$B16,#REF!,0)),0)</f>
        <v>0</v>
      </c>
      <c r="E16" s="11" t="e">
        <f>INDEX(#REF!,MATCH(Summary!$B16,#REF!,0))</f>
        <v>#REF!</v>
      </c>
      <c r="F16" s="11" t="e">
        <f>INDEX(#REF!,MATCH(Summary!$B16,#REF!,0))</f>
        <v>#REF!</v>
      </c>
      <c r="G16" s="11" t="e">
        <f>INDEX(#REF!,MATCH(Summary!$B16,#REF!,0))</f>
        <v>#REF!</v>
      </c>
      <c r="H16" s="11" t="e">
        <f>INDEX(#REF!,MATCH(Summary!$B16,#REF!,0))</f>
        <v>#REF!</v>
      </c>
      <c r="I16" s="11" t="e">
        <f>INDEX(#REF!,MATCH(Summary!B16,#REF!,0))</f>
        <v>#REF!</v>
      </c>
      <c r="J16" s="12" t="e">
        <f>INDEX(#REF!,MATCH(Summary!$B16,#REF!,0))</f>
        <v>#REF!</v>
      </c>
      <c r="K16" s="12" t="e">
        <f>SUMIFS(#REF!,#REF!,Summary!B16)</f>
        <v>#REF!</v>
      </c>
      <c r="L16" s="13" t="e">
        <f>INDEX(#REF!,MATCH(Summary!B16,#REF!,0))</f>
        <v>#REF!</v>
      </c>
      <c r="M16" s="14" t="e">
        <f>IF(J16&gt;1,INDEX(#REF!,MATCH(Summary!B16,#REF!,0)),"")</f>
        <v>#REF!</v>
      </c>
      <c r="O16" s="20" t="e">
        <f>INDEX(#REF!,MATCH(Summary!B16,#REF!,0))</f>
        <v>#REF!</v>
      </c>
      <c r="P16" s="20" t="e">
        <f>INDEX(#REF!,MATCH(Summary!B16,#REF!,0))</f>
        <v>#REF!</v>
      </c>
      <c r="Q16" s="12">
        <f>IFERROR(SUMIFS(#REF!,#REF!,Summary!B16),0)</f>
        <v>0</v>
      </c>
      <c r="R16" s="14" t="str">
        <f>IFERROR(INDEX(#REF!,MATCH(Summary!$B16,#REF!,0)),"")</f>
        <v/>
      </c>
      <c r="S16" s="14" t="e">
        <f>INDEX(#REF!,MATCH(Summary!B16,#REF!,0))</f>
        <v>#REF!</v>
      </c>
      <c r="T16" s="14" t="str">
        <f>IFERROR(INDEX(#REF!,MATCH(Summary!$B16,#REF!,0)),"")</f>
        <v/>
      </c>
    </row>
    <row r="17" spans="1:20" x14ac:dyDescent="0.25">
      <c r="A17" t="e">
        <f t="shared" si="0"/>
        <v>#REF!</v>
      </c>
      <c r="B17" s="9" t="e">
        <f>INDEX(#REF!,MATCH(Summary!A17,#REF!,0))</f>
        <v>#REF!</v>
      </c>
      <c r="C17" s="10">
        <f>IFERROR(SUMIFS(#REF!,#REF!,Summary!B17),0)</f>
        <v>0</v>
      </c>
      <c r="D17" s="11">
        <f>IFERROR(INDEX(#REF!,MATCH(Summary!$B17,#REF!,0)),0)</f>
        <v>0</v>
      </c>
      <c r="E17" s="11" t="e">
        <f>INDEX(#REF!,MATCH(Summary!$B17,#REF!,0))</f>
        <v>#REF!</v>
      </c>
      <c r="F17" s="11" t="e">
        <f>INDEX(#REF!,MATCH(Summary!$B17,#REF!,0))</f>
        <v>#REF!</v>
      </c>
      <c r="G17" s="11" t="e">
        <f>INDEX(#REF!,MATCH(Summary!$B17,#REF!,0))</f>
        <v>#REF!</v>
      </c>
      <c r="H17" s="11" t="e">
        <f>INDEX(#REF!,MATCH(Summary!$B17,#REF!,0))</f>
        <v>#REF!</v>
      </c>
      <c r="I17" s="11" t="e">
        <f>INDEX(#REF!,MATCH(Summary!B17,#REF!,0))</f>
        <v>#REF!</v>
      </c>
      <c r="J17" s="12" t="e">
        <f>INDEX(#REF!,MATCH(Summary!$B17,#REF!,0))</f>
        <v>#REF!</v>
      </c>
      <c r="K17" s="12" t="e">
        <f>SUMIFS(#REF!,#REF!,Summary!B17)</f>
        <v>#REF!</v>
      </c>
      <c r="L17" s="13" t="e">
        <f>INDEX(#REF!,MATCH(Summary!B17,#REF!,0))</f>
        <v>#REF!</v>
      </c>
      <c r="M17" s="14" t="e">
        <f>IF(J17&gt;1,INDEX(#REF!,MATCH(Summary!B17,#REF!,0)),"")</f>
        <v>#REF!</v>
      </c>
      <c r="O17" s="20" t="e">
        <f>INDEX(#REF!,MATCH(Summary!B17,#REF!,0))</f>
        <v>#REF!</v>
      </c>
      <c r="P17" s="20" t="e">
        <f>INDEX(#REF!,MATCH(Summary!B17,#REF!,0))</f>
        <v>#REF!</v>
      </c>
      <c r="Q17" s="12">
        <f>IFERROR(SUMIFS(#REF!,#REF!,Summary!B17),0)</f>
        <v>0</v>
      </c>
      <c r="R17" s="14" t="str">
        <f>IFERROR(INDEX(#REF!,MATCH(Summary!$B17,#REF!,0)),"")</f>
        <v/>
      </c>
      <c r="S17" s="14" t="e">
        <f>INDEX(#REF!,MATCH(Summary!B17,#REF!,0))</f>
        <v>#REF!</v>
      </c>
      <c r="T17" s="14" t="str">
        <f>IFERROR(INDEX(#REF!,MATCH(Summary!$B17,#REF!,0)),"")</f>
        <v/>
      </c>
    </row>
    <row r="18" spans="1:20" x14ac:dyDescent="0.25">
      <c r="A18" t="e">
        <f t="shared" si="0"/>
        <v>#REF!</v>
      </c>
      <c r="B18" s="9" t="e">
        <f>INDEX(#REF!,MATCH(Summary!A18,#REF!,0))</f>
        <v>#REF!</v>
      </c>
      <c r="C18" s="10">
        <f>IFERROR(SUMIFS(#REF!,#REF!,Summary!B18),0)</f>
        <v>0</v>
      </c>
      <c r="D18" s="11">
        <f>IFERROR(INDEX(#REF!,MATCH(Summary!$B18,#REF!,0)),0)</f>
        <v>0</v>
      </c>
      <c r="E18" s="11" t="e">
        <f>INDEX(#REF!,MATCH(Summary!$B18,#REF!,0))</f>
        <v>#REF!</v>
      </c>
      <c r="F18" s="11" t="e">
        <f>INDEX(#REF!,MATCH(Summary!$B18,#REF!,0))</f>
        <v>#REF!</v>
      </c>
      <c r="G18" s="11" t="e">
        <f>INDEX(#REF!,MATCH(Summary!$B18,#REF!,0))</f>
        <v>#REF!</v>
      </c>
      <c r="H18" s="11" t="e">
        <f>INDEX(#REF!,MATCH(Summary!$B18,#REF!,0))</f>
        <v>#REF!</v>
      </c>
      <c r="I18" s="11" t="e">
        <f>INDEX(#REF!,MATCH(Summary!B18,#REF!,0))</f>
        <v>#REF!</v>
      </c>
      <c r="J18" s="12" t="e">
        <f>INDEX(#REF!,MATCH(Summary!$B18,#REF!,0))</f>
        <v>#REF!</v>
      </c>
      <c r="K18" s="12" t="e">
        <f>SUMIFS(#REF!,#REF!,Summary!B18)</f>
        <v>#REF!</v>
      </c>
      <c r="L18" s="13" t="e">
        <f>INDEX(#REF!,MATCH(Summary!B18,#REF!,0))</f>
        <v>#REF!</v>
      </c>
      <c r="M18" s="14" t="e">
        <f>IF(J18&gt;1,INDEX(#REF!,MATCH(Summary!B18,#REF!,0)),"")</f>
        <v>#REF!</v>
      </c>
      <c r="O18" s="20" t="e">
        <f>INDEX(#REF!,MATCH(Summary!B18,#REF!,0))</f>
        <v>#REF!</v>
      </c>
      <c r="P18" s="20" t="e">
        <f>INDEX(#REF!,MATCH(Summary!B18,#REF!,0))</f>
        <v>#REF!</v>
      </c>
      <c r="Q18" s="12">
        <f>IFERROR(SUMIFS(#REF!,#REF!,Summary!B18),0)</f>
        <v>0</v>
      </c>
      <c r="R18" s="14" t="str">
        <f>IFERROR(INDEX(#REF!,MATCH(Summary!$B18,#REF!,0)),"")</f>
        <v/>
      </c>
      <c r="S18" s="14" t="e">
        <f>INDEX(#REF!,MATCH(Summary!B18,#REF!,0))</f>
        <v>#REF!</v>
      </c>
      <c r="T18" s="14" t="str">
        <f>IFERROR(INDEX(#REF!,MATCH(Summary!$B18,#REF!,0)),"")</f>
        <v/>
      </c>
    </row>
    <row r="19" spans="1:20" x14ac:dyDescent="0.25">
      <c r="A19" t="e">
        <f t="shared" si="0"/>
        <v>#REF!</v>
      </c>
      <c r="B19" s="9" t="e">
        <f>INDEX(#REF!,MATCH(Summary!A19,#REF!,0))</f>
        <v>#REF!</v>
      </c>
      <c r="C19" s="10">
        <f>IFERROR(SUMIFS(#REF!,#REF!,Summary!B19),0)</f>
        <v>0</v>
      </c>
      <c r="D19" s="11">
        <f>IFERROR(INDEX(#REF!,MATCH(Summary!$B19,#REF!,0)),0)</f>
        <v>0</v>
      </c>
      <c r="E19" s="11" t="e">
        <f>INDEX(#REF!,MATCH(Summary!$B19,#REF!,0))</f>
        <v>#REF!</v>
      </c>
      <c r="F19" s="11" t="e">
        <f>INDEX(#REF!,MATCH(Summary!$B19,#REF!,0))</f>
        <v>#REF!</v>
      </c>
      <c r="G19" s="11" t="e">
        <f>INDEX(#REF!,MATCH(Summary!$B19,#REF!,0))</f>
        <v>#REF!</v>
      </c>
      <c r="H19" s="11" t="e">
        <f>INDEX(#REF!,MATCH(Summary!$B19,#REF!,0))</f>
        <v>#REF!</v>
      </c>
      <c r="I19" s="11" t="e">
        <f>INDEX(#REF!,MATCH(Summary!B19,#REF!,0))</f>
        <v>#REF!</v>
      </c>
      <c r="J19" s="12" t="e">
        <f>INDEX(#REF!,MATCH(Summary!$B19,#REF!,0))</f>
        <v>#REF!</v>
      </c>
      <c r="K19" s="12" t="e">
        <f>SUMIFS(#REF!,#REF!,Summary!B19)</f>
        <v>#REF!</v>
      </c>
      <c r="L19" s="13" t="e">
        <f>INDEX(#REF!,MATCH(Summary!B19,#REF!,0))</f>
        <v>#REF!</v>
      </c>
      <c r="M19" s="14" t="e">
        <f>IF(J19&gt;1,INDEX(#REF!,MATCH(Summary!B19,#REF!,0)),"")</f>
        <v>#REF!</v>
      </c>
      <c r="O19" s="20" t="e">
        <f>INDEX(#REF!,MATCH(Summary!B19,#REF!,0))</f>
        <v>#REF!</v>
      </c>
      <c r="P19" s="20" t="e">
        <f>INDEX(#REF!,MATCH(Summary!B19,#REF!,0))</f>
        <v>#REF!</v>
      </c>
      <c r="Q19" s="12">
        <f>IFERROR(SUMIFS(#REF!,#REF!,Summary!B19),0)</f>
        <v>0</v>
      </c>
      <c r="R19" s="14" t="str">
        <f>IFERROR(INDEX(#REF!,MATCH(Summary!$B19,#REF!,0)),"")</f>
        <v/>
      </c>
      <c r="S19" s="14" t="e">
        <f>INDEX(#REF!,MATCH(Summary!B19,#REF!,0))</f>
        <v>#REF!</v>
      </c>
      <c r="T19" s="14" t="str">
        <f>IFERROR(INDEX(#REF!,MATCH(Summary!$B19,#REF!,0)),"")</f>
        <v/>
      </c>
    </row>
    <row r="20" spans="1:20" x14ac:dyDescent="0.25">
      <c r="A20" t="e">
        <f t="shared" si="0"/>
        <v>#REF!</v>
      </c>
      <c r="B20" s="9" t="e">
        <f>INDEX(#REF!,MATCH(Summary!A20,#REF!,0))</f>
        <v>#REF!</v>
      </c>
      <c r="C20" s="10">
        <f>IFERROR(SUMIFS(#REF!,#REF!,Summary!B20),0)</f>
        <v>0</v>
      </c>
      <c r="D20" s="11">
        <f>IFERROR(INDEX(#REF!,MATCH(Summary!$B20,#REF!,0)),0)</f>
        <v>0</v>
      </c>
      <c r="E20" s="11" t="e">
        <f>INDEX(#REF!,MATCH(Summary!$B20,#REF!,0))</f>
        <v>#REF!</v>
      </c>
      <c r="F20" s="11" t="e">
        <f>INDEX(#REF!,MATCH(Summary!$B20,#REF!,0))</f>
        <v>#REF!</v>
      </c>
      <c r="G20" s="11" t="e">
        <f>INDEX(#REF!,MATCH(Summary!$B20,#REF!,0))</f>
        <v>#REF!</v>
      </c>
      <c r="H20" s="11" t="e">
        <f>INDEX(#REF!,MATCH(Summary!$B20,#REF!,0))</f>
        <v>#REF!</v>
      </c>
      <c r="I20" s="11" t="e">
        <f>INDEX(#REF!,MATCH(Summary!B20,#REF!,0))</f>
        <v>#REF!</v>
      </c>
      <c r="J20" s="12" t="e">
        <f>INDEX(#REF!,MATCH(Summary!$B20,#REF!,0))</f>
        <v>#REF!</v>
      </c>
      <c r="K20" s="12" t="e">
        <f>SUMIFS(#REF!,#REF!,Summary!B20)</f>
        <v>#REF!</v>
      </c>
      <c r="L20" s="13" t="e">
        <f>INDEX(#REF!,MATCH(Summary!B20,#REF!,0))</f>
        <v>#REF!</v>
      </c>
      <c r="M20" s="14" t="e">
        <f>IF(J20&gt;1,INDEX(#REF!,MATCH(Summary!B20,#REF!,0)),"")</f>
        <v>#REF!</v>
      </c>
      <c r="O20" s="20" t="e">
        <f>INDEX(#REF!,MATCH(Summary!B20,#REF!,0))</f>
        <v>#REF!</v>
      </c>
      <c r="P20" s="20" t="e">
        <f>INDEX(#REF!,MATCH(Summary!B20,#REF!,0))</f>
        <v>#REF!</v>
      </c>
      <c r="Q20" s="12">
        <f>IFERROR(SUMIFS(#REF!,#REF!,Summary!B20),0)</f>
        <v>0</v>
      </c>
      <c r="R20" s="14" t="str">
        <f>IFERROR(INDEX(#REF!,MATCH(Summary!$B20,#REF!,0)),"")</f>
        <v/>
      </c>
      <c r="S20" s="14" t="e">
        <f>INDEX(#REF!,MATCH(Summary!B20,#REF!,0))</f>
        <v>#REF!</v>
      </c>
      <c r="T20" s="14" t="str">
        <f>IFERROR(INDEX(#REF!,MATCH(Summary!$B20,#REF!,0)),"")</f>
        <v/>
      </c>
    </row>
    <row r="21" spans="1:20" x14ac:dyDescent="0.25">
      <c r="A21" t="e">
        <f t="shared" si="0"/>
        <v>#REF!</v>
      </c>
      <c r="B21" s="9" t="e">
        <f>INDEX(#REF!,MATCH(Summary!A21,#REF!,0))</f>
        <v>#REF!</v>
      </c>
      <c r="C21" s="10">
        <f>IFERROR(SUMIFS(#REF!,#REF!,Summary!B21),0)</f>
        <v>0</v>
      </c>
      <c r="D21" s="11">
        <f>IFERROR(INDEX(#REF!,MATCH(Summary!$B21,#REF!,0)),0)</f>
        <v>0</v>
      </c>
      <c r="E21" s="11" t="e">
        <f>INDEX(#REF!,MATCH(Summary!$B21,#REF!,0))</f>
        <v>#REF!</v>
      </c>
      <c r="F21" s="11" t="e">
        <f>INDEX(#REF!,MATCH(Summary!$B21,#REF!,0))</f>
        <v>#REF!</v>
      </c>
      <c r="G21" s="11" t="e">
        <f>INDEX(#REF!,MATCH(Summary!$B21,#REF!,0))</f>
        <v>#REF!</v>
      </c>
      <c r="H21" s="11" t="e">
        <f>INDEX(#REF!,MATCH(Summary!$B21,#REF!,0))</f>
        <v>#REF!</v>
      </c>
      <c r="I21" s="11" t="e">
        <f>INDEX(#REF!,MATCH(Summary!B21,#REF!,0))</f>
        <v>#REF!</v>
      </c>
      <c r="J21" s="12" t="e">
        <f>INDEX(#REF!,MATCH(Summary!$B21,#REF!,0))</f>
        <v>#REF!</v>
      </c>
      <c r="K21" s="12" t="e">
        <f>SUMIFS(#REF!,#REF!,Summary!B21)</f>
        <v>#REF!</v>
      </c>
      <c r="L21" s="13" t="e">
        <f>INDEX(#REF!,MATCH(Summary!B21,#REF!,0))</f>
        <v>#REF!</v>
      </c>
      <c r="M21" s="14" t="e">
        <f>IF(J21&gt;1,INDEX(#REF!,MATCH(Summary!B21,#REF!,0)),"")</f>
        <v>#REF!</v>
      </c>
      <c r="O21" s="20" t="e">
        <f>INDEX(#REF!,MATCH(Summary!B21,#REF!,0))</f>
        <v>#REF!</v>
      </c>
      <c r="P21" s="20" t="e">
        <f>INDEX(#REF!,MATCH(Summary!B21,#REF!,0))</f>
        <v>#REF!</v>
      </c>
      <c r="Q21" s="12">
        <f>IFERROR(SUMIFS(#REF!,#REF!,Summary!B21),0)</f>
        <v>0</v>
      </c>
      <c r="R21" s="14" t="str">
        <f>IFERROR(INDEX(#REF!,MATCH(Summary!$B21,#REF!,0)),"")</f>
        <v/>
      </c>
      <c r="S21" s="14" t="e">
        <f>INDEX(#REF!,MATCH(Summary!B21,#REF!,0))</f>
        <v>#REF!</v>
      </c>
      <c r="T21" s="14" t="str">
        <f>IFERROR(INDEX(#REF!,MATCH(Summary!$B21,#REF!,0)),"")</f>
        <v/>
      </c>
    </row>
    <row r="22" spans="1:20" x14ac:dyDescent="0.25">
      <c r="A22" t="e">
        <f t="shared" si="0"/>
        <v>#REF!</v>
      </c>
      <c r="B22" s="9" t="e">
        <f>INDEX(#REF!,MATCH(Summary!A22,#REF!,0))</f>
        <v>#REF!</v>
      </c>
      <c r="C22" s="10">
        <f>IFERROR(SUMIFS(#REF!,#REF!,Summary!B22),0)</f>
        <v>0</v>
      </c>
      <c r="D22" s="11">
        <f>IFERROR(INDEX(#REF!,MATCH(Summary!$B22,#REF!,0)),0)</f>
        <v>0</v>
      </c>
      <c r="E22" s="11" t="e">
        <f>INDEX(#REF!,MATCH(Summary!$B22,#REF!,0))</f>
        <v>#REF!</v>
      </c>
      <c r="F22" s="11" t="e">
        <f>INDEX(#REF!,MATCH(Summary!$B22,#REF!,0))</f>
        <v>#REF!</v>
      </c>
      <c r="G22" s="11" t="e">
        <f>INDEX(#REF!,MATCH(Summary!$B22,#REF!,0))</f>
        <v>#REF!</v>
      </c>
      <c r="H22" s="11" t="e">
        <f>INDEX(#REF!,MATCH(Summary!$B22,#REF!,0))</f>
        <v>#REF!</v>
      </c>
      <c r="I22" s="11" t="e">
        <f>INDEX(#REF!,MATCH(Summary!B22,#REF!,0))</f>
        <v>#REF!</v>
      </c>
      <c r="J22" s="12" t="e">
        <f>INDEX(#REF!,MATCH(Summary!$B22,#REF!,0))</f>
        <v>#REF!</v>
      </c>
      <c r="K22" s="12" t="e">
        <f>SUMIFS(#REF!,#REF!,Summary!B22)</f>
        <v>#REF!</v>
      </c>
      <c r="L22" s="13" t="e">
        <f>INDEX(#REF!,MATCH(Summary!B22,#REF!,0))</f>
        <v>#REF!</v>
      </c>
      <c r="M22" s="14" t="e">
        <f>IF(J22&gt;1,INDEX(#REF!,MATCH(Summary!B22,#REF!,0)),"")</f>
        <v>#REF!</v>
      </c>
      <c r="O22" s="20" t="e">
        <f>INDEX(#REF!,MATCH(Summary!B22,#REF!,0))</f>
        <v>#REF!</v>
      </c>
      <c r="P22" s="20" t="e">
        <f>INDEX(#REF!,MATCH(Summary!B22,#REF!,0))</f>
        <v>#REF!</v>
      </c>
      <c r="Q22" s="12">
        <f>IFERROR(SUMIFS(#REF!,#REF!,Summary!B22),0)</f>
        <v>0</v>
      </c>
      <c r="R22" s="14" t="str">
        <f>IFERROR(INDEX(#REF!,MATCH(Summary!$B22,#REF!,0)),"")</f>
        <v/>
      </c>
      <c r="S22" s="14" t="e">
        <f>INDEX(#REF!,MATCH(Summary!B22,#REF!,0))</f>
        <v>#REF!</v>
      </c>
      <c r="T22" s="14" t="str">
        <f>IFERROR(INDEX(#REF!,MATCH(Summary!$B22,#REF!,0)),"")</f>
        <v/>
      </c>
    </row>
    <row r="23" spans="1:20" x14ac:dyDescent="0.25">
      <c r="A23" t="e">
        <f t="shared" si="0"/>
        <v>#REF!</v>
      </c>
      <c r="B23" s="9" t="e">
        <f>INDEX(#REF!,MATCH(Summary!A23,#REF!,0))</f>
        <v>#REF!</v>
      </c>
      <c r="C23" s="10">
        <f>IFERROR(SUMIFS(#REF!,#REF!,Summary!B23),0)</f>
        <v>0</v>
      </c>
      <c r="D23" s="11">
        <f>IFERROR(INDEX(#REF!,MATCH(Summary!$B23,#REF!,0)),0)</f>
        <v>0</v>
      </c>
      <c r="E23" s="11" t="e">
        <f>INDEX(#REF!,MATCH(Summary!$B23,#REF!,0))</f>
        <v>#REF!</v>
      </c>
      <c r="F23" s="11" t="e">
        <f>INDEX(#REF!,MATCH(Summary!$B23,#REF!,0))</f>
        <v>#REF!</v>
      </c>
      <c r="G23" s="11" t="e">
        <f>INDEX(#REF!,MATCH(Summary!$B23,#REF!,0))</f>
        <v>#REF!</v>
      </c>
      <c r="H23" s="11" t="e">
        <f>INDEX(#REF!,MATCH(Summary!$B23,#REF!,0))</f>
        <v>#REF!</v>
      </c>
      <c r="I23" s="11" t="e">
        <f>INDEX(#REF!,MATCH(Summary!B23,#REF!,0))</f>
        <v>#REF!</v>
      </c>
      <c r="J23" s="12" t="e">
        <f>INDEX(#REF!,MATCH(Summary!$B23,#REF!,0))</f>
        <v>#REF!</v>
      </c>
      <c r="K23" s="12" t="e">
        <f>SUMIFS(#REF!,#REF!,Summary!B23)</f>
        <v>#REF!</v>
      </c>
      <c r="L23" s="13" t="e">
        <f>INDEX(#REF!,MATCH(Summary!B23,#REF!,0))</f>
        <v>#REF!</v>
      </c>
      <c r="M23" s="14" t="e">
        <f>IF(J23&gt;1,INDEX(#REF!,MATCH(Summary!B23,#REF!,0)),"")</f>
        <v>#REF!</v>
      </c>
      <c r="O23" s="20" t="e">
        <f>INDEX(#REF!,MATCH(Summary!B23,#REF!,0))</f>
        <v>#REF!</v>
      </c>
      <c r="P23" s="20" t="e">
        <f>INDEX(#REF!,MATCH(Summary!B23,#REF!,0))</f>
        <v>#REF!</v>
      </c>
      <c r="Q23" s="12">
        <f>IFERROR(SUMIFS(#REF!,#REF!,Summary!B23),0)</f>
        <v>0</v>
      </c>
      <c r="R23" s="14" t="str">
        <f>IFERROR(INDEX(#REF!,MATCH(Summary!$B23,#REF!,0)),"")</f>
        <v/>
      </c>
      <c r="S23" s="14" t="e">
        <f>INDEX(#REF!,MATCH(Summary!B23,#REF!,0))</f>
        <v>#REF!</v>
      </c>
      <c r="T23" s="14" t="str">
        <f>IFERROR(INDEX(#REF!,MATCH(Summary!$B23,#REF!,0)),"")</f>
        <v/>
      </c>
    </row>
    <row r="24" spans="1:20" x14ac:dyDescent="0.25">
      <c r="A24" t="e">
        <f t="shared" si="0"/>
        <v>#REF!</v>
      </c>
      <c r="B24" s="9" t="e">
        <f>INDEX(#REF!,MATCH(Summary!A24,#REF!,0))</f>
        <v>#REF!</v>
      </c>
      <c r="C24" s="10">
        <f>IFERROR(SUMIFS(#REF!,#REF!,Summary!B24),0)</f>
        <v>0</v>
      </c>
      <c r="D24" s="11">
        <f>IFERROR(INDEX(#REF!,MATCH(Summary!$B24,#REF!,0)),0)</f>
        <v>0</v>
      </c>
      <c r="E24" s="11" t="e">
        <f>INDEX(#REF!,MATCH(Summary!$B24,#REF!,0))</f>
        <v>#REF!</v>
      </c>
      <c r="F24" s="11" t="e">
        <f>INDEX(#REF!,MATCH(Summary!$B24,#REF!,0))</f>
        <v>#REF!</v>
      </c>
      <c r="G24" s="11" t="e">
        <f>INDEX(#REF!,MATCH(Summary!$B24,#REF!,0))</f>
        <v>#REF!</v>
      </c>
      <c r="H24" s="11" t="e">
        <f>INDEX(#REF!,MATCH(Summary!$B24,#REF!,0))</f>
        <v>#REF!</v>
      </c>
      <c r="I24" s="11" t="e">
        <f>INDEX(#REF!,MATCH(Summary!B24,#REF!,0))</f>
        <v>#REF!</v>
      </c>
      <c r="J24" s="12" t="e">
        <f>INDEX(#REF!,MATCH(Summary!$B24,#REF!,0))</f>
        <v>#REF!</v>
      </c>
      <c r="K24" s="12" t="e">
        <f>SUMIFS(#REF!,#REF!,Summary!B24)</f>
        <v>#REF!</v>
      </c>
      <c r="L24" s="13" t="e">
        <f>INDEX(#REF!,MATCH(Summary!B24,#REF!,0))</f>
        <v>#REF!</v>
      </c>
      <c r="M24" s="14" t="e">
        <f>IF(J24&gt;1,INDEX(#REF!,MATCH(Summary!B24,#REF!,0)),"")</f>
        <v>#REF!</v>
      </c>
      <c r="O24" s="20" t="e">
        <f>INDEX(#REF!,MATCH(Summary!B24,#REF!,0))</f>
        <v>#REF!</v>
      </c>
      <c r="P24" s="20" t="e">
        <f>INDEX(#REF!,MATCH(Summary!B24,#REF!,0))</f>
        <v>#REF!</v>
      </c>
      <c r="Q24" s="12">
        <f>IFERROR(SUMIFS(#REF!,#REF!,Summary!B24),0)</f>
        <v>0</v>
      </c>
      <c r="R24" s="14" t="str">
        <f>IFERROR(INDEX(#REF!,MATCH(Summary!$B24,#REF!,0)),"")</f>
        <v/>
      </c>
      <c r="S24" s="14" t="e">
        <f>INDEX(#REF!,MATCH(Summary!B24,#REF!,0))</f>
        <v>#REF!</v>
      </c>
      <c r="T24" s="14" t="str">
        <f>IFERROR(INDEX(#REF!,MATCH(Summary!$B24,#REF!,0)),"")</f>
        <v/>
      </c>
    </row>
    <row r="25" spans="1:20" x14ac:dyDescent="0.25">
      <c r="A25" t="e">
        <f t="shared" si="0"/>
        <v>#REF!</v>
      </c>
      <c r="B25" s="9" t="e">
        <f>INDEX(#REF!,MATCH(Summary!A25,#REF!,0))</f>
        <v>#REF!</v>
      </c>
      <c r="C25" s="10">
        <f>IFERROR(SUMIFS(#REF!,#REF!,Summary!B25),0)</f>
        <v>0</v>
      </c>
      <c r="D25" s="11">
        <f>IFERROR(INDEX(#REF!,MATCH(Summary!$B25,#REF!,0)),0)</f>
        <v>0</v>
      </c>
      <c r="E25" s="11" t="e">
        <f>INDEX(#REF!,MATCH(Summary!$B25,#REF!,0))</f>
        <v>#REF!</v>
      </c>
      <c r="F25" s="11" t="e">
        <f>INDEX(#REF!,MATCH(Summary!$B25,#REF!,0))</f>
        <v>#REF!</v>
      </c>
      <c r="G25" s="11" t="e">
        <f>INDEX(#REF!,MATCH(Summary!$B25,#REF!,0))</f>
        <v>#REF!</v>
      </c>
      <c r="H25" s="11" t="e">
        <f>INDEX(#REF!,MATCH(Summary!$B25,#REF!,0))</f>
        <v>#REF!</v>
      </c>
      <c r="I25" s="11" t="e">
        <f>INDEX(#REF!,MATCH(Summary!B25,#REF!,0))</f>
        <v>#REF!</v>
      </c>
      <c r="J25" s="12" t="e">
        <f>INDEX(#REF!,MATCH(Summary!$B25,#REF!,0))</f>
        <v>#REF!</v>
      </c>
      <c r="K25" s="12" t="e">
        <f>SUMIFS(#REF!,#REF!,Summary!B25)</f>
        <v>#REF!</v>
      </c>
      <c r="L25" s="13" t="e">
        <f>INDEX(#REF!,MATCH(Summary!B25,#REF!,0))</f>
        <v>#REF!</v>
      </c>
      <c r="M25" s="14" t="e">
        <f>IF(J25&gt;1,INDEX(#REF!,MATCH(Summary!B25,#REF!,0)),"")</f>
        <v>#REF!</v>
      </c>
      <c r="O25" s="20" t="e">
        <f>INDEX(#REF!,MATCH(Summary!B25,#REF!,0))</f>
        <v>#REF!</v>
      </c>
      <c r="P25" s="20" t="e">
        <f>INDEX(#REF!,MATCH(Summary!B25,#REF!,0))</f>
        <v>#REF!</v>
      </c>
      <c r="Q25" s="12">
        <f>IFERROR(SUMIFS(#REF!,#REF!,Summary!B25),0)</f>
        <v>0</v>
      </c>
      <c r="R25" s="14" t="str">
        <f>IFERROR(INDEX(#REF!,MATCH(Summary!$B25,#REF!,0)),"")</f>
        <v/>
      </c>
      <c r="S25" s="14" t="e">
        <f>INDEX(#REF!,MATCH(Summary!B25,#REF!,0))</f>
        <v>#REF!</v>
      </c>
      <c r="T25" s="14" t="str">
        <f>IFERROR(INDEX(#REF!,MATCH(Summary!$B25,#REF!,0)),"")</f>
        <v/>
      </c>
    </row>
    <row r="26" spans="1:20" x14ac:dyDescent="0.25">
      <c r="A26" t="e">
        <f t="shared" si="0"/>
        <v>#REF!</v>
      </c>
      <c r="B26" s="9" t="e">
        <f>INDEX(#REF!,MATCH(Summary!A26,#REF!,0))</f>
        <v>#REF!</v>
      </c>
      <c r="C26" s="10">
        <f>IFERROR(SUMIFS(#REF!,#REF!,Summary!B26),0)</f>
        <v>0</v>
      </c>
      <c r="D26" s="11">
        <f>IFERROR(INDEX(#REF!,MATCH(Summary!$B26,#REF!,0)),0)</f>
        <v>0</v>
      </c>
      <c r="E26" s="11" t="e">
        <f>INDEX(#REF!,MATCH(Summary!$B26,#REF!,0))</f>
        <v>#REF!</v>
      </c>
      <c r="F26" s="11" t="e">
        <f>INDEX(#REF!,MATCH(Summary!$B26,#REF!,0))</f>
        <v>#REF!</v>
      </c>
      <c r="G26" s="11" t="e">
        <f>INDEX(#REF!,MATCH(Summary!$B26,#REF!,0))</f>
        <v>#REF!</v>
      </c>
      <c r="H26" s="11" t="e">
        <f>INDEX(#REF!,MATCH(Summary!$B26,#REF!,0))</f>
        <v>#REF!</v>
      </c>
      <c r="I26" s="11" t="e">
        <f>INDEX(#REF!,MATCH(Summary!B26,#REF!,0))</f>
        <v>#REF!</v>
      </c>
      <c r="J26" s="12" t="e">
        <f>INDEX(#REF!,MATCH(Summary!$B26,#REF!,0))</f>
        <v>#REF!</v>
      </c>
      <c r="K26" s="12" t="e">
        <f>SUMIFS(#REF!,#REF!,Summary!B26)</f>
        <v>#REF!</v>
      </c>
      <c r="L26" s="13" t="e">
        <f>INDEX(#REF!,MATCH(Summary!B26,#REF!,0))</f>
        <v>#REF!</v>
      </c>
      <c r="M26" s="14" t="e">
        <f>IF(J26&gt;1,INDEX(#REF!,MATCH(Summary!B26,#REF!,0)),"")</f>
        <v>#REF!</v>
      </c>
      <c r="O26" s="20" t="e">
        <f>INDEX(#REF!,MATCH(Summary!B26,#REF!,0))</f>
        <v>#REF!</v>
      </c>
      <c r="P26" s="20" t="e">
        <f>INDEX(#REF!,MATCH(Summary!B26,#REF!,0))</f>
        <v>#REF!</v>
      </c>
      <c r="Q26" s="12">
        <f>IFERROR(SUMIFS(#REF!,#REF!,Summary!B26),0)</f>
        <v>0</v>
      </c>
      <c r="R26" s="14" t="str">
        <f>IFERROR(INDEX(#REF!,MATCH(Summary!$B26,#REF!,0)),"")</f>
        <v/>
      </c>
      <c r="S26" s="14" t="e">
        <f>INDEX(#REF!,MATCH(Summary!B26,#REF!,0))</f>
        <v>#REF!</v>
      </c>
      <c r="T26" s="14" t="str">
        <f>IFERROR(INDEX(#REF!,MATCH(Summary!$B26,#REF!,0)),"")</f>
        <v/>
      </c>
    </row>
    <row r="27" spans="1:20" x14ac:dyDescent="0.25">
      <c r="A27" t="e">
        <f t="shared" si="0"/>
        <v>#REF!</v>
      </c>
      <c r="B27" s="9" t="e">
        <f>INDEX(#REF!,MATCH(Summary!A27,#REF!,0))</f>
        <v>#REF!</v>
      </c>
      <c r="C27" s="10">
        <f>IFERROR(SUMIFS(#REF!,#REF!,Summary!B27),0)</f>
        <v>0</v>
      </c>
      <c r="D27" s="11">
        <f>IFERROR(INDEX(#REF!,MATCH(Summary!$B27,#REF!,0)),0)</f>
        <v>0</v>
      </c>
      <c r="E27" s="11" t="e">
        <f>INDEX(#REF!,MATCH(Summary!$B27,#REF!,0))</f>
        <v>#REF!</v>
      </c>
      <c r="F27" s="11" t="e">
        <f>INDEX(#REF!,MATCH(Summary!$B27,#REF!,0))</f>
        <v>#REF!</v>
      </c>
      <c r="G27" s="11" t="e">
        <f>INDEX(#REF!,MATCH(Summary!$B27,#REF!,0))</f>
        <v>#REF!</v>
      </c>
      <c r="H27" s="11" t="e">
        <f>INDEX(#REF!,MATCH(Summary!$B27,#REF!,0))</f>
        <v>#REF!</v>
      </c>
      <c r="I27" s="11" t="e">
        <f>INDEX(#REF!,MATCH(Summary!B27,#REF!,0))</f>
        <v>#REF!</v>
      </c>
      <c r="J27" s="12" t="e">
        <f>INDEX(#REF!,MATCH(Summary!$B27,#REF!,0))</f>
        <v>#REF!</v>
      </c>
      <c r="K27" s="12" t="e">
        <f>SUMIFS(#REF!,#REF!,Summary!B27)</f>
        <v>#REF!</v>
      </c>
      <c r="L27" s="13" t="e">
        <f>INDEX(#REF!,MATCH(Summary!B27,#REF!,0))</f>
        <v>#REF!</v>
      </c>
      <c r="M27" s="14" t="e">
        <f>IF(J27&gt;1,INDEX(#REF!,MATCH(Summary!B27,#REF!,0)),"")</f>
        <v>#REF!</v>
      </c>
      <c r="O27" s="20" t="e">
        <f>INDEX(#REF!,MATCH(Summary!B27,#REF!,0))</f>
        <v>#REF!</v>
      </c>
      <c r="P27" s="20" t="e">
        <f>INDEX(#REF!,MATCH(Summary!B27,#REF!,0))</f>
        <v>#REF!</v>
      </c>
      <c r="Q27" s="12">
        <f>IFERROR(SUMIFS(#REF!,#REF!,Summary!B27),0)</f>
        <v>0</v>
      </c>
      <c r="R27" s="14" t="str">
        <f>IFERROR(INDEX(#REF!,MATCH(Summary!$B27,#REF!,0)),"")</f>
        <v/>
      </c>
      <c r="S27" s="14" t="e">
        <f>INDEX(#REF!,MATCH(Summary!B27,#REF!,0))</f>
        <v>#REF!</v>
      </c>
      <c r="T27" s="14" t="str">
        <f>IFERROR(INDEX(#REF!,MATCH(Summary!$B27,#REF!,0)),"")</f>
        <v/>
      </c>
    </row>
    <row r="28" spans="1:20" x14ac:dyDescent="0.25">
      <c r="A28" t="e">
        <f t="shared" si="0"/>
        <v>#REF!</v>
      </c>
      <c r="B28" s="9" t="e">
        <f>INDEX(#REF!,MATCH(Summary!A28,#REF!,0))</f>
        <v>#REF!</v>
      </c>
      <c r="C28" s="10">
        <f>IFERROR(SUMIFS(#REF!,#REF!,Summary!B28),0)</f>
        <v>0</v>
      </c>
      <c r="D28" s="11">
        <f>IFERROR(INDEX(#REF!,MATCH(Summary!$B28,#REF!,0)),0)</f>
        <v>0</v>
      </c>
      <c r="E28" s="11" t="e">
        <f>INDEX(#REF!,MATCH(Summary!$B28,#REF!,0))</f>
        <v>#REF!</v>
      </c>
      <c r="F28" s="11" t="e">
        <f>INDEX(#REF!,MATCH(Summary!$B28,#REF!,0))</f>
        <v>#REF!</v>
      </c>
      <c r="G28" s="11" t="e">
        <f>INDEX(#REF!,MATCH(Summary!$B28,#REF!,0))</f>
        <v>#REF!</v>
      </c>
      <c r="H28" s="11" t="e">
        <f>INDEX(#REF!,MATCH(Summary!$B28,#REF!,0))</f>
        <v>#REF!</v>
      </c>
      <c r="I28" s="11" t="e">
        <f>INDEX(#REF!,MATCH(Summary!B28,#REF!,0))</f>
        <v>#REF!</v>
      </c>
      <c r="J28" s="12" t="e">
        <f>INDEX(#REF!,MATCH(Summary!$B28,#REF!,0))</f>
        <v>#REF!</v>
      </c>
      <c r="K28" s="12" t="e">
        <f>SUMIFS(#REF!,#REF!,Summary!B28)</f>
        <v>#REF!</v>
      </c>
      <c r="L28" s="13" t="e">
        <f>INDEX(#REF!,MATCH(Summary!B28,#REF!,0))</f>
        <v>#REF!</v>
      </c>
      <c r="M28" s="14" t="e">
        <f>IF(J28&gt;1,INDEX(#REF!,MATCH(Summary!B28,#REF!,0)),"")</f>
        <v>#REF!</v>
      </c>
      <c r="O28" s="20" t="e">
        <f>INDEX(#REF!,MATCH(Summary!B28,#REF!,0))</f>
        <v>#REF!</v>
      </c>
      <c r="P28" s="20" t="e">
        <f>INDEX(#REF!,MATCH(Summary!B28,#REF!,0))</f>
        <v>#REF!</v>
      </c>
      <c r="Q28" s="12">
        <f>IFERROR(SUMIFS(#REF!,#REF!,Summary!B28),0)</f>
        <v>0</v>
      </c>
      <c r="R28" s="14" t="str">
        <f>IFERROR(INDEX(#REF!,MATCH(Summary!$B28,#REF!,0)),"")</f>
        <v/>
      </c>
      <c r="S28" s="14" t="e">
        <f>INDEX(#REF!,MATCH(Summary!B28,#REF!,0))</f>
        <v>#REF!</v>
      </c>
      <c r="T28" s="14" t="str">
        <f>IFERROR(INDEX(#REF!,MATCH(Summary!$B28,#REF!,0)),"")</f>
        <v/>
      </c>
    </row>
    <row r="29" spans="1:20" x14ac:dyDescent="0.25">
      <c r="A29" t="e">
        <f t="shared" si="0"/>
        <v>#REF!</v>
      </c>
      <c r="B29" s="9" t="e">
        <f>INDEX(#REF!,MATCH(Summary!A29,#REF!,0))</f>
        <v>#REF!</v>
      </c>
      <c r="C29" s="10">
        <f>IFERROR(SUMIFS(#REF!,#REF!,Summary!B29),0)</f>
        <v>0</v>
      </c>
      <c r="D29" s="11">
        <f>IFERROR(INDEX(#REF!,MATCH(Summary!$B29,#REF!,0)),0)</f>
        <v>0</v>
      </c>
      <c r="E29" s="11" t="e">
        <f>INDEX(#REF!,MATCH(Summary!$B29,#REF!,0))</f>
        <v>#REF!</v>
      </c>
      <c r="F29" s="11" t="e">
        <f>INDEX(#REF!,MATCH(Summary!$B29,#REF!,0))</f>
        <v>#REF!</v>
      </c>
      <c r="G29" s="11" t="e">
        <f>INDEX(#REF!,MATCH(Summary!$B29,#REF!,0))</f>
        <v>#REF!</v>
      </c>
      <c r="H29" s="11" t="e">
        <f>INDEX(#REF!,MATCH(Summary!$B29,#REF!,0))</f>
        <v>#REF!</v>
      </c>
      <c r="I29" s="11" t="e">
        <f>INDEX(#REF!,MATCH(Summary!B29,#REF!,0))</f>
        <v>#REF!</v>
      </c>
      <c r="J29" s="12" t="e">
        <f>INDEX(#REF!,MATCH(Summary!$B29,#REF!,0))</f>
        <v>#REF!</v>
      </c>
      <c r="K29" s="12" t="e">
        <f>SUMIFS(#REF!,#REF!,Summary!B29)</f>
        <v>#REF!</v>
      </c>
      <c r="L29" s="13" t="e">
        <f>INDEX(#REF!,MATCH(Summary!B29,#REF!,0))</f>
        <v>#REF!</v>
      </c>
      <c r="M29" s="14" t="e">
        <f>IF(J29&gt;1,INDEX(#REF!,MATCH(Summary!B29,#REF!,0)),"")</f>
        <v>#REF!</v>
      </c>
      <c r="O29" s="20" t="e">
        <f>INDEX(#REF!,MATCH(Summary!B29,#REF!,0))</f>
        <v>#REF!</v>
      </c>
      <c r="P29" s="20" t="e">
        <f>INDEX(#REF!,MATCH(Summary!B29,#REF!,0))</f>
        <v>#REF!</v>
      </c>
      <c r="Q29" s="12">
        <f>IFERROR(SUMIFS(#REF!,#REF!,Summary!B29),0)</f>
        <v>0</v>
      </c>
      <c r="R29" s="14" t="str">
        <f>IFERROR(INDEX(#REF!,MATCH(Summary!$B29,#REF!,0)),"")</f>
        <v/>
      </c>
      <c r="S29" s="14" t="e">
        <f>INDEX(#REF!,MATCH(Summary!B29,#REF!,0))</f>
        <v>#REF!</v>
      </c>
      <c r="T29" s="14" t="str">
        <f>IFERROR(INDEX(#REF!,MATCH(Summary!$B29,#REF!,0)),"")</f>
        <v/>
      </c>
    </row>
    <row r="30" spans="1:20" x14ac:dyDescent="0.25">
      <c r="A30" t="e">
        <f t="shared" si="0"/>
        <v>#REF!</v>
      </c>
      <c r="B30" s="9" t="e">
        <f>INDEX(#REF!,MATCH(Summary!A30,#REF!,0))</f>
        <v>#REF!</v>
      </c>
      <c r="C30" s="10">
        <f>IFERROR(SUMIFS(#REF!,#REF!,Summary!B30),0)</f>
        <v>0</v>
      </c>
      <c r="D30" s="11">
        <f>IFERROR(INDEX(#REF!,MATCH(Summary!$B30,#REF!,0)),0)</f>
        <v>0</v>
      </c>
      <c r="E30" s="11" t="e">
        <f>INDEX(#REF!,MATCH(Summary!$B30,#REF!,0))</f>
        <v>#REF!</v>
      </c>
      <c r="F30" s="11" t="e">
        <f>INDEX(#REF!,MATCH(Summary!$B30,#REF!,0))</f>
        <v>#REF!</v>
      </c>
      <c r="G30" s="11" t="e">
        <f>INDEX(#REF!,MATCH(Summary!$B30,#REF!,0))</f>
        <v>#REF!</v>
      </c>
      <c r="H30" s="11" t="e">
        <f>INDEX(#REF!,MATCH(Summary!$B30,#REF!,0))</f>
        <v>#REF!</v>
      </c>
      <c r="I30" s="11" t="e">
        <f>INDEX(#REF!,MATCH(Summary!B30,#REF!,0))</f>
        <v>#REF!</v>
      </c>
      <c r="J30" s="12" t="e">
        <f>INDEX(#REF!,MATCH(Summary!$B30,#REF!,0))</f>
        <v>#REF!</v>
      </c>
      <c r="K30" s="12" t="e">
        <f>SUMIFS(#REF!,#REF!,Summary!B30)</f>
        <v>#REF!</v>
      </c>
      <c r="L30" s="13" t="e">
        <f>INDEX(#REF!,MATCH(Summary!B30,#REF!,0))</f>
        <v>#REF!</v>
      </c>
      <c r="M30" s="14" t="e">
        <f>IF(J30&gt;1,INDEX(#REF!,MATCH(Summary!B30,#REF!,0)),"")</f>
        <v>#REF!</v>
      </c>
      <c r="O30" s="20" t="e">
        <f>INDEX(#REF!,MATCH(Summary!B30,#REF!,0))</f>
        <v>#REF!</v>
      </c>
      <c r="P30" s="20" t="e">
        <f>INDEX(#REF!,MATCH(Summary!B30,#REF!,0))</f>
        <v>#REF!</v>
      </c>
      <c r="Q30" s="12">
        <f>IFERROR(SUMIFS(#REF!,#REF!,Summary!B30),0)</f>
        <v>0</v>
      </c>
      <c r="R30" s="14" t="str">
        <f>IFERROR(INDEX(#REF!,MATCH(Summary!$B30,#REF!,0)),"")</f>
        <v/>
      </c>
      <c r="S30" s="14" t="e">
        <f>INDEX(#REF!,MATCH(Summary!B30,#REF!,0))</f>
        <v>#REF!</v>
      </c>
      <c r="T30" s="14" t="str">
        <f>IFERROR(INDEX(#REF!,MATCH(Summary!$B30,#REF!,0)),"")</f>
        <v/>
      </c>
    </row>
    <row r="31" spans="1:20" x14ac:dyDescent="0.25">
      <c r="A31" t="e">
        <f t="shared" si="0"/>
        <v>#REF!</v>
      </c>
      <c r="B31" s="9" t="e">
        <f>INDEX(#REF!,MATCH(Summary!A31,#REF!,0))</f>
        <v>#REF!</v>
      </c>
      <c r="C31" s="10">
        <f>IFERROR(SUMIFS(#REF!,#REF!,Summary!B31),0)</f>
        <v>0</v>
      </c>
      <c r="D31" s="11">
        <f>IFERROR(INDEX(#REF!,MATCH(Summary!$B31,#REF!,0)),0)</f>
        <v>0</v>
      </c>
      <c r="E31" s="11" t="e">
        <f>INDEX(#REF!,MATCH(Summary!$B31,#REF!,0))</f>
        <v>#REF!</v>
      </c>
      <c r="F31" s="11" t="e">
        <f>INDEX(#REF!,MATCH(Summary!$B31,#REF!,0))</f>
        <v>#REF!</v>
      </c>
      <c r="G31" s="11" t="e">
        <f>INDEX(#REF!,MATCH(Summary!$B31,#REF!,0))</f>
        <v>#REF!</v>
      </c>
      <c r="H31" s="11" t="e">
        <f>INDEX(#REF!,MATCH(Summary!$B31,#REF!,0))</f>
        <v>#REF!</v>
      </c>
      <c r="I31" s="11" t="e">
        <f>INDEX(#REF!,MATCH(Summary!B31,#REF!,0))</f>
        <v>#REF!</v>
      </c>
      <c r="J31" s="12" t="e">
        <f>INDEX(#REF!,MATCH(Summary!$B31,#REF!,0))</f>
        <v>#REF!</v>
      </c>
      <c r="K31" s="12" t="e">
        <f>SUMIFS(#REF!,#REF!,Summary!B31)</f>
        <v>#REF!</v>
      </c>
      <c r="L31" s="13" t="e">
        <f>INDEX(#REF!,MATCH(Summary!B31,#REF!,0))</f>
        <v>#REF!</v>
      </c>
      <c r="M31" s="14" t="e">
        <f>IF(J31&gt;1,INDEX(#REF!,MATCH(Summary!B31,#REF!,0)),"")</f>
        <v>#REF!</v>
      </c>
      <c r="O31" s="20" t="e">
        <f>INDEX(#REF!,MATCH(Summary!B31,#REF!,0))</f>
        <v>#REF!</v>
      </c>
      <c r="P31" s="20" t="e">
        <f>INDEX(#REF!,MATCH(Summary!B31,#REF!,0))</f>
        <v>#REF!</v>
      </c>
      <c r="Q31" s="12">
        <f>IFERROR(SUMIFS(#REF!,#REF!,Summary!B31),0)</f>
        <v>0</v>
      </c>
      <c r="R31" s="14" t="str">
        <f>IFERROR(INDEX(#REF!,MATCH(Summary!$B31,#REF!,0)),"")</f>
        <v/>
      </c>
      <c r="S31" s="14" t="e">
        <f>INDEX(#REF!,MATCH(Summary!B31,#REF!,0))</f>
        <v>#REF!</v>
      </c>
      <c r="T31" s="14" t="str">
        <f>IFERROR(INDEX(#REF!,MATCH(Summary!$B31,#REF!,0)),"")</f>
        <v/>
      </c>
    </row>
    <row r="32" spans="1:20" x14ac:dyDescent="0.25">
      <c r="A32" t="e">
        <f t="shared" si="0"/>
        <v>#REF!</v>
      </c>
      <c r="B32" s="9" t="e">
        <f>INDEX(#REF!,MATCH(Summary!A32,#REF!,0))</f>
        <v>#REF!</v>
      </c>
      <c r="C32" s="10">
        <f>IFERROR(SUMIFS(#REF!,#REF!,Summary!B32),0)</f>
        <v>0</v>
      </c>
      <c r="D32" s="11">
        <f>IFERROR(INDEX(#REF!,MATCH(Summary!$B32,#REF!,0)),0)</f>
        <v>0</v>
      </c>
      <c r="E32" s="11" t="e">
        <f>INDEX(#REF!,MATCH(Summary!$B32,#REF!,0))</f>
        <v>#REF!</v>
      </c>
      <c r="F32" s="11" t="e">
        <f>INDEX(#REF!,MATCH(Summary!$B32,#REF!,0))</f>
        <v>#REF!</v>
      </c>
      <c r="G32" s="11" t="e">
        <f>INDEX(#REF!,MATCH(Summary!$B32,#REF!,0))</f>
        <v>#REF!</v>
      </c>
      <c r="H32" s="11" t="e">
        <f>INDEX(#REF!,MATCH(Summary!$B32,#REF!,0))</f>
        <v>#REF!</v>
      </c>
      <c r="I32" s="11" t="e">
        <f>INDEX(#REF!,MATCH(Summary!B32,#REF!,0))</f>
        <v>#REF!</v>
      </c>
      <c r="J32" s="12" t="e">
        <f>INDEX(#REF!,MATCH(Summary!$B32,#REF!,0))</f>
        <v>#REF!</v>
      </c>
      <c r="K32" s="12" t="e">
        <f>SUMIFS(#REF!,#REF!,Summary!B32)</f>
        <v>#REF!</v>
      </c>
      <c r="L32" s="13" t="e">
        <f>INDEX(#REF!,MATCH(Summary!B32,#REF!,0))</f>
        <v>#REF!</v>
      </c>
      <c r="M32" s="14" t="e">
        <f>IF(J32&gt;1,INDEX(#REF!,MATCH(Summary!B32,#REF!,0)),"")</f>
        <v>#REF!</v>
      </c>
      <c r="O32" s="20" t="e">
        <f>INDEX(#REF!,MATCH(Summary!B32,#REF!,0))</f>
        <v>#REF!</v>
      </c>
      <c r="P32" s="20" t="e">
        <f>INDEX(#REF!,MATCH(Summary!B32,#REF!,0))</f>
        <v>#REF!</v>
      </c>
      <c r="Q32" s="12">
        <f>IFERROR(SUMIFS(#REF!,#REF!,Summary!B32),0)</f>
        <v>0</v>
      </c>
      <c r="R32" s="14" t="str">
        <f>IFERROR(INDEX(#REF!,MATCH(Summary!$B32,#REF!,0)),"")</f>
        <v/>
      </c>
      <c r="S32" s="14" t="e">
        <f>INDEX(#REF!,MATCH(Summary!B32,#REF!,0))</f>
        <v>#REF!</v>
      </c>
      <c r="T32" s="14" t="str">
        <f>IFERROR(INDEX(#REF!,MATCH(Summary!$B32,#REF!,0)),"")</f>
        <v/>
      </c>
    </row>
    <row r="33" spans="1:20" x14ac:dyDescent="0.25">
      <c r="A33" t="e">
        <f t="shared" si="0"/>
        <v>#REF!</v>
      </c>
      <c r="B33" s="9" t="e">
        <f>INDEX(#REF!,MATCH(Summary!A33,#REF!,0))</f>
        <v>#REF!</v>
      </c>
      <c r="C33" s="10">
        <f>IFERROR(SUMIFS(#REF!,#REF!,Summary!B33),0)</f>
        <v>0</v>
      </c>
      <c r="D33" s="11">
        <f>IFERROR(INDEX(#REF!,MATCH(Summary!$B33,#REF!,0)),0)</f>
        <v>0</v>
      </c>
      <c r="E33" s="11" t="e">
        <f>INDEX(#REF!,MATCH(Summary!$B33,#REF!,0))</f>
        <v>#REF!</v>
      </c>
      <c r="F33" s="11" t="e">
        <f>INDEX(#REF!,MATCH(Summary!$B33,#REF!,0))</f>
        <v>#REF!</v>
      </c>
      <c r="G33" s="11" t="e">
        <f>INDEX(#REF!,MATCH(Summary!$B33,#REF!,0))</f>
        <v>#REF!</v>
      </c>
      <c r="H33" s="11" t="e">
        <f>INDEX(#REF!,MATCH(Summary!$B33,#REF!,0))</f>
        <v>#REF!</v>
      </c>
      <c r="I33" s="11" t="e">
        <f>INDEX(#REF!,MATCH(Summary!B33,#REF!,0))</f>
        <v>#REF!</v>
      </c>
      <c r="J33" s="12" t="e">
        <f>INDEX(#REF!,MATCH(Summary!$B33,#REF!,0))</f>
        <v>#REF!</v>
      </c>
      <c r="K33" s="12" t="e">
        <f>SUMIFS(#REF!,#REF!,Summary!B33)</f>
        <v>#REF!</v>
      </c>
      <c r="L33" s="13" t="e">
        <f>INDEX(#REF!,MATCH(Summary!B33,#REF!,0))</f>
        <v>#REF!</v>
      </c>
      <c r="M33" s="14" t="e">
        <f>IF(J33&gt;1,INDEX(#REF!,MATCH(Summary!B33,#REF!,0)),"")</f>
        <v>#REF!</v>
      </c>
      <c r="O33" s="20" t="e">
        <f>INDEX(#REF!,MATCH(Summary!B33,#REF!,0))</f>
        <v>#REF!</v>
      </c>
      <c r="P33" s="20" t="e">
        <f>INDEX(#REF!,MATCH(Summary!B33,#REF!,0))</f>
        <v>#REF!</v>
      </c>
      <c r="Q33" s="12">
        <f>IFERROR(SUMIFS(#REF!,#REF!,Summary!B33),0)</f>
        <v>0</v>
      </c>
      <c r="R33" s="14" t="str">
        <f>IFERROR(INDEX(#REF!,MATCH(Summary!$B33,#REF!,0)),"")</f>
        <v/>
      </c>
      <c r="S33" s="14" t="e">
        <f>INDEX(#REF!,MATCH(Summary!B33,#REF!,0))</f>
        <v>#REF!</v>
      </c>
      <c r="T33" s="14" t="str">
        <f>IFERROR(INDEX(#REF!,MATCH(Summary!$B33,#REF!,0)),"")</f>
        <v/>
      </c>
    </row>
    <row r="34" spans="1:20" x14ac:dyDescent="0.25">
      <c r="A34" t="e">
        <f t="shared" si="0"/>
        <v>#REF!</v>
      </c>
      <c r="B34" s="9" t="e">
        <f>INDEX(#REF!,MATCH(Summary!A34,#REF!,0))</f>
        <v>#REF!</v>
      </c>
      <c r="C34" s="10">
        <f>IFERROR(SUMIFS(#REF!,#REF!,Summary!B34),0)</f>
        <v>0</v>
      </c>
      <c r="D34" s="11">
        <f>IFERROR(INDEX(#REF!,MATCH(Summary!$B34,#REF!,0)),0)</f>
        <v>0</v>
      </c>
      <c r="E34" s="11" t="e">
        <f>INDEX(#REF!,MATCH(Summary!$B34,#REF!,0))</f>
        <v>#REF!</v>
      </c>
      <c r="F34" s="11" t="e">
        <f>INDEX(#REF!,MATCH(Summary!$B34,#REF!,0))</f>
        <v>#REF!</v>
      </c>
      <c r="G34" s="11" t="e">
        <f>INDEX(#REF!,MATCH(Summary!$B34,#REF!,0))</f>
        <v>#REF!</v>
      </c>
      <c r="H34" s="11" t="e">
        <f>INDEX(#REF!,MATCH(Summary!$B34,#REF!,0))</f>
        <v>#REF!</v>
      </c>
      <c r="I34" s="11" t="e">
        <f>INDEX(#REF!,MATCH(Summary!B34,#REF!,0))</f>
        <v>#REF!</v>
      </c>
      <c r="J34" s="12" t="e">
        <f>INDEX(#REF!,MATCH(Summary!$B34,#REF!,0))</f>
        <v>#REF!</v>
      </c>
      <c r="K34" s="12" t="e">
        <f>SUMIFS(#REF!,#REF!,Summary!B34)</f>
        <v>#REF!</v>
      </c>
      <c r="L34" s="13" t="e">
        <f>INDEX(#REF!,MATCH(Summary!B34,#REF!,0))</f>
        <v>#REF!</v>
      </c>
      <c r="M34" s="14" t="e">
        <f>IF(J34&gt;1,INDEX(#REF!,MATCH(Summary!B34,#REF!,0)),"")</f>
        <v>#REF!</v>
      </c>
      <c r="O34" s="20" t="e">
        <f>INDEX(#REF!,MATCH(Summary!B34,#REF!,0))</f>
        <v>#REF!</v>
      </c>
      <c r="P34" s="20" t="e">
        <f>INDEX(#REF!,MATCH(Summary!B34,#REF!,0))</f>
        <v>#REF!</v>
      </c>
      <c r="Q34" s="12">
        <f>IFERROR(SUMIFS(#REF!,#REF!,Summary!B34),0)</f>
        <v>0</v>
      </c>
      <c r="R34" s="14" t="str">
        <f>IFERROR(INDEX(#REF!,MATCH(Summary!$B34,#REF!,0)),"")</f>
        <v/>
      </c>
      <c r="S34" s="14" t="e">
        <f>INDEX(#REF!,MATCH(Summary!B34,#REF!,0))</f>
        <v>#REF!</v>
      </c>
      <c r="T34" s="14" t="str">
        <f>IFERROR(INDEX(#REF!,MATCH(Summary!$B34,#REF!,0)),"")</f>
        <v/>
      </c>
    </row>
    <row r="35" spans="1:20" x14ac:dyDescent="0.25">
      <c r="A35" t="e">
        <f t="shared" ref="A35:A65" si="1">IF(AND(A34&gt;1,A34&lt;&gt;""),A34-1,"")</f>
        <v>#REF!</v>
      </c>
      <c r="B35" s="9" t="e">
        <f>INDEX(#REF!,MATCH(Summary!A35,#REF!,0))</f>
        <v>#REF!</v>
      </c>
      <c r="C35" s="10">
        <f>IFERROR(SUMIFS(#REF!,#REF!,Summary!B35),0)</f>
        <v>0</v>
      </c>
      <c r="D35" s="11">
        <f>IFERROR(INDEX(#REF!,MATCH(Summary!$B35,#REF!,0)),0)</f>
        <v>0</v>
      </c>
      <c r="E35" s="11" t="e">
        <f>INDEX(#REF!,MATCH(Summary!$B35,#REF!,0))</f>
        <v>#REF!</v>
      </c>
      <c r="F35" s="11" t="e">
        <f>INDEX(#REF!,MATCH(Summary!$B35,#REF!,0))</f>
        <v>#REF!</v>
      </c>
      <c r="G35" s="11" t="e">
        <f>INDEX(#REF!,MATCH(Summary!$B35,#REF!,0))</f>
        <v>#REF!</v>
      </c>
      <c r="H35" s="11" t="e">
        <f>INDEX(#REF!,MATCH(Summary!$B35,#REF!,0))</f>
        <v>#REF!</v>
      </c>
      <c r="I35" s="11" t="e">
        <f>INDEX(#REF!,MATCH(Summary!B35,#REF!,0))</f>
        <v>#REF!</v>
      </c>
      <c r="J35" s="12" t="e">
        <f>INDEX(#REF!,MATCH(Summary!$B35,#REF!,0))</f>
        <v>#REF!</v>
      </c>
      <c r="K35" s="12" t="e">
        <f>SUMIFS(#REF!,#REF!,Summary!B35)</f>
        <v>#REF!</v>
      </c>
      <c r="L35" s="13" t="e">
        <f>INDEX(#REF!,MATCH(Summary!B35,#REF!,0))</f>
        <v>#REF!</v>
      </c>
      <c r="M35" s="14" t="e">
        <f>IF(J35&gt;1,INDEX(#REF!,MATCH(Summary!B35,#REF!,0)),"")</f>
        <v>#REF!</v>
      </c>
      <c r="O35" s="20" t="e">
        <f>INDEX(#REF!,MATCH(Summary!B35,#REF!,0))</f>
        <v>#REF!</v>
      </c>
      <c r="P35" s="20" t="e">
        <f>INDEX(#REF!,MATCH(Summary!B35,#REF!,0))</f>
        <v>#REF!</v>
      </c>
      <c r="Q35" s="12">
        <f>IFERROR(SUMIFS(#REF!,#REF!,Summary!B35),0)</f>
        <v>0</v>
      </c>
      <c r="R35" s="14" t="str">
        <f>IFERROR(INDEX(#REF!,MATCH(Summary!$B35,#REF!,0)),"")</f>
        <v/>
      </c>
      <c r="S35" s="14" t="e">
        <f>INDEX(#REF!,MATCH(Summary!B35,#REF!,0))</f>
        <v>#REF!</v>
      </c>
      <c r="T35" s="14" t="str">
        <f>IFERROR(INDEX(#REF!,MATCH(Summary!$B35,#REF!,0)),"")</f>
        <v/>
      </c>
    </row>
    <row r="36" spans="1:20" x14ac:dyDescent="0.25">
      <c r="A36" t="e">
        <f t="shared" si="1"/>
        <v>#REF!</v>
      </c>
      <c r="B36" s="9" t="e">
        <f>INDEX(#REF!,MATCH(Summary!A36,#REF!,0))</f>
        <v>#REF!</v>
      </c>
      <c r="C36" s="10">
        <f>IFERROR(SUMIFS(#REF!,#REF!,Summary!B36),0)</f>
        <v>0</v>
      </c>
      <c r="D36" s="11">
        <f>IFERROR(INDEX(#REF!,MATCH(Summary!$B36,#REF!,0)),0)</f>
        <v>0</v>
      </c>
      <c r="E36" s="11" t="e">
        <f>INDEX(#REF!,MATCH(Summary!$B36,#REF!,0))</f>
        <v>#REF!</v>
      </c>
      <c r="F36" s="11" t="e">
        <f>INDEX(#REF!,MATCH(Summary!$B36,#REF!,0))</f>
        <v>#REF!</v>
      </c>
      <c r="G36" s="11" t="e">
        <f>INDEX(#REF!,MATCH(Summary!$B36,#REF!,0))</f>
        <v>#REF!</v>
      </c>
      <c r="H36" s="11" t="e">
        <f>INDEX(#REF!,MATCH(Summary!$B36,#REF!,0))</f>
        <v>#REF!</v>
      </c>
      <c r="I36" s="11" t="e">
        <f>INDEX(#REF!,MATCH(Summary!B36,#REF!,0))</f>
        <v>#REF!</v>
      </c>
      <c r="J36" s="12" t="e">
        <f>INDEX(#REF!,MATCH(Summary!$B36,#REF!,0))</f>
        <v>#REF!</v>
      </c>
      <c r="K36" s="12" t="e">
        <f>SUMIFS(#REF!,#REF!,Summary!B36)</f>
        <v>#REF!</v>
      </c>
      <c r="L36" s="13" t="e">
        <f>INDEX(#REF!,MATCH(Summary!B36,#REF!,0))</f>
        <v>#REF!</v>
      </c>
      <c r="M36" s="14" t="e">
        <f>IF(J36&gt;1,INDEX(#REF!,MATCH(Summary!B36,#REF!,0)),"")</f>
        <v>#REF!</v>
      </c>
      <c r="O36" s="20" t="e">
        <f>INDEX(#REF!,MATCH(Summary!B36,#REF!,0))</f>
        <v>#REF!</v>
      </c>
      <c r="P36" s="20" t="e">
        <f>INDEX(#REF!,MATCH(Summary!B36,#REF!,0))</f>
        <v>#REF!</v>
      </c>
      <c r="Q36" s="12">
        <f>IFERROR(SUMIFS(#REF!,#REF!,Summary!B36),0)</f>
        <v>0</v>
      </c>
      <c r="R36" s="14" t="str">
        <f>IFERROR(INDEX(#REF!,MATCH(Summary!$B36,#REF!,0)),"")</f>
        <v/>
      </c>
      <c r="S36" s="14" t="e">
        <f>INDEX(#REF!,MATCH(Summary!B36,#REF!,0))</f>
        <v>#REF!</v>
      </c>
      <c r="T36" s="14" t="str">
        <f>IFERROR(INDEX(#REF!,MATCH(Summary!$B36,#REF!,0)),"")</f>
        <v/>
      </c>
    </row>
    <row r="37" spans="1:20" x14ac:dyDescent="0.25">
      <c r="A37" t="e">
        <f t="shared" si="1"/>
        <v>#REF!</v>
      </c>
      <c r="B37" s="9" t="e">
        <f>INDEX(#REF!,MATCH(Summary!A37,#REF!,0))</f>
        <v>#REF!</v>
      </c>
      <c r="C37" s="10">
        <f>IFERROR(SUMIFS(#REF!,#REF!,Summary!B37),0)</f>
        <v>0</v>
      </c>
      <c r="D37" s="11">
        <f>IFERROR(INDEX(#REF!,MATCH(Summary!$B37,#REF!,0)),0)</f>
        <v>0</v>
      </c>
      <c r="E37" s="11" t="e">
        <f>INDEX(#REF!,MATCH(Summary!$B37,#REF!,0))</f>
        <v>#REF!</v>
      </c>
      <c r="F37" s="11" t="e">
        <f>INDEX(#REF!,MATCH(Summary!$B37,#REF!,0))</f>
        <v>#REF!</v>
      </c>
      <c r="G37" s="11" t="e">
        <f>INDEX(#REF!,MATCH(Summary!$B37,#REF!,0))</f>
        <v>#REF!</v>
      </c>
      <c r="H37" s="11" t="e">
        <f>INDEX(#REF!,MATCH(Summary!$B37,#REF!,0))</f>
        <v>#REF!</v>
      </c>
      <c r="I37" s="11" t="e">
        <f>INDEX(#REF!,MATCH(Summary!B37,#REF!,0))</f>
        <v>#REF!</v>
      </c>
      <c r="J37" s="12" t="e">
        <f>INDEX(#REF!,MATCH(Summary!$B37,#REF!,0))</f>
        <v>#REF!</v>
      </c>
      <c r="K37" s="12" t="e">
        <f>SUMIFS(#REF!,#REF!,Summary!B37)</f>
        <v>#REF!</v>
      </c>
      <c r="L37" s="13" t="e">
        <f>INDEX(#REF!,MATCH(Summary!B37,#REF!,0))</f>
        <v>#REF!</v>
      </c>
      <c r="M37" s="14" t="e">
        <f>IF(J37&gt;1,INDEX(#REF!,MATCH(Summary!B37,#REF!,0)),"")</f>
        <v>#REF!</v>
      </c>
      <c r="O37" s="20" t="e">
        <f>INDEX(#REF!,MATCH(Summary!B37,#REF!,0))</f>
        <v>#REF!</v>
      </c>
      <c r="P37" s="20" t="e">
        <f>INDEX(#REF!,MATCH(Summary!B37,#REF!,0))</f>
        <v>#REF!</v>
      </c>
      <c r="Q37" s="12">
        <f>IFERROR(SUMIFS(#REF!,#REF!,Summary!B37),0)</f>
        <v>0</v>
      </c>
      <c r="R37" s="14" t="str">
        <f>IFERROR(INDEX(#REF!,MATCH(Summary!$B37,#REF!,0)),"")</f>
        <v/>
      </c>
      <c r="S37" s="14" t="e">
        <f>INDEX(#REF!,MATCH(Summary!B37,#REF!,0))</f>
        <v>#REF!</v>
      </c>
      <c r="T37" s="14" t="str">
        <f>IFERROR(INDEX(#REF!,MATCH(Summary!$B37,#REF!,0)),"")</f>
        <v/>
      </c>
    </row>
    <row r="38" spans="1:20" x14ac:dyDescent="0.25">
      <c r="A38" t="e">
        <f t="shared" si="1"/>
        <v>#REF!</v>
      </c>
      <c r="B38" s="9" t="e">
        <f>INDEX(#REF!,MATCH(Summary!A38,#REF!,0))</f>
        <v>#REF!</v>
      </c>
      <c r="C38" s="10">
        <f>IFERROR(SUMIFS(#REF!,#REF!,Summary!B38),0)</f>
        <v>0</v>
      </c>
      <c r="D38" s="11">
        <f>IFERROR(INDEX(#REF!,MATCH(Summary!$B38,#REF!,0)),0)</f>
        <v>0</v>
      </c>
      <c r="E38" s="11" t="e">
        <f>INDEX(#REF!,MATCH(Summary!$B38,#REF!,0))</f>
        <v>#REF!</v>
      </c>
      <c r="F38" s="11" t="e">
        <f>INDEX(#REF!,MATCH(Summary!$B38,#REF!,0))</f>
        <v>#REF!</v>
      </c>
      <c r="G38" s="11" t="e">
        <f>INDEX(#REF!,MATCH(Summary!$B38,#REF!,0))</f>
        <v>#REF!</v>
      </c>
      <c r="H38" s="11" t="e">
        <f>INDEX(#REF!,MATCH(Summary!$B38,#REF!,0))</f>
        <v>#REF!</v>
      </c>
      <c r="I38" s="11" t="e">
        <f>INDEX(#REF!,MATCH(Summary!B38,#REF!,0))</f>
        <v>#REF!</v>
      </c>
      <c r="J38" s="12" t="e">
        <f>INDEX(#REF!,MATCH(Summary!$B38,#REF!,0))</f>
        <v>#REF!</v>
      </c>
      <c r="K38" s="12" t="e">
        <f>SUMIFS(#REF!,#REF!,Summary!B38)</f>
        <v>#REF!</v>
      </c>
      <c r="L38" s="13" t="e">
        <f>INDEX(#REF!,MATCH(Summary!B38,#REF!,0))</f>
        <v>#REF!</v>
      </c>
      <c r="M38" s="14" t="e">
        <f>IF(J38&gt;1,INDEX(#REF!,MATCH(Summary!B38,#REF!,0)),"")</f>
        <v>#REF!</v>
      </c>
      <c r="O38" s="20" t="e">
        <f>INDEX(#REF!,MATCH(Summary!B38,#REF!,0))</f>
        <v>#REF!</v>
      </c>
      <c r="P38" s="20" t="e">
        <f>INDEX(#REF!,MATCH(Summary!B38,#REF!,0))</f>
        <v>#REF!</v>
      </c>
      <c r="Q38" s="12">
        <f>IFERROR(SUMIFS(#REF!,#REF!,Summary!B38),0)</f>
        <v>0</v>
      </c>
      <c r="R38" s="14" t="str">
        <f>IFERROR(INDEX(#REF!,MATCH(Summary!$B38,#REF!,0)),"")</f>
        <v/>
      </c>
      <c r="S38" s="14" t="e">
        <f>INDEX(#REF!,MATCH(Summary!B38,#REF!,0))</f>
        <v>#REF!</v>
      </c>
      <c r="T38" s="14" t="str">
        <f>IFERROR(INDEX(#REF!,MATCH(Summary!$B38,#REF!,0)),"")</f>
        <v/>
      </c>
    </row>
    <row r="39" spans="1:20" x14ac:dyDescent="0.25">
      <c r="A39" t="e">
        <f t="shared" si="1"/>
        <v>#REF!</v>
      </c>
      <c r="B39" s="9" t="e">
        <f>INDEX(#REF!,MATCH(Summary!A39,#REF!,0))</f>
        <v>#REF!</v>
      </c>
      <c r="C39" s="10">
        <f>IFERROR(SUMIFS(#REF!,#REF!,Summary!B39),0)</f>
        <v>0</v>
      </c>
      <c r="D39" s="11">
        <f>IFERROR(INDEX(#REF!,MATCH(Summary!$B39,#REF!,0)),0)</f>
        <v>0</v>
      </c>
      <c r="E39" s="11" t="e">
        <f>INDEX(#REF!,MATCH(Summary!$B39,#REF!,0))</f>
        <v>#REF!</v>
      </c>
      <c r="F39" s="11" t="e">
        <f>INDEX(#REF!,MATCH(Summary!$B39,#REF!,0))</f>
        <v>#REF!</v>
      </c>
      <c r="G39" s="11" t="e">
        <f>INDEX(#REF!,MATCH(Summary!$B39,#REF!,0))</f>
        <v>#REF!</v>
      </c>
      <c r="H39" s="11" t="e">
        <f>INDEX(#REF!,MATCH(Summary!$B39,#REF!,0))</f>
        <v>#REF!</v>
      </c>
      <c r="I39" s="11" t="e">
        <f>INDEX(#REF!,MATCH(Summary!B39,#REF!,0))</f>
        <v>#REF!</v>
      </c>
      <c r="J39" s="12" t="e">
        <f>INDEX(#REF!,MATCH(Summary!$B39,#REF!,0))</f>
        <v>#REF!</v>
      </c>
      <c r="K39" s="12" t="e">
        <f>SUMIFS(#REF!,#REF!,Summary!B39)</f>
        <v>#REF!</v>
      </c>
      <c r="L39" s="13" t="e">
        <f>INDEX(#REF!,MATCH(Summary!B39,#REF!,0))</f>
        <v>#REF!</v>
      </c>
      <c r="M39" s="14" t="e">
        <f>IF(J39&gt;1,INDEX(#REF!,MATCH(Summary!B39,#REF!,0)),"")</f>
        <v>#REF!</v>
      </c>
      <c r="O39" s="20" t="e">
        <f>INDEX(#REF!,MATCH(Summary!B39,#REF!,0))</f>
        <v>#REF!</v>
      </c>
      <c r="P39" s="20" t="e">
        <f>INDEX(#REF!,MATCH(Summary!B39,#REF!,0))</f>
        <v>#REF!</v>
      </c>
      <c r="Q39" s="12">
        <f>IFERROR(SUMIFS(#REF!,#REF!,Summary!B39),0)</f>
        <v>0</v>
      </c>
      <c r="R39" s="14" t="str">
        <f>IFERROR(INDEX(#REF!,MATCH(Summary!$B39,#REF!,0)),"")</f>
        <v/>
      </c>
      <c r="S39" s="14" t="e">
        <f>INDEX(#REF!,MATCH(Summary!B39,#REF!,0))</f>
        <v>#REF!</v>
      </c>
      <c r="T39" s="14" t="str">
        <f>IFERROR(INDEX(#REF!,MATCH(Summary!$B39,#REF!,0)),"")</f>
        <v/>
      </c>
    </row>
    <row r="40" spans="1:20" x14ac:dyDescent="0.25">
      <c r="A40" t="e">
        <f t="shared" si="1"/>
        <v>#REF!</v>
      </c>
      <c r="B40" s="9" t="e">
        <f>INDEX(#REF!,MATCH(Summary!A40,#REF!,0))</f>
        <v>#REF!</v>
      </c>
      <c r="C40" s="10">
        <f>IFERROR(SUMIFS(#REF!,#REF!,Summary!B40),0)</f>
        <v>0</v>
      </c>
      <c r="D40" s="11">
        <f>IFERROR(INDEX(#REF!,MATCH(Summary!$B40,#REF!,0)),0)</f>
        <v>0</v>
      </c>
      <c r="E40" s="11" t="e">
        <f>INDEX(#REF!,MATCH(Summary!$B40,#REF!,0))</f>
        <v>#REF!</v>
      </c>
      <c r="F40" s="11" t="e">
        <f>INDEX(#REF!,MATCH(Summary!$B40,#REF!,0))</f>
        <v>#REF!</v>
      </c>
      <c r="G40" s="11" t="e">
        <f>INDEX(#REF!,MATCH(Summary!$B40,#REF!,0))</f>
        <v>#REF!</v>
      </c>
      <c r="H40" s="11" t="e">
        <f>INDEX(#REF!,MATCH(Summary!$B40,#REF!,0))</f>
        <v>#REF!</v>
      </c>
      <c r="I40" s="11" t="e">
        <f>INDEX(#REF!,MATCH(Summary!B40,#REF!,0))</f>
        <v>#REF!</v>
      </c>
      <c r="J40" s="12" t="e">
        <f>INDEX(#REF!,MATCH(Summary!$B40,#REF!,0))</f>
        <v>#REF!</v>
      </c>
      <c r="K40" s="12" t="e">
        <f>SUMIFS(#REF!,#REF!,Summary!B40)</f>
        <v>#REF!</v>
      </c>
      <c r="L40" s="13" t="e">
        <f>INDEX(#REF!,MATCH(Summary!B40,#REF!,0))</f>
        <v>#REF!</v>
      </c>
      <c r="M40" s="14" t="e">
        <f>IF(J40&gt;1,INDEX(#REF!,MATCH(Summary!B40,#REF!,0)),"")</f>
        <v>#REF!</v>
      </c>
      <c r="O40" s="20" t="e">
        <f>INDEX(#REF!,MATCH(Summary!B40,#REF!,0))</f>
        <v>#REF!</v>
      </c>
      <c r="P40" s="20" t="e">
        <f>INDEX(#REF!,MATCH(Summary!B40,#REF!,0))</f>
        <v>#REF!</v>
      </c>
      <c r="Q40" s="12">
        <f>IFERROR(SUMIFS(#REF!,#REF!,Summary!B40),0)</f>
        <v>0</v>
      </c>
      <c r="R40" s="14" t="str">
        <f>IFERROR(INDEX(#REF!,MATCH(Summary!$B40,#REF!,0)),"")</f>
        <v/>
      </c>
      <c r="S40" s="14" t="e">
        <f>INDEX(#REF!,MATCH(Summary!B40,#REF!,0))</f>
        <v>#REF!</v>
      </c>
      <c r="T40" s="14" t="str">
        <f>IFERROR(INDEX(#REF!,MATCH(Summary!$B40,#REF!,0)),"")</f>
        <v/>
      </c>
    </row>
    <row r="41" spans="1:20" x14ac:dyDescent="0.25">
      <c r="A41" t="e">
        <f t="shared" si="1"/>
        <v>#REF!</v>
      </c>
      <c r="B41" s="9" t="e">
        <f>INDEX(#REF!,MATCH(Summary!A41,#REF!,0))</f>
        <v>#REF!</v>
      </c>
      <c r="C41" s="10">
        <f>IFERROR(SUMIFS(#REF!,#REF!,Summary!B41),0)</f>
        <v>0</v>
      </c>
      <c r="D41" s="11">
        <f>IFERROR(INDEX(#REF!,MATCH(Summary!$B41,#REF!,0)),0)</f>
        <v>0</v>
      </c>
      <c r="E41" s="11" t="e">
        <f>INDEX(#REF!,MATCH(Summary!$B41,#REF!,0))</f>
        <v>#REF!</v>
      </c>
      <c r="F41" s="11" t="e">
        <f>INDEX(#REF!,MATCH(Summary!$B41,#REF!,0))</f>
        <v>#REF!</v>
      </c>
      <c r="G41" s="11" t="e">
        <f>INDEX(#REF!,MATCH(Summary!$B41,#REF!,0))</f>
        <v>#REF!</v>
      </c>
      <c r="H41" s="11" t="e">
        <f>INDEX(#REF!,MATCH(Summary!$B41,#REF!,0))</f>
        <v>#REF!</v>
      </c>
      <c r="I41" s="11" t="e">
        <f>INDEX(#REF!,MATCH(Summary!B41,#REF!,0))</f>
        <v>#REF!</v>
      </c>
      <c r="J41" s="12" t="e">
        <f>INDEX(#REF!,MATCH(Summary!$B41,#REF!,0))</f>
        <v>#REF!</v>
      </c>
      <c r="K41" s="12" t="e">
        <f>SUMIFS(#REF!,#REF!,Summary!B41)</f>
        <v>#REF!</v>
      </c>
      <c r="L41" s="13" t="e">
        <f>INDEX(#REF!,MATCH(Summary!B41,#REF!,0))</f>
        <v>#REF!</v>
      </c>
      <c r="M41" s="14" t="e">
        <f>IF(J41&gt;1,INDEX(#REF!,MATCH(Summary!B41,#REF!,0)),"")</f>
        <v>#REF!</v>
      </c>
      <c r="O41" s="20" t="e">
        <f>INDEX(#REF!,MATCH(Summary!B41,#REF!,0))</f>
        <v>#REF!</v>
      </c>
      <c r="P41" s="20" t="e">
        <f>INDEX(#REF!,MATCH(Summary!B41,#REF!,0))</f>
        <v>#REF!</v>
      </c>
      <c r="Q41" s="12">
        <f>IFERROR(SUMIFS(#REF!,#REF!,Summary!B41),0)</f>
        <v>0</v>
      </c>
      <c r="R41" s="14" t="str">
        <f>IFERROR(INDEX(#REF!,MATCH(Summary!$B41,#REF!,0)),"")</f>
        <v/>
      </c>
      <c r="S41" s="14" t="e">
        <f>INDEX(#REF!,MATCH(Summary!B41,#REF!,0))</f>
        <v>#REF!</v>
      </c>
      <c r="T41" s="14" t="str">
        <f>IFERROR(INDEX(#REF!,MATCH(Summary!$B41,#REF!,0)),"")</f>
        <v/>
      </c>
    </row>
    <row r="42" spans="1:20" x14ac:dyDescent="0.25">
      <c r="A42" t="e">
        <f t="shared" si="1"/>
        <v>#REF!</v>
      </c>
      <c r="B42" s="9" t="e">
        <f>INDEX(#REF!,MATCH(Summary!A42,#REF!,0))</f>
        <v>#REF!</v>
      </c>
      <c r="C42" s="10">
        <f>IFERROR(SUMIFS(#REF!,#REF!,Summary!B42),0)</f>
        <v>0</v>
      </c>
      <c r="D42" s="11">
        <f>IFERROR(INDEX(#REF!,MATCH(Summary!$B42,#REF!,0)),0)</f>
        <v>0</v>
      </c>
      <c r="E42" s="11" t="e">
        <f>INDEX(#REF!,MATCH(Summary!$B42,#REF!,0))</f>
        <v>#REF!</v>
      </c>
      <c r="F42" s="11" t="e">
        <f>INDEX(#REF!,MATCH(Summary!$B42,#REF!,0))</f>
        <v>#REF!</v>
      </c>
      <c r="G42" s="11" t="e">
        <f>INDEX(#REF!,MATCH(Summary!$B42,#REF!,0))</f>
        <v>#REF!</v>
      </c>
      <c r="H42" s="11" t="e">
        <f>INDEX(#REF!,MATCH(Summary!$B42,#REF!,0))</f>
        <v>#REF!</v>
      </c>
      <c r="I42" s="11" t="e">
        <f>INDEX(#REF!,MATCH(Summary!B42,#REF!,0))</f>
        <v>#REF!</v>
      </c>
      <c r="J42" s="12" t="e">
        <f>INDEX(#REF!,MATCH(Summary!$B42,#REF!,0))</f>
        <v>#REF!</v>
      </c>
      <c r="K42" s="12" t="e">
        <f>SUMIFS(#REF!,#REF!,Summary!B42)</f>
        <v>#REF!</v>
      </c>
      <c r="L42" s="13" t="e">
        <f>INDEX(#REF!,MATCH(Summary!B42,#REF!,0))</f>
        <v>#REF!</v>
      </c>
      <c r="M42" s="14" t="e">
        <f>IF(J42&gt;1,INDEX(#REF!,MATCH(Summary!B42,#REF!,0)),"")</f>
        <v>#REF!</v>
      </c>
      <c r="O42" s="20" t="e">
        <f>INDEX(#REF!,MATCH(Summary!B42,#REF!,0))</f>
        <v>#REF!</v>
      </c>
      <c r="P42" s="20" t="e">
        <f>INDEX(#REF!,MATCH(Summary!B42,#REF!,0))</f>
        <v>#REF!</v>
      </c>
      <c r="Q42" s="12">
        <f>IFERROR(SUMIFS(#REF!,#REF!,Summary!B42),0)</f>
        <v>0</v>
      </c>
      <c r="R42" s="14" t="str">
        <f>IFERROR(INDEX(#REF!,MATCH(Summary!$B42,#REF!,0)),"")</f>
        <v/>
      </c>
      <c r="S42" s="14" t="e">
        <f>INDEX(#REF!,MATCH(Summary!B42,#REF!,0))</f>
        <v>#REF!</v>
      </c>
      <c r="T42" s="14" t="str">
        <f>IFERROR(INDEX(#REF!,MATCH(Summary!$B42,#REF!,0)),"")</f>
        <v/>
      </c>
    </row>
    <row r="43" spans="1:20" x14ac:dyDescent="0.25">
      <c r="A43" t="e">
        <f t="shared" si="1"/>
        <v>#REF!</v>
      </c>
      <c r="B43" s="9" t="e">
        <f>INDEX(#REF!,MATCH(Summary!A43,#REF!,0))</f>
        <v>#REF!</v>
      </c>
      <c r="C43" s="10">
        <f>IFERROR(SUMIFS(#REF!,#REF!,Summary!B43),0)</f>
        <v>0</v>
      </c>
      <c r="D43" s="11">
        <f>IFERROR(INDEX(#REF!,MATCH(Summary!$B43,#REF!,0)),0)</f>
        <v>0</v>
      </c>
      <c r="E43" s="11" t="e">
        <f>INDEX(#REF!,MATCH(Summary!$B43,#REF!,0))</f>
        <v>#REF!</v>
      </c>
      <c r="F43" s="11" t="e">
        <f>INDEX(#REF!,MATCH(Summary!$B43,#REF!,0))</f>
        <v>#REF!</v>
      </c>
      <c r="G43" s="11" t="e">
        <f>INDEX(#REF!,MATCH(Summary!$B43,#REF!,0))</f>
        <v>#REF!</v>
      </c>
      <c r="H43" s="11" t="e">
        <f>INDEX(#REF!,MATCH(Summary!$B43,#REF!,0))</f>
        <v>#REF!</v>
      </c>
      <c r="I43" s="11" t="e">
        <f>INDEX(#REF!,MATCH(Summary!B43,#REF!,0))</f>
        <v>#REF!</v>
      </c>
      <c r="J43" s="12" t="e">
        <f>INDEX(#REF!,MATCH(Summary!$B43,#REF!,0))</f>
        <v>#REF!</v>
      </c>
      <c r="K43" s="12" t="e">
        <f>SUMIFS(#REF!,#REF!,Summary!B43)</f>
        <v>#REF!</v>
      </c>
      <c r="L43" s="13" t="e">
        <f>INDEX(#REF!,MATCH(Summary!B43,#REF!,0))</f>
        <v>#REF!</v>
      </c>
      <c r="M43" s="14" t="e">
        <f>IF(J43&gt;1,INDEX(#REF!,MATCH(Summary!B43,#REF!,0)),"")</f>
        <v>#REF!</v>
      </c>
      <c r="O43" s="20" t="e">
        <f>INDEX(#REF!,MATCH(Summary!B43,#REF!,0))</f>
        <v>#REF!</v>
      </c>
      <c r="P43" s="20" t="e">
        <f>INDEX(#REF!,MATCH(Summary!B43,#REF!,0))</f>
        <v>#REF!</v>
      </c>
      <c r="Q43" s="12">
        <f>IFERROR(SUMIFS(#REF!,#REF!,Summary!B43),0)</f>
        <v>0</v>
      </c>
      <c r="R43" s="14" t="str">
        <f>IFERROR(INDEX(#REF!,MATCH(Summary!$B43,#REF!,0)),"")</f>
        <v/>
      </c>
      <c r="S43" s="14" t="e">
        <f>INDEX(#REF!,MATCH(Summary!B43,#REF!,0))</f>
        <v>#REF!</v>
      </c>
      <c r="T43" s="14" t="str">
        <f>IFERROR(INDEX(#REF!,MATCH(Summary!$B43,#REF!,0)),"")</f>
        <v/>
      </c>
    </row>
    <row r="44" spans="1:20" x14ac:dyDescent="0.25">
      <c r="A44" t="e">
        <f t="shared" si="1"/>
        <v>#REF!</v>
      </c>
      <c r="B44" s="9" t="e">
        <f>INDEX(#REF!,MATCH(Summary!A44,#REF!,0))</f>
        <v>#REF!</v>
      </c>
      <c r="C44" s="10">
        <f>IFERROR(SUMIFS(#REF!,#REF!,Summary!B44),0)</f>
        <v>0</v>
      </c>
      <c r="D44" s="11">
        <f>IFERROR(INDEX(#REF!,MATCH(Summary!$B44,#REF!,0)),0)</f>
        <v>0</v>
      </c>
      <c r="E44" s="11" t="e">
        <f>INDEX(#REF!,MATCH(Summary!$B44,#REF!,0))</f>
        <v>#REF!</v>
      </c>
      <c r="F44" s="11" t="e">
        <f>INDEX(#REF!,MATCH(Summary!$B44,#REF!,0))</f>
        <v>#REF!</v>
      </c>
      <c r="G44" s="11" t="e">
        <f>INDEX(#REF!,MATCH(Summary!$B44,#REF!,0))</f>
        <v>#REF!</v>
      </c>
      <c r="H44" s="11" t="e">
        <f>INDEX(#REF!,MATCH(Summary!$B44,#REF!,0))</f>
        <v>#REF!</v>
      </c>
      <c r="I44" s="11" t="e">
        <f>INDEX(#REF!,MATCH(Summary!B44,#REF!,0))</f>
        <v>#REF!</v>
      </c>
      <c r="J44" s="12" t="e">
        <f>INDEX(#REF!,MATCH(Summary!$B44,#REF!,0))</f>
        <v>#REF!</v>
      </c>
      <c r="K44" s="12" t="e">
        <f>SUMIFS(#REF!,#REF!,Summary!B44)</f>
        <v>#REF!</v>
      </c>
      <c r="L44" s="13" t="e">
        <f>INDEX(#REF!,MATCH(Summary!B44,#REF!,0))</f>
        <v>#REF!</v>
      </c>
      <c r="M44" s="14" t="e">
        <f>IF(J44&gt;1,INDEX(#REF!,MATCH(Summary!B44,#REF!,0)),"")</f>
        <v>#REF!</v>
      </c>
      <c r="O44" s="20" t="e">
        <f>INDEX(#REF!,MATCH(Summary!B44,#REF!,0))</f>
        <v>#REF!</v>
      </c>
      <c r="P44" s="20" t="e">
        <f>INDEX(#REF!,MATCH(Summary!B44,#REF!,0))</f>
        <v>#REF!</v>
      </c>
      <c r="Q44" s="12">
        <f>IFERROR(SUMIFS(#REF!,#REF!,Summary!B44),0)</f>
        <v>0</v>
      </c>
      <c r="R44" s="14" t="str">
        <f>IFERROR(INDEX(#REF!,MATCH(Summary!$B44,#REF!,0)),"")</f>
        <v/>
      </c>
      <c r="S44" s="14" t="e">
        <f>INDEX(#REF!,MATCH(Summary!B44,#REF!,0))</f>
        <v>#REF!</v>
      </c>
      <c r="T44" s="14" t="str">
        <f>IFERROR(INDEX(#REF!,MATCH(Summary!$B44,#REF!,0)),"")</f>
        <v/>
      </c>
    </row>
    <row r="45" spans="1:20" x14ac:dyDescent="0.25">
      <c r="A45" t="e">
        <f t="shared" si="1"/>
        <v>#REF!</v>
      </c>
      <c r="B45" s="9" t="e">
        <f>INDEX(#REF!,MATCH(Summary!A45,#REF!,0))</f>
        <v>#REF!</v>
      </c>
      <c r="C45" s="10">
        <f>IFERROR(SUMIFS(#REF!,#REF!,Summary!B45),0)</f>
        <v>0</v>
      </c>
      <c r="D45" s="11">
        <f>IFERROR(INDEX(#REF!,MATCH(Summary!$B45,#REF!,0)),0)</f>
        <v>0</v>
      </c>
      <c r="E45" s="11" t="e">
        <f>INDEX(#REF!,MATCH(Summary!$B45,#REF!,0))</f>
        <v>#REF!</v>
      </c>
      <c r="F45" s="11" t="e">
        <f>INDEX(#REF!,MATCH(Summary!$B45,#REF!,0))</f>
        <v>#REF!</v>
      </c>
      <c r="G45" s="11" t="e">
        <f>INDEX(#REF!,MATCH(Summary!$B45,#REF!,0))</f>
        <v>#REF!</v>
      </c>
      <c r="H45" s="11" t="e">
        <f>INDEX(#REF!,MATCH(Summary!$B45,#REF!,0))</f>
        <v>#REF!</v>
      </c>
      <c r="I45" s="11" t="e">
        <f>INDEX(#REF!,MATCH(Summary!B45,#REF!,0))</f>
        <v>#REF!</v>
      </c>
      <c r="J45" s="12" t="e">
        <f>INDEX(#REF!,MATCH(Summary!$B45,#REF!,0))</f>
        <v>#REF!</v>
      </c>
      <c r="K45" s="12" t="e">
        <f>SUMIFS(#REF!,#REF!,Summary!B45)</f>
        <v>#REF!</v>
      </c>
      <c r="L45" s="13" t="e">
        <f>INDEX(#REF!,MATCH(Summary!B45,#REF!,0))</f>
        <v>#REF!</v>
      </c>
      <c r="M45" s="14" t="e">
        <f>IF(J45&gt;1,INDEX(#REF!,MATCH(Summary!B45,#REF!,0)),"")</f>
        <v>#REF!</v>
      </c>
      <c r="O45" s="20" t="e">
        <f>INDEX(#REF!,MATCH(Summary!B45,#REF!,0))</f>
        <v>#REF!</v>
      </c>
      <c r="P45" s="20" t="e">
        <f>INDEX(#REF!,MATCH(Summary!B45,#REF!,0))</f>
        <v>#REF!</v>
      </c>
      <c r="Q45" s="12">
        <f>IFERROR(SUMIFS(#REF!,#REF!,Summary!B45),0)</f>
        <v>0</v>
      </c>
      <c r="R45" s="14" t="str">
        <f>IFERROR(INDEX(#REF!,MATCH(Summary!$B45,#REF!,0)),"")</f>
        <v/>
      </c>
      <c r="S45" s="14" t="e">
        <f>INDEX(#REF!,MATCH(Summary!B45,#REF!,0))</f>
        <v>#REF!</v>
      </c>
      <c r="T45" s="14" t="str">
        <f>IFERROR(INDEX(#REF!,MATCH(Summary!$B45,#REF!,0)),"")</f>
        <v/>
      </c>
    </row>
    <row r="46" spans="1:20" x14ac:dyDescent="0.25">
      <c r="A46" t="e">
        <f t="shared" si="1"/>
        <v>#REF!</v>
      </c>
      <c r="B46" s="9" t="e">
        <f>INDEX(#REF!,MATCH(Summary!A46,#REF!,0))</f>
        <v>#REF!</v>
      </c>
      <c r="C46" s="10">
        <f>IFERROR(SUMIFS(#REF!,#REF!,Summary!B46),0)</f>
        <v>0</v>
      </c>
      <c r="D46" s="11">
        <f>IFERROR(INDEX(#REF!,MATCH(Summary!$B46,#REF!,0)),0)</f>
        <v>0</v>
      </c>
      <c r="E46" s="11" t="e">
        <f>INDEX(#REF!,MATCH(Summary!$B46,#REF!,0))</f>
        <v>#REF!</v>
      </c>
      <c r="F46" s="11" t="e">
        <f>INDEX(#REF!,MATCH(Summary!$B46,#REF!,0))</f>
        <v>#REF!</v>
      </c>
      <c r="G46" s="11" t="e">
        <f>INDEX(#REF!,MATCH(Summary!$B46,#REF!,0))</f>
        <v>#REF!</v>
      </c>
      <c r="H46" s="11" t="e">
        <f>INDEX(#REF!,MATCH(Summary!$B46,#REF!,0))</f>
        <v>#REF!</v>
      </c>
      <c r="I46" s="11" t="e">
        <f>INDEX(#REF!,MATCH(Summary!B46,#REF!,0))</f>
        <v>#REF!</v>
      </c>
      <c r="J46" s="12" t="e">
        <f>INDEX(#REF!,MATCH(Summary!$B46,#REF!,0))</f>
        <v>#REF!</v>
      </c>
      <c r="K46" s="12" t="e">
        <f>SUMIFS(#REF!,#REF!,Summary!B46)</f>
        <v>#REF!</v>
      </c>
      <c r="L46" s="13" t="e">
        <f>INDEX(#REF!,MATCH(Summary!B46,#REF!,0))</f>
        <v>#REF!</v>
      </c>
      <c r="M46" s="14" t="e">
        <f>IF(J46&gt;1,INDEX(#REF!,MATCH(Summary!B46,#REF!,0)),"")</f>
        <v>#REF!</v>
      </c>
      <c r="O46" s="20" t="e">
        <f>INDEX(#REF!,MATCH(Summary!B46,#REF!,0))</f>
        <v>#REF!</v>
      </c>
      <c r="P46" s="20" t="e">
        <f>INDEX(#REF!,MATCH(Summary!B46,#REF!,0))</f>
        <v>#REF!</v>
      </c>
      <c r="Q46" s="12">
        <f>IFERROR(SUMIFS(#REF!,#REF!,Summary!B46),0)</f>
        <v>0</v>
      </c>
      <c r="R46" s="14" t="str">
        <f>IFERROR(INDEX(#REF!,MATCH(Summary!$B46,#REF!,0)),"")</f>
        <v/>
      </c>
      <c r="S46" s="14" t="e">
        <f>INDEX(#REF!,MATCH(Summary!B46,#REF!,0))</f>
        <v>#REF!</v>
      </c>
      <c r="T46" s="14" t="str">
        <f>IFERROR(INDEX(#REF!,MATCH(Summary!$B46,#REF!,0)),"")</f>
        <v/>
      </c>
    </row>
    <row r="47" spans="1:20" x14ac:dyDescent="0.25">
      <c r="A47" t="e">
        <f t="shared" si="1"/>
        <v>#REF!</v>
      </c>
      <c r="B47" s="9" t="e">
        <f>INDEX(#REF!,MATCH(Summary!A47,#REF!,0))</f>
        <v>#REF!</v>
      </c>
      <c r="C47" s="10">
        <f>IFERROR(SUMIFS(#REF!,#REF!,Summary!B47),0)</f>
        <v>0</v>
      </c>
      <c r="D47" s="11">
        <f>IFERROR(INDEX(#REF!,MATCH(Summary!$B47,#REF!,0)),0)</f>
        <v>0</v>
      </c>
      <c r="E47" s="11" t="e">
        <f>INDEX(#REF!,MATCH(Summary!$B47,#REF!,0))</f>
        <v>#REF!</v>
      </c>
      <c r="F47" s="11" t="e">
        <f>INDEX(#REF!,MATCH(Summary!$B47,#REF!,0))</f>
        <v>#REF!</v>
      </c>
      <c r="G47" s="11" t="e">
        <f>INDEX(#REF!,MATCH(Summary!$B47,#REF!,0))</f>
        <v>#REF!</v>
      </c>
      <c r="H47" s="11" t="e">
        <f>INDEX(#REF!,MATCH(Summary!$B47,#REF!,0))</f>
        <v>#REF!</v>
      </c>
      <c r="I47" s="11" t="e">
        <f>INDEX(#REF!,MATCH(Summary!B47,#REF!,0))</f>
        <v>#REF!</v>
      </c>
      <c r="J47" s="12" t="e">
        <f>INDEX(#REF!,MATCH(Summary!$B47,#REF!,0))</f>
        <v>#REF!</v>
      </c>
      <c r="K47" s="12" t="e">
        <f>SUMIFS(#REF!,#REF!,Summary!B47)</f>
        <v>#REF!</v>
      </c>
      <c r="L47" s="13" t="e">
        <f>INDEX(#REF!,MATCH(Summary!B47,#REF!,0))</f>
        <v>#REF!</v>
      </c>
      <c r="M47" s="14" t="e">
        <f>IF(J47&gt;1,INDEX(#REF!,MATCH(Summary!B47,#REF!,0)),"")</f>
        <v>#REF!</v>
      </c>
      <c r="O47" s="20" t="e">
        <f>INDEX(#REF!,MATCH(Summary!B47,#REF!,0))</f>
        <v>#REF!</v>
      </c>
      <c r="P47" s="20" t="e">
        <f>INDEX(#REF!,MATCH(Summary!B47,#REF!,0))</f>
        <v>#REF!</v>
      </c>
      <c r="Q47" s="12">
        <f>IFERROR(SUMIFS(#REF!,#REF!,Summary!B47),0)</f>
        <v>0</v>
      </c>
      <c r="R47" s="14" t="str">
        <f>IFERROR(INDEX(#REF!,MATCH(Summary!$B47,#REF!,0)),"")</f>
        <v/>
      </c>
      <c r="S47" s="14" t="e">
        <f>INDEX(#REF!,MATCH(Summary!B47,#REF!,0))</f>
        <v>#REF!</v>
      </c>
      <c r="T47" s="14" t="str">
        <f>IFERROR(INDEX(#REF!,MATCH(Summary!$B47,#REF!,0)),"")</f>
        <v/>
      </c>
    </row>
    <row r="48" spans="1:20" x14ac:dyDescent="0.25">
      <c r="A48" t="e">
        <f t="shared" si="1"/>
        <v>#REF!</v>
      </c>
      <c r="B48" s="9" t="e">
        <f>INDEX(#REF!,MATCH(Summary!A48,#REF!,0))</f>
        <v>#REF!</v>
      </c>
      <c r="C48" s="10">
        <f>IFERROR(SUMIFS(#REF!,#REF!,Summary!B48),0)</f>
        <v>0</v>
      </c>
      <c r="D48" s="11">
        <f>IFERROR(INDEX(#REF!,MATCH(Summary!$B48,#REF!,0)),0)</f>
        <v>0</v>
      </c>
      <c r="E48" s="11" t="e">
        <f>INDEX(#REF!,MATCH(Summary!$B48,#REF!,0))</f>
        <v>#REF!</v>
      </c>
      <c r="F48" s="11" t="e">
        <f>INDEX(#REF!,MATCH(Summary!$B48,#REF!,0))</f>
        <v>#REF!</v>
      </c>
      <c r="G48" s="11" t="e">
        <f>INDEX(#REF!,MATCH(Summary!$B48,#REF!,0))</f>
        <v>#REF!</v>
      </c>
      <c r="H48" s="11" t="e">
        <f>INDEX(#REF!,MATCH(Summary!$B48,#REF!,0))</f>
        <v>#REF!</v>
      </c>
      <c r="I48" s="11" t="e">
        <f>INDEX(#REF!,MATCH(Summary!B48,#REF!,0))</f>
        <v>#REF!</v>
      </c>
      <c r="J48" s="12" t="e">
        <f>INDEX(#REF!,MATCH(Summary!$B48,#REF!,0))</f>
        <v>#REF!</v>
      </c>
      <c r="K48" s="12" t="e">
        <f>SUMIFS(#REF!,#REF!,Summary!B48)</f>
        <v>#REF!</v>
      </c>
      <c r="L48" s="13" t="e">
        <f>INDEX(#REF!,MATCH(Summary!B48,#REF!,0))</f>
        <v>#REF!</v>
      </c>
      <c r="M48" s="14" t="e">
        <f>IF(J48&gt;1,INDEX(#REF!,MATCH(Summary!B48,#REF!,0)),"")</f>
        <v>#REF!</v>
      </c>
      <c r="O48" s="20" t="e">
        <f>INDEX(#REF!,MATCH(Summary!B48,#REF!,0))</f>
        <v>#REF!</v>
      </c>
      <c r="P48" s="20" t="e">
        <f>INDEX(#REF!,MATCH(Summary!B48,#REF!,0))</f>
        <v>#REF!</v>
      </c>
      <c r="Q48" s="12">
        <f>IFERROR(SUMIFS(#REF!,#REF!,Summary!B48),0)</f>
        <v>0</v>
      </c>
      <c r="R48" s="14" t="str">
        <f>IFERROR(INDEX(#REF!,MATCH(Summary!$B48,#REF!,0)),"")</f>
        <v/>
      </c>
      <c r="S48" s="14" t="e">
        <f>INDEX(#REF!,MATCH(Summary!B48,#REF!,0))</f>
        <v>#REF!</v>
      </c>
      <c r="T48" s="14" t="str">
        <f>IFERROR(INDEX(#REF!,MATCH(Summary!$B48,#REF!,0)),"")</f>
        <v/>
      </c>
    </row>
    <row r="49" spans="1:20" x14ac:dyDescent="0.25">
      <c r="A49" t="e">
        <f t="shared" si="1"/>
        <v>#REF!</v>
      </c>
      <c r="B49" s="9" t="e">
        <f>INDEX(#REF!,MATCH(Summary!A49,#REF!,0))</f>
        <v>#REF!</v>
      </c>
      <c r="C49" s="10">
        <f>IFERROR(SUMIFS(#REF!,#REF!,Summary!B49),0)</f>
        <v>0</v>
      </c>
      <c r="D49" s="11">
        <f>IFERROR(INDEX(#REF!,MATCH(Summary!$B49,#REF!,0)),0)</f>
        <v>0</v>
      </c>
      <c r="E49" s="11" t="e">
        <f>INDEX(#REF!,MATCH(Summary!$B49,#REF!,0))</f>
        <v>#REF!</v>
      </c>
      <c r="F49" s="11" t="e">
        <f>INDEX(#REF!,MATCH(Summary!$B49,#REF!,0))</f>
        <v>#REF!</v>
      </c>
      <c r="G49" s="11" t="e">
        <f>INDEX(#REF!,MATCH(Summary!$B49,#REF!,0))</f>
        <v>#REF!</v>
      </c>
      <c r="H49" s="11" t="e">
        <f>INDEX(#REF!,MATCH(Summary!$B49,#REF!,0))</f>
        <v>#REF!</v>
      </c>
      <c r="I49" s="11" t="e">
        <f>INDEX(#REF!,MATCH(Summary!B49,#REF!,0))</f>
        <v>#REF!</v>
      </c>
      <c r="J49" s="12" t="e">
        <f>INDEX(#REF!,MATCH(Summary!$B49,#REF!,0))</f>
        <v>#REF!</v>
      </c>
      <c r="K49" s="12" t="e">
        <f>SUMIFS(#REF!,#REF!,Summary!B49)</f>
        <v>#REF!</v>
      </c>
      <c r="L49" s="13" t="e">
        <f>INDEX(#REF!,MATCH(Summary!B49,#REF!,0))</f>
        <v>#REF!</v>
      </c>
      <c r="M49" s="14" t="e">
        <f>IF(J49&gt;1,INDEX(#REF!,MATCH(Summary!B49,#REF!,0)),"")</f>
        <v>#REF!</v>
      </c>
      <c r="O49" s="20" t="e">
        <f>INDEX(#REF!,MATCH(Summary!B49,#REF!,0))</f>
        <v>#REF!</v>
      </c>
      <c r="P49" s="20" t="e">
        <f>INDEX(#REF!,MATCH(Summary!B49,#REF!,0))</f>
        <v>#REF!</v>
      </c>
      <c r="Q49" s="12">
        <f>IFERROR(SUMIFS(#REF!,#REF!,Summary!B49),0)</f>
        <v>0</v>
      </c>
      <c r="R49" s="14" t="str">
        <f>IFERROR(INDEX(#REF!,MATCH(Summary!$B49,#REF!,0)),"")</f>
        <v/>
      </c>
      <c r="S49" s="14" t="e">
        <f>INDEX(#REF!,MATCH(Summary!B49,#REF!,0))</f>
        <v>#REF!</v>
      </c>
      <c r="T49" s="14" t="str">
        <f>IFERROR(INDEX(#REF!,MATCH(Summary!$B49,#REF!,0)),"")</f>
        <v/>
      </c>
    </row>
    <row r="50" spans="1:20" x14ac:dyDescent="0.25">
      <c r="A50" t="e">
        <f t="shared" si="1"/>
        <v>#REF!</v>
      </c>
      <c r="B50" s="9" t="e">
        <f>INDEX(#REF!,MATCH(Summary!A50,#REF!,0))</f>
        <v>#REF!</v>
      </c>
      <c r="C50" s="10">
        <f>IFERROR(SUMIFS(#REF!,#REF!,Summary!B50),0)</f>
        <v>0</v>
      </c>
      <c r="D50" s="11">
        <f>IFERROR(INDEX(#REF!,MATCH(Summary!$B50,#REF!,0)),0)</f>
        <v>0</v>
      </c>
      <c r="E50" s="11" t="e">
        <f>INDEX(#REF!,MATCH(Summary!$B50,#REF!,0))</f>
        <v>#REF!</v>
      </c>
      <c r="F50" s="11" t="e">
        <f>INDEX(#REF!,MATCH(Summary!$B50,#REF!,0))</f>
        <v>#REF!</v>
      </c>
      <c r="G50" s="11" t="e">
        <f>INDEX(#REF!,MATCH(Summary!$B50,#REF!,0))</f>
        <v>#REF!</v>
      </c>
      <c r="H50" s="11" t="e">
        <f>INDEX(#REF!,MATCH(Summary!$B50,#REF!,0))</f>
        <v>#REF!</v>
      </c>
      <c r="I50" s="11" t="e">
        <f>INDEX(#REF!,MATCH(Summary!B50,#REF!,0))</f>
        <v>#REF!</v>
      </c>
      <c r="J50" s="12" t="e">
        <f>INDEX(#REF!,MATCH(Summary!$B50,#REF!,0))</f>
        <v>#REF!</v>
      </c>
      <c r="K50" s="12" t="e">
        <f>SUMIFS(#REF!,#REF!,Summary!B50)</f>
        <v>#REF!</v>
      </c>
      <c r="L50" s="13" t="e">
        <f>INDEX(#REF!,MATCH(Summary!B50,#REF!,0))</f>
        <v>#REF!</v>
      </c>
      <c r="M50" s="14" t="e">
        <f>IF(J50&gt;1,INDEX(#REF!,MATCH(Summary!B50,#REF!,0)),"")</f>
        <v>#REF!</v>
      </c>
      <c r="O50" s="20" t="e">
        <f>INDEX(#REF!,MATCH(Summary!B50,#REF!,0))</f>
        <v>#REF!</v>
      </c>
      <c r="P50" s="20" t="e">
        <f>INDEX(#REF!,MATCH(Summary!B50,#REF!,0))</f>
        <v>#REF!</v>
      </c>
      <c r="Q50" s="12">
        <f>IFERROR(SUMIFS(#REF!,#REF!,Summary!B50),0)</f>
        <v>0</v>
      </c>
      <c r="R50" s="14" t="str">
        <f>IFERROR(INDEX(#REF!,MATCH(Summary!$B50,#REF!,0)),"")</f>
        <v/>
      </c>
      <c r="S50" s="14" t="e">
        <f>INDEX(#REF!,MATCH(Summary!B50,#REF!,0))</f>
        <v>#REF!</v>
      </c>
      <c r="T50" s="14" t="str">
        <f>IFERROR(INDEX(#REF!,MATCH(Summary!$B50,#REF!,0)),"")</f>
        <v/>
      </c>
    </row>
    <row r="51" spans="1:20" x14ac:dyDescent="0.25">
      <c r="A51" t="e">
        <f t="shared" si="1"/>
        <v>#REF!</v>
      </c>
      <c r="B51" s="9" t="e">
        <f>INDEX(#REF!,MATCH(Summary!A51,#REF!,0))</f>
        <v>#REF!</v>
      </c>
      <c r="C51" s="10">
        <f>IFERROR(SUMIFS(#REF!,#REF!,Summary!B51),0)</f>
        <v>0</v>
      </c>
      <c r="D51" s="11">
        <f>IFERROR(INDEX(#REF!,MATCH(Summary!$B51,#REF!,0)),0)</f>
        <v>0</v>
      </c>
      <c r="E51" s="11" t="e">
        <f>INDEX(#REF!,MATCH(Summary!$B51,#REF!,0))</f>
        <v>#REF!</v>
      </c>
      <c r="F51" s="11" t="e">
        <f>INDEX(#REF!,MATCH(Summary!$B51,#REF!,0))</f>
        <v>#REF!</v>
      </c>
      <c r="G51" s="11" t="e">
        <f>INDEX(#REF!,MATCH(Summary!$B51,#REF!,0))</f>
        <v>#REF!</v>
      </c>
      <c r="H51" s="11" t="e">
        <f>INDEX(#REF!,MATCH(Summary!$B51,#REF!,0))</f>
        <v>#REF!</v>
      </c>
      <c r="I51" s="11" t="e">
        <f>INDEX(#REF!,MATCH(Summary!B51,#REF!,0))</f>
        <v>#REF!</v>
      </c>
      <c r="J51" s="12" t="e">
        <f>INDEX(#REF!,MATCH(Summary!$B51,#REF!,0))</f>
        <v>#REF!</v>
      </c>
      <c r="K51" s="12" t="e">
        <f>SUMIFS(#REF!,#REF!,Summary!B51)</f>
        <v>#REF!</v>
      </c>
      <c r="L51" s="13" t="e">
        <f>INDEX(#REF!,MATCH(Summary!B51,#REF!,0))</f>
        <v>#REF!</v>
      </c>
      <c r="M51" s="14" t="e">
        <f>IF(J51&gt;1,INDEX(#REF!,MATCH(Summary!B51,#REF!,0)),"")</f>
        <v>#REF!</v>
      </c>
      <c r="O51" s="20" t="e">
        <f>INDEX(#REF!,MATCH(Summary!B51,#REF!,0))</f>
        <v>#REF!</v>
      </c>
      <c r="P51" s="20" t="e">
        <f>INDEX(#REF!,MATCH(Summary!B51,#REF!,0))</f>
        <v>#REF!</v>
      </c>
      <c r="Q51" s="12">
        <f>IFERROR(SUMIFS(#REF!,#REF!,Summary!B51),0)</f>
        <v>0</v>
      </c>
      <c r="R51" s="14" t="str">
        <f>IFERROR(INDEX(#REF!,MATCH(Summary!$B51,#REF!,0)),"")</f>
        <v/>
      </c>
      <c r="S51" s="14" t="e">
        <f>INDEX(#REF!,MATCH(Summary!B51,#REF!,0))</f>
        <v>#REF!</v>
      </c>
      <c r="T51" s="14" t="str">
        <f>IFERROR(INDEX(#REF!,MATCH(Summary!$B51,#REF!,0)),"")</f>
        <v/>
      </c>
    </row>
    <row r="52" spans="1:20" x14ac:dyDescent="0.25">
      <c r="A52" t="e">
        <f t="shared" si="1"/>
        <v>#REF!</v>
      </c>
      <c r="B52" s="9" t="e">
        <f>INDEX(#REF!,MATCH(Summary!A52,#REF!,0))</f>
        <v>#REF!</v>
      </c>
      <c r="C52" s="10">
        <f>IFERROR(SUMIFS(#REF!,#REF!,Summary!B52),0)</f>
        <v>0</v>
      </c>
      <c r="D52" s="11">
        <f>IFERROR(INDEX(#REF!,MATCH(Summary!$B52,#REF!,0)),0)</f>
        <v>0</v>
      </c>
      <c r="E52" s="11" t="e">
        <f>INDEX(#REF!,MATCH(Summary!$B52,#REF!,0))</f>
        <v>#REF!</v>
      </c>
      <c r="F52" s="11" t="e">
        <f>INDEX(#REF!,MATCH(Summary!$B52,#REF!,0))</f>
        <v>#REF!</v>
      </c>
      <c r="G52" s="11" t="e">
        <f>INDEX(#REF!,MATCH(Summary!$B52,#REF!,0))</f>
        <v>#REF!</v>
      </c>
      <c r="H52" s="11" t="e">
        <f>INDEX(#REF!,MATCH(Summary!$B52,#REF!,0))</f>
        <v>#REF!</v>
      </c>
      <c r="I52" s="11" t="e">
        <f>INDEX(#REF!,MATCH(Summary!B52,#REF!,0))</f>
        <v>#REF!</v>
      </c>
      <c r="J52" s="12" t="e">
        <f>INDEX(#REF!,MATCH(Summary!$B52,#REF!,0))</f>
        <v>#REF!</v>
      </c>
      <c r="K52" s="12" t="e">
        <f>SUMIFS(#REF!,#REF!,Summary!B52)</f>
        <v>#REF!</v>
      </c>
      <c r="L52" s="13" t="e">
        <f>INDEX(#REF!,MATCH(Summary!B52,#REF!,0))</f>
        <v>#REF!</v>
      </c>
      <c r="M52" s="14" t="e">
        <f>IF(J52&gt;1,INDEX(#REF!,MATCH(Summary!B52,#REF!,0)),"")</f>
        <v>#REF!</v>
      </c>
      <c r="O52" s="20" t="e">
        <f>INDEX(#REF!,MATCH(Summary!B52,#REF!,0))</f>
        <v>#REF!</v>
      </c>
      <c r="P52" s="20" t="e">
        <f>INDEX(#REF!,MATCH(Summary!B52,#REF!,0))</f>
        <v>#REF!</v>
      </c>
      <c r="Q52" s="12">
        <f>IFERROR(SUMIFS(#REF!,#REF!,Summary!B52),0)</f>
        <v>0</v>
      </c>
      <c r="R52" s="14" t="str">
        <f>IFERROR(INDEX(#REF!,MATCH(Summary!$B52,#REF!,0)),"")</f>
        <v/>
      </c>
      <c r="S52" s="14" t="e">
        <f>INDEX(#REF!,MATCH(Summary!B52,#REF!,0))</f>
        <v>#REF!</v>
      </c>
      <c r="T52" s="14" t="str">
        <f>IFERROR(INDEX(#REF!,MATCH(Summary!$B52,#REF!,0)),"")</f>
        <v/>
      </c>
    </row>
    <row r="53" spans="1:20" x14ac:dyDescent="0.25">
      <c r="A53" t="e">
        <f t="shared" si="1"/>
        <v>#REF!</v>
      </c>
      <c r="B53" s="9" t="e">
        <f>INDEX(#REF!,MATCH(Summary!A53,#REF!,0))</f>
        <v>#REF!</v>
      </c>
      <c r="C53" s="10">
        <f>IFERROR(SUMIFS(#REF!,#REF!,Summary!B53),0)</f>
        <v>0</v>
      </c>
      <c r="D53" s="11">
        <f>IFERROR(INDEX(#REF!,MATCH(Summary!$B53,#REF!,0)),0)</f>
        <v>0</v>
      </c>
      <c r="E53" s="11" t="e">
        <f>INDEX(#REF!,MATCH(Summary!$B53,#REF!,0))</f>
        <v>#REF!</v>
      </c>
      <c r="F53" s="11" t="e">
        <f>INDEX(#REF!,MATCH(Summary!$B53,#REF!,0))</f>
        <v>#REF!</v>
      </c>
      <c r="G53" s="11" t="e">
        <f>INDEX(#REF!,MATCH(Summary!$B53,#REF!,0))</f>
        <v>#REF!</v>
      </c>
      <c r="H53" s="11" t="e">
        <f>INDEX(#REF!,MATCH(Summary!$B53,#REF!,0))</f>
        <v>#REF!</v>
      </c>
      <c r="I53" s="11" t="e">
        <f>INDEX(#REF!,MATCH(Summary!B53,#REF!,0))</f>
        <v>#REF!</v>
      </c>
      <c r="J53" s="12" t="e">
        <f>INDEX(#REF!,MATCH(Summary!$B53,#REF!,0))</f>
        <v>#REF!</v>
      </c>
      <c r="K53" s="12" t="e">
        <f>SUMIFS(#REF!,#REF!,Summary!B53)</f>
        <v>#REF!</v>
      </c>
      <c r="L53" s="13" t="e">
        <f>INDEX(#REF!,MATCH(Summary!B53,#REF!,0))</f>
        <v>#REF!</v>
      </c>
      <c r="M53" s="14" t="e">
        <f>IF(J53&gt;1,INDEX(#REF!,MATCH(Summary!B53,#REF!,0)),"")</f>
        <v>#REF!</v>
      </c>
      <c r="O53" s="20" t="e">
        <f>INDEX(#REF!,MATCH(Summary!B53,#REF!,0))</f>
        <v>#REF!</v>
      </c>
      <c r="P53" s="20" t="e">
        <f>INDEX(#REF!,MATCH(Summary!B53,#REF!,0))</f>
        <v>#REF!</v>
      </c>
      <c r="Q53" s="12">
        <f>IFERROR(SUMIFS(#REF!,#REF!,Summary!B53),0)</f>
        <v>0</v>
      </c>
      <c r="R53" s="14" t="str">
        <f>IFERROR(INDEX(#REF!,MATCH(Summary!$B53,#REF!,0)),"")</f>
        <v/>
      </c>
      <c r="S53" s="14" t="e">
        <f>INDEX(#REF!,MATCH(Summary!B53,#REF!,0))</f>
        <v>#REF!</v>
      </c>
      <c r="T53" s="14" t="str">
        <f>IFERROR(INDEX(#REF!,MATCH(Summary!$B53,#REF!,0)),"")</f>
        <v/>
      </c>
    </row>
    <row r="54" spans="1:20" x14ac:dyDescent="0.25">
      <c r="A54" t="e">
        <f t="shared" si="1"/>
        <v>#REF!</v>
      </c>
      <c r="B54" s="9" t="e">
        <f>INDEX(#REF!,MATCH(Summary!A54,#REF!,0))</f>
        <v>#REF!</v>
      </c>
      <c r="C54" s="10">
        <f>IFERROR(SUMIFS(#REF!,#REF!,Summary!B54),0)</f>
        <v>0</v>
      </c>
      <c r="D54" s="11">
        <f>IFERROR(INDEX(#REF!,MATCH(Summary!$B54,#REF!,0)),0)</f>
        <v>0</v>
      </c>
      <c r="E54" s="11" t="e">
        <f>INDEX(#REF!,MATCH(Summary!$B54,#REF!,0))</f>
        <v>#REF!</v>
      </c>
      <c r="F54" s="11" t="e">
        <f>INDEX(#REF!,MATCH(Summary!$B54,#REF!,0))</f>
        <v>#REF!</v>
      </c>
      <c r="G54" s="11" t="e">
        <f>INDEX(#REF!,MATCH(Summary!$B54,#REF!,0))</f>
        <v>#REF!</v>
      </c>
      <c r="H54" s="11" t="e">
        <f>INDEX(#REF!,MATCH(Summary!$B54,#REF!,0))</f>
        <v>#REF!</v>
      </c>
      <c r="I54" s="11" t="e">
        <f>INDEX(#REF!,MATCH(Summary!B54,#REF!,0))</f>
        <v>#REF!</v>
      </c>
      <c r="J54" s="12" t="e">
        <f>INDEX(#REF!,MATCH(Summary!$B54,#REF!,0))</f>
        <v>#REF!</v>
      </c>
      <c r="K54" s="12" t="e">
        <f>SUMIFS(#REF!,#REF!,Summary!B54)</f>
        <v>#REF!</v>
      </c>
      <c r="L54" s="13" t="e">
        <f>INDEX(#REF!,MATCH(Summary!B54,#REF!,0))</f>
        <v>#REF!</v>
      </c>
      <c r="M54" s="14" t="e">
        <f>IF(J54&gt;1,INDEX(#REF!,MATCH(Summary!B54,#REF!,0)),"")</f>
        <v>#REF!</v>
      </c>
      <c r="O54" s="20" t="e">
        <f>INDEX(#REF!,MATCH(Summary!B54,#REF!,0))</f>
        <v>#REF!</v>
      </c>
      <c r="P54" s="20" t="e">
        <f>INDEX(#REF!,MATCH(Summary!B54,#REF!,0))</f>
        <v>#REF!</v>
      </c>
      <c r="Q54" s="12">
        <f>IFERROR(SUMIFS(#REF!,#REF!,Summary!B54),0)</f>
        <v>0</v>
      </c>
      <c r="R54" s="14" t="str">
        <f>IFERROR(INDEX(#REF!,MATCH(Summary!$B54,#REF!,0)),"")</f>
        <v/>
      </c>
      <c r="S54" s="14" t="e">
        <f>INDEX(#REF!,MATCH(Summary!B54,#REF!,0))</f>
        <v>#REF!</v>
      </c>
      <c r="T54" s="14" t="str">
        <f>IFERROR(INDEX(#REF!,MATCH(Summary!$B54,#REF!,0)),"")</f>
        <v/>
      </c>
    </row>
    <row r="55" spans="1:20" x14ac:dyDescent="0.25">
      <c r="A55" t="e">
        <f t="shared" si="1"/>
        <v>#REF!</v>
      </c>
      <c r="B55" s="9" t="e">
        <f>INDEX(#REF!,MATCH(Summary!A55,#REF!,0))</f>
        <v>#REF!</v>
      </c>
      <c r="C55" s="10">
        <f>IFERROR(SUMIFS(#REF!,#REF!,Summary!B55),0)</f>
        <v>0</v>
      </c>
      <c r="D55" s="11">
        <f>IFERROR(INDEX(#REF!,MATCH(Summary!$B55,#REF!,0)),0)</f>
        <v>0</v>
      </c>
      <c r="E55" s="11" t="e">
        <f>INDEX(#REF!,MATCH(Summary!$B55,#REF!,0))</f>
        <v>#REF!</v>
      </c>
      <c r="F55" s="11" t="e">
        <f>INDEX(#REF!,MATCH(Summary!$B55,#REF!,0))</f>
        <v>#REF!</v>
      </c>
      <c r="G55" s="11" t="e">
        <f>INDEX(#REF!,MATCH(Summary!$B55,#REF!,0))</f>
        <v>#REF!</v>
      </c>
      <c r="H55" s="11" t="e">
        <f>INDEX(#REF!,MATCH(Summary!$B55,#REF!,0))</f>
        <v>#REF!</v>
      </c>
      <c r="I55" s="11" t="e">
        <f>INDEX(#REF!,MATCH(Summary!B55,#REF!,0))</f>
        <v>#REF!</v>
      </c>
      <c r="J55" s="12" t="e">
        <f>INDEX(#REF!,MATCH(Summary!$B55,#REF!,0))</f>
        <v>#REF!</v>
      </c>
      <c r="K55" s="12" t="e">
        <f>SUMIFS(#REF!,#REF!,Summary!B55)</f>
        <v>#REF!</v>
      </c>
      <c r="L55" s="13" t="e">
        <f>INDEX(#REF!,MATCH(Summary!B55,#REF!,0))</f>
        <v>#REF!</v>
      </c>
      <c r="M55" s="14" t="e">
        <f>IF(J55&gt;1,INDEX(#REF!,MATCH(Summary!B55,#REF!,0)),"")</f>
        <v>#REF!</v>
      </c>
      <c r="O55" s="20" t="e">
        <f>INDEX(#REF!,MATCH(Summary!B55,#REF!,0))</f>
        <v>#REF!</v>
      </c>
      <c r="P55" s="20" t="e">
        <f>INDEX(#REF!,MATCH(Summary!B55,#REF!,0))</f>
        <v>#REF!</v>
      </c>
      <c r="Q55" s="12">
        <f>IFERROR(SUMIFS(#REF!,#REF!,Summary!B55),0)</f>
        <v>0</v>
      </c>
      <c r="R55" s="14" t="str">
        <f>IFERROR(INDEX(#REF!,MATCH(Summary!$B55,#REF!,0)),"")</f>
        <v/>
      </c>
      <c r="S55" s="14" t="e">
        <f>INDEX(#REF!,MATCH(Summary!B55,#REF!,0))</f>
        <v>#REF!</v>
      </c>
      <c r="T55" s="14" t="str">
        <f>IFERROR(INDEX(#REF!,MATCH(Summary!$B55,#REF!,0)),"")</f>
        <v/>
      </c>
    </row>
    <row r="56" spans="1:20" x14ac:dyDescent="0.25">
      <c r="A56" t="e">
        <f t="shared" si="1"/>
        <v>#REF!</v>
      </c>
      <c r="B56" s="9" t="e">
        <f>INDEX(#REF!,MATCH(Summary!A56,#REF!,0))</f>
        <v>#REF!</v>
      </c>
      <c r="C56" s="10">
        <f>IFERROR(SUMIFS(#REF!,#REF!,Summary!B56),0)</f>
        <v>0</v>
      </c>
      <c r="D56" s="11">
        <f>IFERROR(INDEX(#REF!,MATCH(Summary!$B56,#REF!,0)),0)</f>
        <v>0</v>
      </c>
      <c r="E56" s="11" t="e">
        <f>INDEX(#REF!,MATCH(Summary!$B56,#REF!,0))</f>
        <v>#REF!</v>
      </c>
      <c r="F56" s="11" t="e">
        <f>INDEX(#REF!,MATCH(Summary!$B56,#REF!,0))</f>
        <v>#REF!</v>
      </c>
      <c r="G56" s="11" t="e">
        <f>INDEX(#REF!,MATCH(Summary!$B56,#REF!,0))</f>
        <v>#REF!</v>
      </c>
      <c r="H56" s="11" t="e">
        <f>INDEX(#REF!,MATCH(Summary!$B56,#REF!,0))</f>
        <v>#REF!</v>
      </c>
      <c r="I56" s="11" t="e">
        <f>INDEX(#REF!,MATCH(Summary!B56,#REF!,0))</f>
        <v>#REF!</v>
      </c>
      <c r="J56" s="12" t="e">
        <f>INDEX(#REF!,MATCH(Summary!$B56,#REF!,0))</f>
        <v>#REF!</v>
      </c>
      <c r="K56" s="12" t="e">
        <f>SUMIFS(#REF!,#REF!,Summary!B56)</f>
        <v>#REF!</v>
      </c>
      <c r="L56" s="13" t="e">
        <f>INDEX(#REF!,MATCH(Summary!B56,#REF!,0))</f>
        <v>#REF!</v>
      </c>
      <c r="M56" s="14" t="e">
        <f>IF(J56&gt;1,INDEX(#REF!,MATCH(Summary!B56,#REF!,0)),"")</f>
        <v>#REF!</v>
      </c>
      <c r="O56" s="20" t="e">
        <f>INDEX(#REF!,MATCH(Summary!B56,#REF!,0))</f>
        <v>#REF!</v>
      </c>
      <c r="P56" s="20" t="e">
        <f>INDEX(#REF!,MATCH(Summary!B56,#REF!,0))</f>
        <v>#REF!</v>
      </c>
      <c r="Q56" s="12">
        <f>IFERROR(SUMIFS(#REF!,#REF!,Summary!B56),0)</f>
        <v>0</v>
      </c>
      <c r="R56" s="14" t="str">
        <f>IFERROR(INDEX(#REF!,MATCH(Summary!$B56,#REF!,0)),"")</f>
        <v/>
      </c>
      <c r="S56" s="14" t="e">
        <f>INDEX(#REF!,MATCH(Summary!B56,#REF!,0))</f>
        <v>#REF!</v>
      </c>
      <c r="T56" s="14" t="str">
        <f>IFERROR(INDEX(#REF!,MATCH(Summary!$B56,#REF!,0)),"")</f>
        <v/>
      </c>
    </row>
    <row r="57" spans="1:20" x14ac:dyDescent="0.25">
      <c r="A57" t="e">
        <f t="shared" si="1"/>
        <v>#REF!</v>
      </c>
      <c r="B57" s="9" t="e">
        <f>INDEX(#REF!,MATCH(Summary!A57,#REF!,0))</f>
        <v>#REF!</v>
      </c>
      <c r="C57" s="10">
        <f>IFERROR(SUMIFS(#REF!,#REF!,Summary!B57),0)</f>
        <v>0</v>
      </c>
      <c r="D57" s="11">
        <f>IFERROR(INDEX(#REF!,MATCH(Summary!$B57,#REF!,0)),0)</f>
        <v>0</v>
      </c>
      <c r="E57" s="11" t="e">
        <f>INDEX(#REF!,MATCH(Summary!$B57,#REF!,0))</f>
        <v>#REF!</v>
      </c>
      <c r="F57" s="11" t="e">
        <f>INDEX(#REF!,MATCH(Summary!$B57,#REF!,0))</f>
        <v>#REF!</v>
      </c>
      <c r="G57" s="11" t="e">
        <f>INDEX(#REF!,MATCH(Summary!$B57,#REF!,0))</f>
        <v>#REF!</v>
      </c>
      <c r="H57" s="11" t="e">
        <f>INDEX(#REF!,MATCH(Summary!$B57,#REF!,0))</f>
        <v>#REF!</v>
      </c>
      <c r="I57" s="11" t="e">
        <f>INDEX(#REF!,MATCH(Summary!B57,#REF!,0))</f>
        <v>#REF!</v>
      </c>
      <c r="J57" s="12" t="e">
        <f>INDEX(#REF!,MATCH(Summary!$B57,#REF!,0))</f>
        <v>#REF!</v>
      </c>
      <c r="K57" s="12" t="e">
        <f>SUMIFS(#REF!,#REF!,Summary!B57)</f>
        <v>#REF!</v>
      </c>
      <c r="L57" s="13" t="e">
        <f>INDEX(#REF!,MATCH(Summary!B57,#REF!,0))</f>
        <v>#REF!</v>
      </c>
      <c r="M57" s="14" t="e">
        <f>IF(J57&gt;1,INDEX(#REF!,MATCH(Summary!B57,#REF!,0)),"")</f>
        <v>#REF!</v>
      </c>
      <c r="O57" s="20" t="e">
        <f>INDEX(#REF!,MATCH(Summary!B57,#REF!,0))</f>
        <v>#REF!</v>
      </c>
      <c r="P57" s="20" t="e">
        <f>INDEX(#REF!,MATCH(Summary!B57,#REF!,0))</f>
        <v>#REF!</v>
      </c>
      <c r="Q57" s="12">
        <f>IFERROR(SUMIFS(#REF!,#REF!,Summary!B57),0)</f>
        <v>0</v>
      </c>
      <c r="R57" s="14" t="str">
        <f>IFERROR(INDEX(#REF!,MATCH(Summary!$B57,#REF!,0)),"")</f>
        <v/>
      </c>
      <c r="S57" s="14" t="e">
        <f>INDEX(#REF!,MATCH(Summary!B57,#REF!,0))</f>
        <v>#REF!</v>
      </c>
      <c r="T57" s="14" t="str">
        <f>IFERROR(INDEX(#REF!,MATCH(Summary!$B57,#REF!,0)),"")</f>
        <v/>
      </c>
    </row>
    <row r="58" spans="1:20" x14ac:dyDescent="0.25">
      <c r="A58" t="e">
        <f t="shared" si="1"/>
        <v>#REF!</v>
      </c>
      <c r="B58" s="9" t="e">
        <f>INDEX(#REF!,MATCH(Summary!A58,#REF!,0))</f>
        <v>#REF!</v>
      </c>
      <c r="C58" s="10">
        <f>IFERROR(SUMIFS(#REF!,#REF!,Summary!B58),0)</f>
        <v>0</v>
      </c>
      <c r="D58" s="11">
        <f>IFERROR(INDEX(#REF!,MATCH(Summary!$B58,#REF!,0)),0)</f>
        <v>0</v>
      </c>
      <c r="E58" s="11" t="e">
        <f>INDEX(#REF!,MATCH(Summary!$B58,#REF!,0))</f>
        <v>#REF!</v>
      </c>
      <c r="F58" s="11" t="e">
        <f>INDEX(#REF!,MATCH(Summary!$B58,#REF!,0))</f>
        <v>#REF!</v>
      </c>
      <c r="G58" s="11" t="e">
        <f>INDEX(#REF!,MATCH(Summary!$B58,#REF!,0))</f>
        <v>#REF!</v>
      </c>
      <c r="H58" s="11" t="e">
        <f>INDEX(#REF!,MATCH(Summary!$B58,#REF!,0))</f>
        <v>#REF!</v>
      </c>
      <c r="I58" s="11" t="e">
        <f>INDEX(#REF!,MATCH(Summary!B58,#REF!,0))</f>
        <v>#REF!</v>
      </c>
      <c r="J58" s="12" t="e">
        <f>INDEX(#REF!,MATCH(Summary!$B58,#REF!,0))</f>
        <v>#REF!</v>
      </c>
      <c r="K58" s="12" t="e">
        <f>SUMIFS(#REF!,#REF!,Summary!B58)</f>
        <v>#REF!</v>
      </c>
      <c r="L58" s="13" t="e">
        <f>INDEX(#REF!,MATCH(Summary!B58,#REF!,0))</f>
        <v>#REF!</v>
      </c>
      <c r="M58" s="14" t="e">
        <f>IF(J58&gt;1,INDEX(#REF!,MATCH(Summary!B58,#REF!,0)),"")</f>
        <v>#REF!</v>
      </c>
      <c r="O58" s="20" t="e">
        <f>INDEX(#REF!,MATCH(Summary!B58,#REF!,0))</f>
        <v>#REF!</v>
      </c>
      <c r="P58" s="20" t="e">
        <f>INDEX(#REF!,MATCH(Summary!B58,#REF!,0))</f>
        <v>#REF!</v>
      </c>
      <c r="Q58" s="12">
        <f>IFERROR(SUMIFS(#REF!,#REF!,Summary!B58),0)</f>
        <v>0</v>
      </c>
      <c r="R58" s="14" t="str">
        <f>IFERROR(INDEX(#REF!,MATCH(Summary!$B58,#REF!,0)),"")</f>
        <v/>
      </c>
      <c r="S58" s="14" t="e">
        <f>INDEX(#REF!,MATCH(Summary!B58,#REF!,0))</f>
        <v>#REF!</v>
      </c>
      <c r="T58" s="14" t="str">
        <f>IFERROR(INDEX(#REF!,MATCH(Summary!$B58,#REF!,0)),"")</f>
        <v/>
      </c>
    </row>
    <row r="59" spans="1:20" x14ac:dyDescent="0.25">
      <c r="A59" t="e">
        <f t="shared" si="1"/>
        <v>#REF!</v>
      </c>
      <c r="B59" s="9" t="e">
        <f>INDEX(#REF!,MATCH(Summary!A59,#REF!,0))</f>
        <v>#REF!</v>
      </c>
      <c r="C59" s="10">
        <f>IFERROR(SUMIFS(#REF!,#REF!,Summary!B59),0)</f>
        <v>0</v>
      </c>
      <c r="D59" s="11">
        <f>IFERROR(INDEX(#REF!,MATCH(Summary!$B59,#REF!,0)),0)</f>
        <v>0</v>
      </c>
      <c r="E59" s="11" t="e">
        <f>INDEX(#REF!,MATCH(Summary!$B59,#REF!,0))</f>
        <v>#REF!</v>
      </c>
      <c r="F59" s="11" t="e">
        <f>INDEX(#REF!,MATCH(Summary!$B59,#REF!,0))</f>
        <v>#REF!</v>
      </c>
      <c r="G59" s="11" t="e">
        <f>INDEX(#REF!,MATCH(Summary!$B59,#REF!,0))</f>
        <v>#REF!</v>
      </c>
      <c r="H59" s="11" t="e">
        <f>INDEX(#REF!,MATCH(Summary!$B59,#REF!,0))</f>
        <v>#REF!</v>
      </c>
      <c r="I59" s="11" t="e">
        <f>INDEX(#REF!,MATCH(Summary!B59,#REF!,0))</f>
        <v>#REF!</v>
      </c>
      <c r="J59" s="12" t="e">
        <f>INDEX(#REF!,MATCH(Summary!$B59,#REF!,0))</f>
        <v>#REF!</v>
      </c>
      <c r="K59" s="12" t="e">
        <f>SUMIFS(#REF!,#REF!,Summary!B59)</f>
        <v>#REF!</v>
      </c>
      <c r="L59" s="13" t="e">
        <f>INDEX(#REF!,MATCH(Summary!B59,#REF!,0))</f>
        <v>#REF!</v>
      </c>
      <c r="M59" s="14" t="e">
        <f>IF(J59&gt;1,INDEX(#REF!,MATCH(Summary!B59,#REF!,0)),"")</f>
        <v>#REF!</v>
      </c>
      <c r="O59" s="20" t="e">
        <f>INDEX(#REF!,MATCH(Summary!B59,#REF!,0))</f>
        <v>#REF!</v>
      </c>
      <c r="P59" s="20" t="e">
        <f>INDEX(#REF!,MATCH(Summary!B59,#REF!,0))</f>
        <v>#REF!</v>
      </c>
      <c r="Q59" s="12">
        <f>IFERROR(SUMIFS(#REF!,#REF!,Summary!B59),0)</f>
        <v>0</v>
      </c>
      <c r="R59" s="14" t="str">
        <f>IFERROR(INDEX(#REF!,MATCH(Summary!$B59,#REF!,0)),"")</f>
        <v/>
      </c>
      <c r="S59" s="14" t="e">
        <f>INDEX(#REF!,MATCH(Summary!B59,#REF!,0))</f>
        <v>#REF!</v>
      </c>
      <c r="T59" s="14" t="str">
        <f>IFERROR(INDEX(#REF!,MATCH(Summary!$B59,#REF!,0)),"")</f>
        <v/>
      </c>
    </row>
    <row r="60" spans="1:20" x14ac:dyDescent="0.25">
      <c r="A60" t="e">
        <f t="shared" si="1"/>
        <v>#REF!</v>
      </c>
      <c r="B60" s="9" t="e">
        <f>INDEX(#REF!,MATCH(Summary!A60,#REF!,0))</f>
        <v>#REF!</v>
      </c>
      <c r="C60" s="10">
        <f>IFERROR(SUMIFS(#REF!,#REF!,Summary!B60),0)</f>
        <v>0</v>
      </c>
      <c r="D60" s="11">
        <f>IFERROR(INDEX(#REF!,MATCH(Summary!$B60,#REF!,0)),0)</f>
        <v>0</v>
      </c>
      <c r="E60" s="11" t="e">
        <f>INDEX(#REF!,MATCH(Summary!$B60,#REF!,0))</f>
        <v>#REF!</v>
      </c>
      <c r="F60" s="11" t="e">
        <f>INDEX(#REF!,MATCH(Summary!$B60,#REF!,0))</f>
        <v>#REF!</v>
      </c>
      <c r="G60" s="11" t="e">
        <f>INDEX(#REF!,MATCH(Summary!$B60,#REF!,0))</f>
        <v>#REF!</v>
      </c>
      <c r="H60" s="11" t="e">
        <f>INDEX(#REF!,MATCH(Summary!$B60,#REF!,0))</f>
        <v>#REF!</v>
      </c>
      <c r="I60" s="11" t="e">
        <f>INDEX(#REF!,MATCH(Summary!B60,#REF!,0))</f>
        <v>#REF!</v>
      </c>
      <c r="J60" s="12" t="e">
        <f>INDEX(#REF!,MATCH(Summary!$B60,#REF!,0))</f>
        <v>#REF!</v>
      </c>
      <c r="K60" s="12" t="e">
        <f>SUMIFS(#REF!,#REF!,Summary!B60)</f>
        <v>#REF!</v>
      </c>
      <c r="L60" s="13" t="e">
        <f>INDEX(#REF!,MATCH(Summary!B60,#REF!,0))</f>
        <v>#REF!</v>
      </c>
      <c r="M60" s="14" t="e">
        <f>IF(J60&gt;1,INDEX(#REF!,MATCH(Summary!B60,#REF!,0)),"")</f>
        <v>#REF!</v>
      </c>
      <c r="O60" s="20" t="e">
        <f>INDEX(#REF!,MATCH(Summary!B60,#REF!,0))</f>
        <v>#REF!</v>
      </c>
      <c r="P60" s="20" t="e">
        <f>INDEX(#REF!,MATCH(Summary!B60,#REF!,0))</f>
        <v>#REF!</v>
      </c>
      <c r="Q60" s="12">
        <f>IFERROR(SUMIFS(#REF!,#REF!,Summary!B60),0)</f>
        <v>0</v>
      </c>
      <c r="R60" s="14" t="str">
        <f>IFERROR(INDEX(#REF!,MATCH(Summary!$B60,#REF!,0)),"")</f>
        <v/>
      </c>
      <c r="S60" s="14" t="e">
        <f>INDEX(#REF!,MATCH(Summary!B60,#REF!,0))</f>
        <v>#REF!</v>
      </c>
      <c r="T60" s="14" t="str">
        <f>IFERROR(INDEX(#REF!,MATCH(Summary!$B60,#REF!,0)),"")</f>
        <v/>
      </c>
    </row>
    <row r="61" spans="1:20" x14ac:dyDescent="0.25">
      <c r="A61" t="e">
        <f t="shared" si="1"/>
        <v>#REF!</v>
      </c>
      <c r="B61" s="9" t="e">
        <f>INDEX(#REF!,MATCH(Summary!A61,#REF!,0))</f>
        <v>#REF!</v>
      </c>
      <c r="C61" s="10">
        <f>IFERROR(SUMIFS(#REF!,#REF!,Summary!B61),0)</f>
        <v>0</v>
      </c>
      <c r="D61" s="11">
        <f>IFERROR(INDEX(#REF!,MATCH(Summary!$B61,#REF!,0)),0)</f>
        <v>0</v>
      </c>
      <c r="E61" s="11" t="e">
        <f>INDEX(#REF!,MATCH(Summary!$B61,#REF!,0))</f>
        <v>#REF!</v>
      </c>
      <c r="F61" s="11" t="e">
        <f>INDEX(#REF!,MATCH(Summary!$B61,#REF!,0))</f>
        <v>#REF!</v>
      </c>
      <c r="G61" s="11" t="e">
        <f>INDEX(#REF!,MATCH(Summary!$B61,#REF!,0))</f>
        <v>#REF!</v>
      </c>
      <c r="H61" s="11" t="e">
        <f>INDEX(#REF!,MATCH(Summary!$B61,#REF!,0))</f>
        <v>#REF!</v>
      </c>
      <c r="I61" s="11" t="e">
        <f>INDEX(#REF!,MATCH(Summary!B61,#REF!,0))</f>
        <v>#REF!</v>
      </c>
      <c r="J61" s="12" t="e">
        <f>INDEX(#REF!,MATCH(Summary!$B61,#REF!,0))</f>
        <v>#REF!</v>
      </c>
      <c r="K61" s="12" t="e">
        <f>SUMIFS(#REF!,#REF!,Summary!B61)</f>
        <v>#REF!</v>
      </c>
      <c r="L61" s="13" t="e">
        <f>INDEX(#REF!,MATCH(Summary!B61,#REF!,0))</f>
        <v>#REF!</v>
      </c>
      <c r="M61" s="14" t="e">
        <f>IF(J61&gt;1,INDEX(#REF!,MATCH(Summary!B61,#REF!,0)),"")</f>
        <v>#REF!</v>
      </c>
      <c r="O61" s="20" t="e">
        <f>INDEX(#REF!,MATCH(Summary!B61,#REF!,0))</f>
        <v>#REF!</v>
      </c>
      <c r="P61" s="20" t="e">
        <f>INDEX(#REF!,MATCH(Summary!B61,#REF!,0))</f>
        <v>#REF!</v>
      </c>
      <c r="Q61" s="12">
        <f>IFERROR(SUMIFS(#REF!,#REF!,Summary!B61),0)</f>
        <v>0</v>
      </c>
      <c r="R61" s="14" t="str">
        <f>IFERROR(INDEX(#REF!,MATCH(Summary!$B61,#REF!,0)),"")</f>
        <v/>
      </c>
      <c r="S61" s="14" t="e">
        <f>INDEX(#REF!,MATCH(Summary!B61,#REF!,0))</f>
        <v>#REF!</v>
      </c>
      <c r="T61" s="14" t="str">
        <f>IFERROR(INDEX(#REF!,MATCH(Summary!$B61,#REF!,0)),"")</f>
        <v/>
      </c>
    </row>
    <row r="62" spans="1:20" x14ac:dyDescent="0.25">
      <c r="A62" t="e">
        <f t="shared" si="1"/>
        <v>#REF!</v>
      </c>
      <c r="B62" s="9" t="e">
        <f>INDEX(#REF!,MATCH(Summary!A62,#REF!,0))</f>
        <v>#REF!</v>
      </c>
      <c r="C62" s="10">
        <f>IFERROR(SUMIFS(#REF!,#REF!,Summary!B62),0)</f>
        <v>0</v>
      </c>
      <c r="D62" s="11">
        <f>IFERROR(INDEX(#REF!,MATCH(Summary!$B62,#REF!,0)),0)</f>
        <v>0</v>
      </c>
      <c r="E62" s="11" t="e">
        <f>INDEX(#REF!,MATCH(Summary!$B62,#REF!,0))</f>
        <v>#REF!</v>
      </c>
      <c r="F62" s="11" t="e">
        <f>INDEX(#REF!,MATCH(Summary!$B62,#REF!,0))</f>
        <v>#REF!</v>
      </c>
      <c r="G62" s="11" t="e">
        <f>INDEX(#REF!,MATCH(Summary!$B62,#REF!,0))</f>
        <v>#REF!</v>
      </c>
      <c r="H62" s="11" t="e">
        <f>INDEX(#REF!,MATCH(Summary!$B62,#REF!,0))</f>
        <v>#REF!</v>
      </c>
      <c r="I62" s="11" t="e">
        <f>INDEX(#REF!,MATCH(Summary!B62,#REF!,0))</f>
        <v>#REF!</v>
      </c>
      <c r="J62" s="12" t="e">
        <f>INDEX(#REF!,MATCH(Summary!$B62,#REF!,0))</f>
        <v>#REF!</v>
      </c>
      <c r="K62" s="12" t="e">
        <f>SUMIFS(#REF!,#REF!,Summary!B62)</f>
        <v>#REF!</v>
      </c>
      <c r="L62" s="13" t="e">
        <f>INDEX(#REF!,MATCH(Summary!B62,#REF!,0))</f>
        <v>#REF!</v>
      </c>
      <c r="M62" s="14" t="e">
        <f>IF(J62&gt;1,INDEX(#REF!,MATCH(Summary!B62,#REF!,0)),"")</f>
        <v>#REF!</v>
      </c>
      <c r="O62" s="20" t="e">
        <f>INDEX(#REF!,MATCH(Summary!B62,#REF!,0))</f>
        <v>#REF!</v>
      </c>
      <c r="P62" s="20" t="e">
        <f>INDEX(#REF!,MATCH(Summary!B62,#REF!,0))</f>
        <v>#REF!</v>
      </c>
      <c r="Q62" s="12">
        <f>IFERROR(SUMIFS(#REF!,#REF!,Summary!B62),0)</f>
        <v>0</v>
      </c>
      <c r="R62" s="14" t="str">
        <f>IFERROR(INDEX(#REF!,MATCH(Summary!$B62,#REF!,0)),"")</f>
        <v/>
      </c>
      <c r="S62" s="14" t="e">
        <f>INDEX(#REF!,MATCH(Summary!B62,#REF!,0))</f>
        <v>#REF!</v>
      </c>
      <c r="T62" s="14" t="str">
        <f>IFERROR(INDEX(#REF!,MATCH(Summary!$B62,#REF!,0)),"")</f>
        <v/>
      </c>
    </row>
    <row r="63" spans="1:20" x14ac:dyDescent="0.25">
      <c r="A63" t="e">
        <f t="shared" si="1"/>
        <v>#REF!</v>
      </c>
      <c r="B63" s="9" t="e">
        <f>INDEX(#REF!,MATCH(Summary!A63,#REF!,0))</f>
        <v>#REF!</v>
      </c>
      <c r="C63" s="10">
        <f>IFERROR(SUMIFS(#REF!,#REF!,Summary!B63),0)</f>
        <v>0</v>
      </c>
      <c r="D63" s="11">
        <f>IFERROR(INDEX(#REF!,MATCH(Summary!$B63,#REF!,0)),0)</f>
        <v>0</v>
      </c>
      <c r="E63" s="11" t="e">
        <f>INDEX(#REF!,MATCH(Summary!$B63,#REF!,0))</f>
        <v>#REF!</v>
      </c>
      <c r="F63" s="11" t="e">
        <f>INDEX(#REF!,MATCH(Summary!$B63,#REF!,0))</f>
        <v>#REF!</v>
      </c>
      <c r="G63" s="11" t="e">
        <f>INDEX(#REF!,MATCH(Summary!$B63,#REF!,0))</f>
        <v>#REF!</v>
      </c>
      <c r="H63" s="11" t="e">
        <f>INDEX(#REF!,MATCH(Summary!$B63,#REF!,0))</f>
        <v>#REF!</v>
      </c>
      <c r="I63" s="11" t="e">
        <f>INDEX(#REF!,MATCH(Summary!B63,#REF!,0))</f>
        <v>#REF!</v>
      </c>
      <c r="J63" s="12" t="e">
        <f>INDEX(#REF!,MATCH(Summary!$B63,#REF!,0))</f>
        <v>#REF!</v>
      </c>
      <c r="K63" s="12" t="e">
        <f>SUMIFS(#REF!,#REF!,Summary!B63)</f>
        <v>#REF!</v>
      </c>
      <c r="L63" s="13" t="e">
        <f>INDEX(#REF!,MATCH(Summary!B63,#REF!,0))</f>
        <v>#REF!</v>
      </c>
      <c r="M63" s="14" t="e">
        <f>IF(J63&gt;1,INDEX(#REF!,MATCH(Summary!B63,#REF!,0)),"")</f>
        <v>#REF!</v>
      </c>
      <c r="O63" s="20" t="e">
        <f>INDEX(#REF!,MATCH(Summary!B63,#REF!,0))</f>
        <v>#REF!</v>
      </c>
      <c r="P63" s="20" t="e">
        <f>INDEX(#REF!,MATCH(Summary!B63,#REF!,0))</f>
        <v>#REF!</v>
      </c>
      <c r="Q63" s="12">
        <f>IFERROR(SUMIFS(#REF!,#REF!,Summary!B63),0)</f>
        <v>0</v>
      </c>
      <c r="R63" s="14" t="str">
        <f>IFERROR(INDEX(#REF!,MATCH(Summary!$B63,#REF!,0)),"")</f>
        <v/>
      </c>
      <c r="S63" s="14" t="e">
        <f>INDEX(#REF!,MATCH(Summary!B63,#REF!,0))</f>
        <v>#REF!</v>
      </c>
      <c r="T63" s="14" t="str">
        <f>IFERROR(INDEX(#REF!,MATCH(Summary!$B63,#REF!,0)),"")</f>
        <v/>
      </c>
    </row>
    <row r="64" spans="1:20" x14ac:dyDescent="0.25">
      <c r="A64" t="e">
        <f t="shared" si="1"/>
        <v>#REF!</v>
      </c>
      <c r="B64" s="9" t="e">
        <f>INDEX(#REF!,MATCH(Summary!A64,#REF!,0))</f>
        <v>#REF!</v>
      </c>
      <c r="C64" s="10">
        <f>IFERROR(SUMIFS(#REF!,#REF!,Summary!B64),0)</f>
        <v>0</v>
      </c>
      <c r="D64" s="11">
        <f>IFERROR(INDEX(#REF!,MATCH(Summary!$B64,#REF!,0)),0)</f>
        <v>0</v>
      </c>
      <c r="E64" s="11" t="e">
        <f>INDEX(#REF!,MATCH(Summary!$B64,#REF!,0))</f>
        <v>#REF!</v>
      </c>
      <c r="F64" s="11" t="e">
        <f>INDEX(#REF!,MATCH(Summary!$B64,#REF!,0))</f>
        <v>#REF!</v>
      </c>
      <c r="G64" s="11" t="e">
        <f>INDEX(#REF!,MATCH(Summary!$B64,#REF!,0))</f>
        <v>#REF!</v>
      </c>
      <c r="H64" s="11" t="e">
        <f>INDEX(#REF!,MATCH(Summary!$B64,#REF!,0))</f>
        <v>#REF!</v>
      </c>
      <c r="I64" s="11" t="e">
        <f>INDEX(#REF!,MATCH(Summary!B64,#REF!,0))</f>
        <v>#REF!</v>
      </c>
      <c r="J64" s="12" t="e">
        <f>INDEX(#REF!,MATCH(Summary!$B64,#REF!,0))</f>
        <v>#REF!</v>
      </c>
      <c r="K64" s="12" t="e">
        <f>SUMIFS(#REF!,#REF!,Summary!B64)</f>
        <v>#REF!</v>
      </c>
      <c r="L64" s="13" t="e">
        <f>INDEX(#REF!,MATCH(Summary!B64,#REF!,0))</f>
        <v>#REF!</v>
      </c>
      <c r="M64" s="14" t="e">
        <f>IF(J64&gt;1,INDEX(#REF!,MATCH(Summary!B64,#REF!,0)),"")</f>
        <v>#REF!</v>
      </c>
      <c r="O64" s="20" t="e">
        <f>INDEX(#REF!,MATCH(Summary!B64,#REF!,0))</f>
        <v>#REF!</v>
      </c>
      <c r="P64" s="20" t="e">
        <f>INDEX(#REF!,MATCH(Summary!B64,#REF!,0))</f>
        <v>#REF!</v>
      </c>
      <c r="Q64" s="12">
        <f>IFERROR(SUMIFS(#REF!,#REF!,Summary!B64),0)</f>
        <v>0</v>
      </c>
      <c r="R64" s="14" t="str">
        <f>IFERROR(INDEX(#REF!,MATCH(Summary!$B64,#REF!,0)),"")</f>
        <v/>
      </c>
      <c r="S64" s="14" t="e">
        <f>INDEX(#REF!,MATCH(Summary!B64,#REF!,0))</f>
        <v>#REF!</v>
      </c>
      <c r="T64" s="14" t="str">
        <f>IFERROR(INDEX(#REF!,MATCH(Summary!$B64,#REF!,0)),"")</f>
        <v/>
      </c>
    </row>
    <row r="65" spans="1:20" x14ac:dyDescent="0.25">
      <c r="A65" t="e">
        <f t="shared" si="1"/>
        <v>#REF!</v>
      </c>
      <c r="B65" s="15" t="e">
        <f>INDEX(#REF!,MATCH(Summary!A65,#REF!,0))</f>
        <v>#REF!</v>
      </c>
      <c r="C65" s="16">
        <f>IFERROR(SUMIFS(#REF!,#REF!,Summary!B65),0)</f>
        <v>0</v>
      </c>
      <c r="D65" s="17">
        <f>IFERROR(INDEX(#REF!,MATCH(Summary!$B65,#REF!,0)),0)</f>
        <v>0</v>
      </c>
      <c r="E65" s="17" t="e">
        <f>INDEX(#REF!,MATCH(Summary!$B65,#REF!,0))</f>
        <v>#REF!</v>
      </c>
      <c r="F65" s="17" t="e">
        <f>INDEX(#REF!,MATCH(Summary!$B65,#REF!,0))</f>
        <v>#REF!</v>
      </c>
      <c r="G65" s="17" t="e">
        <f>INDEX(#REF!,MATCH(Summary!$B65,#REF!,0))</f>
        <v>#REF!</v>
      </c>
      <c r="H65" s="17" t="e">
        <f>INDEX(#REF!,MATCH(Summary!$B65,#REF!,0))</f>
        <v>#REF!</v>
      </c>
      <c r="I65" s="17" t="e">
        <f>INDEX(#REF!,MATCH(Summary!B65,#REF!,0))</f>
        <v>#REF!</v>
      </c>
      <c r="J65" s="12" t="e">
        <f>INDEX(#REF!,MATCH(Summary!$B65,#REF!,0))</f>
        <v>#REF!</v>
      </c>
      <c r="K65" s="18" t="e">
        <f>SUMIFS(#REF!,#REF!,Summary!B65)</f>
        <v>#REF!</v>
      </c>
      <c r="L65" s="13" t="e">
        <f>INDEX(#REF!,MATCH(Summary!B65,#REF!,0))</f>
        <v>#REF!</v>
      </c>
      <c r="M65" s="19" t="e">
        <f>IF(J65&gt;1,INDEX(#REF!,MATCH(Summary!B65,#REF!,0)),"")</f>
        <v>#REF!</v>
      </c>
      <c r="O65" s="20" t="e">
        <f>INDEX(#REF!,MATCH(Summary!B65,#REF!,0))</f>
        <v>#REF!</v>
      </c>
      <c r="P65" s="20" t="e">
        <f>INDEX(#REF!,MATCH(Summary!B65,#REF!,0))</f>
        <v>#REF!</v>
      </c>
      <c r="Q65" s="18">
        <f>IFERROR(SUMIFS(#REF!,#REF!,Summary!B65),0)</f>
        <v>0</v>
      </c>
      <c r="R65" s="19" t="str">
        <f>IFERROR(INDEX(#REF!,MATCH(Summary!$B65,#REF!,0)),"")</f>
        <v/>
      </c>
      <c r="S65" s="19" t="e">
        <f>INDEX(#REF!,MATCH(Summary!B65,#REF!,0))</f>
        <v>#REF!</v>
      </c>
      <c r="T65" s="19" t="str">
        <f>IFERROR(INDEX(#REF!,MATCH(Summary!$B65,#REF!,0)),"")</f>
        <v/>
      </c>
    </row>
  </sheetData>
  <autoFilter ref="A1:R65" xr:uid="{00000000-0009-0000-0000-000000000000}"/>
  <conditionalFormatting sqref="L2">
    <cfRule type="expression" dxfId="280" priority="24">
      <formula>AND(G2&gt;=22,J2&gt;0)</formula>
    </cfRule>
    <cfRule type="expression" dxfId="279" priority="36">
      <formula>AND(K2&gt;0,L2="")</formula>
    </cfRule>
  </conditionalFormatting>
  <conditionalFormatting sqref="J2">
    <cfRule type="expression" dxfId="278" priority="32">
      <formula>AND(G2&lt;10,J2&gt;=1)</formula>
    </cfRule>
    <cfRule type="expression" dxfId="277" priority="34">
      <formula>AND(G2&lt;=10,J2=0)</formula>
    </cfRule>
  </conditionalFormatting>
  <conditionalFormatting sqref="L3:L65">
    <cfRule type="expression" dxfId="276" priority="22">
      <formula>AND(G3&gt;=22,J3&gt;0)</formula>
    </cfRule>
    <cfRule type="expression" dxfId="275" priority="23">
      <formula>AND(K3&gt;0,L3="")</formula>
    </cfRule>
  </conditionalFormatting>
  <conditionalFormatting sqref="P2">
    <cfRule type="expression" dxfId="274" priority="6">
      <formula>P2&lt;1</formula>
    </cfRule>
    <cfRule type="expression" dxfId="273" priority="7">
      <formula>AND(P2&lt;7,P2&gt;1)</formula>
    </cfRule>
    <cfRule type="expression" dxfId="272" priority="8">
      <formula>AND(P2&lt;10,P2&gt;7)</formula>
    </cfRule>
  </conditionalFormatting>
  <conditionalFormatting sqref="P3:P65">
    <cfRule type="expression" dxfId="271" priority="3">
      <formula>P3&lt;1</formula>
    </cfRule>
    <cfRule type="expression" dxfId="270" priority="4">
      <formula>AND(P3&lt;7,P3&gt;1)</formula>
    </cfRule>
    <cfRule type="expression" dxfId="269" priority="5">
      <formula>AND(P3&lt;10,P3&gt;7)</formula>
    </cfRule>
  </conditionalFormatting>
  <conditionalFormatting sqref="J3:J65">
    <cfRule type="expression" dxfId="268" priority="1">
      <formula>AND(G3&lt;10,J3&gt;=1)</formula>
    </cfRule>
    <cfRule type="expression" dxfId="267" priority="2">
      <formula>AND(G3&lt;=10,J3=0)</formula>
    </cfRule>
  </conditionalFormatting>
  <printOptions horizontalCentered="1"/>
  <pageMargins left="0.2" right="0.2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00B050"/>
  </sheetPr>
  <dimension ref="B2:R30"/>
  <sheetViews>
    <sheetView showGridLines="0" topLeftCell="C1" zoomScaleNormal="100" workbookViewId="0">
      <selection activeCell="O30" sqref="O30"/>
    </sheetView>
  </sheetViews>
  <sheetFormatPr defaultColWidth="9.140625" defaultRowHeight="15" x14ac:dyDescent="0.25"/>
  <cols>
    <col min="1" max="5" width="9.140625" style="25"/>
    <col min="6" max="6" width="10.7109375" style="25" bestFit="1" customWidth="1"/>
    <col min="7" max="7" width="2.7109375" style="25" customWidth="1"/>
    <col min="8" max="8" width="12.140625" style="25" customWidth="1"/>
    <col min="9" max="9" width="19.5703125" style="25" customWidth="1"/>
    <col min="10" max="10" width="5.140625" style="25" customWidth="1"/>
    <col min="11" max="16384" width="9.140625" style="25"/>
  </cols>
  <sheetData>
    <row r="2" spans="2:18" ht="32.25" thickBot="1" x14ac:dyDescent="0.55000000000000004">
      <c r="B2" s="25" t="s">
        <v>174</v>
      </c>
      <c r="C2" s="29" t="s">
        <v>285</v>
      </c>
      <c r="D2" s="27" t="s">
        <v>285</v>
      </c>
      <c r="N2" s="28" t="s">
        <v>309</v>
      </c>
      <c r="R2" s="26"/>
    </row>
    <row r="3" spans="2:18" ht="15.75" thickBot="1" x14ac:dyDescent="0.3">
      <c r="L3" s="29" t="s">
        <v>285</v>
      </c>
      <c r="M3" s="29" t="s">
        <v>286</v>
      </c>
      <c r="N3" s="90">
        <v>22</v>
      </c>
    </row>
    <row r="7" spans="2:18" ht="15.75" thickBot="1" x14ac:dyDescent="0.3"/>
    <row r="8" spans="2:18" x14ac:dyDescent="0.25">
      <c r="J8" s="39"/>
      <c r="K8" s="30"/>
      <c r="L8" s="30"/>
      <c r="M8" s="30"/>
      <c r="N8" s="30"/>
      <c r="O8" s="31"/>
    </row>
    <row r="9" spans="2:18" x14ac:dyDescent="0.25">
      <c r="J9" s="40"/>
      <c r="K9" s="33"/>
      <c r="L9" s="32" t="s">
        <v>261</v>
      </c>
      <c r="M9" s="33"/>
      <c r="N9" s="33"/>
      <c r="O9" s="34"/>
    </row>
    <row r="10" spans="2:18" ht="15.75" thickBot="1" x14ac:dyDescent="0.3">
      <c r="J10" s="40"/>
      <c r="K10" s="33"/>
      <c r="L10" s="32"/>
      <c r="M10" s="33"/>
      <c r="N10" s="33"/>
      <c r="O10" s="34"/>
    </row>
    <row r="11" spans="2:18" ht="15.75" thickBot="1" x14ac:dyDescent="0.3">
      <c r="J11" s="40"/>
      <c r="K11" s="90">
        <v>1</v>
      </c>
      <c r="L11" s="38" t="s">
        <v>285</v>
      </c>
      <c r="M11" s="33">
        <v>1</v>
      </c>
      <c r="N11" s="33" t="s">
        <v>262</v>
      </c>
      <c r="O11" s="34"/>
    </row>
    <row r="12" spans="2:18" ht="15.75" thickBot="1" x14ac:dyDescent="0.3">
      <c r="J12" s="40"/>
      <c r="K12" s="33"/>
      <c r="L12" s="38"/>
      <c r="M12" s="33">
        <v>2</v>
      </c>
      <c r="N12" s="33" t="s">
        <v>257</v>
      </c>
      <c r="O12" s="34"/>
    </row>
    <row r="13" spans="2:18" ht="15.75" thickBot="1" x14ac:dyDescent="0.3">
      <c r="D13" s="25" t="s">
        <v>269</v>
      </c>
      <c r="F13" s="37">
        <f ca="1">TODAY()</f>
        <v>45310</v>
      </c>
      <c r="G13" s="37"/>
      <c r="H13" s="91">
        <v>35</v>
      </c>
      <c r="I13" s="42">
        <f ca="1">F15-F13</f>
        <v>6192</v>
      </c>
      <c r="J13" s="40"/>
      <c r="K13" s="33"/>
      <c r="L13" s="33"/>
      <c r="M13" s="33">
        <v>3</v>
      </c>
      <c r="N13" s="33" t="s">
        <v>259</v>
      </c>
      <c r="O13" s="34"/>
    </row>
    <row r="14" spans="2:18" x14ac:dyDescent="0.25">
      <c r="D14" s="25" t="s">
        <v>270</v>
      </c>
      <c r="F14" s="37">
        <f ca="1">F13+H13</f>
        <v>45345</v>
      </c>
      <c r="G14" s="37"/>
      <c r="I14" s="29" t="s">
        <v>272</v>
      </c>
      <c r="J14" s="40"/>
      <c r="K14" s="33"/>
      <c r="L14" s="33"/>
      <c r="M14" s="32">
        <v>4</v>
      </c>
      <c r="N14" s="32" t="s">
        <v>263</v>
      </c>
      <c r="O14" s="34"/>
    </row>
    <row r="15" spans="2:18" x14ac:dyDescent="0.25">
      <c r="D15" s="25" t="s">
        <v>271</v>
      </c>
      <c r="F15" s="37">
        <v>51502</v>
      </c>
      <c r="G15" s="37"/>
      <c r="J15" s="40"/>
      <c r="K15" s="33"/>
      <c r="L15" s="33"/>
      <c r="M15" s="32">
        <v>5</v>
      </c>
      <c r="N15" s="32" t="s">
        <v>264</v>
      </c>
      <c r="O15" s="34"/>
    </row>
    <row r="16" spans="2:18" x14ac:dyDescent="0.25">
      <c r="J16" s="40"/>
      <c r="K16" s="33"/>
      <c r="L16" s="33"/>
      <c r="M16" s="32">
        <v>6</v>
      </c>
      <c r="N16" s="32" t="s">
        <v>265</v>
      </c>
      <c r="O16" s="34"/>
    </row>
    <row r="17" spans="10:17" x14ac:dyDescent="0.25">
      <c r="J17" s="40"/>
      <c r="K17" s="33"/>
      <c r="L17" s="33"/>
      <c r="M17" s="33"/>
      <c r="N17" s="33"/>
      <c r="O17" s="34"/>
    </row>
    <row r="18" spans="10:17" ht="15.75" thickBot="1" x14ac:dyDescent="0.3">
      <c r="J18" s="41"/>
      <c r="K18" s="35"/>
      <c r="L18" s="35"/>
      <c r="M18" s="35"/>
      <c r="N18" s="35"/>
      <c r="O18" s="36"/>
    </row>
    <row r="21" spans="10:17" x14ac:dyDescent="0.25">
      <c r="K21" s="25" t="s">
        <v>175</v>
      </c>
    </row>
    <row r="30" spans="10:17" x14ac:dyDescent="0.25">
      <c r="Q30" s="25" t="s">
        <v>175</v>
      </c>
    </row>
  </sheetData>
  <sheetProtection algorithmName="SHA-512" hashValue="Yk/E2vItlW9QvJI9JHYheiiGDva8MjW29r+P1+c3/SD1RYHz7wqoNfmWaWniBCuWz0frnhql+sg8vED3vOTx5A==" saltValue="9FxBH9E6axn82y9oGUFM6w==" spinCount="100000" sheet="1" objects="1" scenarios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RefreshAll">
                <anchor moveWithCells="1">
                  <from>
                    <xdr:col>4</xdr:col>
                    <xdr:colOff>447675</xdr:colOff>
                    <xdr:row>4</xdr:row>
                    <xdr:rowOff>28575</xdr:rowOff>
                  </from>
                  <to>
                    <xdr:col>7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6">
    <tabColor rgb="FF00B050"/>
    <pageSetUpPr fitToPage="1"/>
  </sheetPr>
  <dimension ref="A4:XFB1048573"/>
  <sheetViews>
    <sheetView showGridLines="0" tabSelected="1" zoomScaleNormal="100" workbookViewId="0"/>
  </sheetViews>
  <sheetFormatPr defaultColWidth="9.140625" defaultRowHeight="15" x14ac:dyDescent="0.25"/>
  <cols>
    <col min="1" max="1" width="9.5703125" style="43" customWidth="1"/>
    <col min="2" max="2" width="7.5703125" style="43" customWidth="1"/>
    <col min="3" max="3" width="16.7109375" style="43" customWidth="1"/>
    <col min="4" max="5" width="10.5703125" style="43" customWidth="1"/>
    <col min="6" max="6" width="11.42578125" style="43" customWidth="1"/>
    <col min="7" max="7" width="9.5703125" style="43" customWidth="1"/>
    <col min="8" max="8" width="8.42578125" style="43" customWidth="1"/>
    <col min="9" max="9" width="13" style="43" customWidth="1"/>
    <col min="10" max="10" width="10.5703125" style="43" customWidth="1"/>
    <col min="11" max="11" width="10" style="43" customWidth="1"/>
    <col min="12" max="12" width="8.85546875" style="43" customWidth="1"/>
    <col min="13" max="13" width="9.7109375" style="43" customWidth="1"/>
    <col min="14" max="14" width="9" style="43" customWidth="1"/>
    <col min="15" max="15" width="10.140625" style="43" customWidth="1"/>
    <col min="16" max="16" width="8.7109375" style="43" customWidth="1"/>
    <col min="17" max="17" width="9.28515625" style="43" customWidth="1"/>
    <col min="18" max="18" width="9.140625" style="43"/>
    <col min="19" max="19" width="10.28515625" style="43" customWidth="1"/>
    <col min="20" max="20" width="12.42578125" style="43" customWidth="1"/>
    <col min="21" max="21" width="10.5703125" style="43" bestFit="1" customWidth="1"/>
    <col min="22" max="22" width="13.5703125" style="43" customWidth="1"/>
    <col min="23" max="23" width="12.28515625" style="43" customWidth="1"/>
    <col min="24" max="24" width="11.42578125" style="43" customWidth="1"/>
    <col min="25" max="26" width="9.140625" style="43"/>
    <col min="27" max="27" width="12.28515625" style="43" customWidth="1"/>
    <col min="28" max="28" width="12.42578125" style="43" customWidth="1"/>
    <col min="29" max="16381" width="9.140625" style="43"/>
    <col min="16382" max="16382" width="10.7109375" style="43" bestFit="1" customWidth="1"/>
    <col min="16383" max="16384" width="9.140625" style="43"/>
  </cols>
  <sheetData>
    <row r="4" spans="1:66" ht="15.75" thickBot="1" x14ac:dyDescent="0.3">
      <c r="C4" s="98"/>
      <c r="D4" s="98"/>
      <c r="E4" s="98"/>
      <c r="F4" s="98"/>
      <c r="G4" s="98"/>
      <c r="BM4" s="44">
        <f ca="1">TODAY()</f>
        <v>45310</v>
      </c>
      <c r="BN4" s="29">
        <f ca="1">IF(BM4&gt;=XFB1048573,1,0)</f>
        <v>0</v>
      </c>
    </row>
    <row r="5" spans="1:66" ht="30.75" thickBot="1" x14ac:dyDescent="0.3">
      <c r="C5" s="45" t="s">
        <v>206</v>
      </c>
      <c r="D5" s="46" t="s">
        <v>267</v>
      </c>
      <c r="E5" s="45" t="s">
        <v>209</v>
      </c>
      <c r="F5" s="45" t="s">
        <v>207</v>
      </c>
      <c r="G5" s="45" t="s">
        <v>177</v>
      </c>
    </row>
    <row r="6" spans="1:66" ht="15.75" thickBot="1" x14ac:dyDescent="0.3">
      <c r="C6" s="47">
        <f ca="1">SUM(T10:T20)</f>
        <v>452.34888888888889</v>
      </c>
      <c r="D6" s="48">
        <f ca="1">SUM(U10:U20)</f>
        <v>15540.266666666666</v>
      </c>
      <c r="E6" s="47">
        <f ca="1">SUM(V10:V20)</f>
        <v>5428.1866666666665</v>
      </c>
      <c r="F6" s="47">
        <f ca="1">SUM(W10:W20)</f>
        <v>7616.5700000000006</v>
      </c>
      <c r="G6" s="49">
        <f ca="1">F6/C6</f>
        <v>16.83782183860049</v>
      </c>
    </row>
    <row r="7" spans="1:66" ht="30.75" thickBot="1" x14ac:dyDescent="0.3">
      <c r="A7" s="50"/>
      <c r="B7" s="51"/>
      <c r="F7" s="28"/>
      <c r="G7" s="28"/>
      <c r="H7" s="52" t="str">
        <f>LEFT(D8,1)&amp;"D1"</f>
        <v>RD1</v>
      </c>
      <c r="J7" s="26" t="s">
        <v>266</v>
      </c>
      <c r="K7" s="53"/>
      <c r="N7" s="45" t="s">
        <v>205</v>
      </c>
      <c r="O7" s="92">
        <f>'Dashboard Control'!N3</f>
        <v>22</v>
      </c>
      <c r="R7" s="54"/>
      <c r="S7" s="54"/>
      <c r="AA7" s="55"/>
    </row>
    <row r="8" spans="1:66" ht="15.75" thickBot="1" x14ac:dyDescent="0.3">
      <c r="B8" s="56"/>
      <c r="D8" s="57" t="str">
        <f>'Dashboard Control'!D2</f>
        <v>RD1</v>
      </c>
      <c r="E8" s="57"/>
      <c r="F8" s="58"/>
      <c r="G8" s="58"/>
      <c r="H8" s="56">
        <v>0</v>
      </c>
      <c r="Q8" s="58"/>
      <c r="R8" s="59"/>
      <c r="S8" s="60"/>
      <c r="AA8" s="61"/>
    </row>
    <row r="9" spans="1:66" ht="49.5" customHeight="1" thickBot="1" x14ac:dyDescent="0.3">
      <c r="B9" s="97" t="s">
        <v>179</v>
      </c>
      <c r="C9" s="45" t="s">
        <v>180</v>
      </c>
      <c r="D9" s="45" t="s">
        <v>187</v>
      </c>
      <c r="E9" s="62" t="s">
        <v>247</v>
      </c>
      <c r="F9" s="62" t="s">
        <v>248</v>
      </c>
      <c r="G9" s="45" t="s">
        <v>177</v>
      </c>
      <c r="H9" s="45" t="s">
        <v>190</v>
      </c>
      <c r="I9" s="46" t="s">
        <v>231</v>
      </c>
      <c r="J9" s="45" t="s">
        <v>184</v>
      </c>
      <c r="K9" s="45" t="s">
        <v>196</v>
      </c>
      <c r="L9" s="45" t="s">
        <v>194</v>
      </c>
      <c r="M9" s="46" t="s">
        <v>307</v>
      </c>
      <c r="N9" s="45" t="s">
        <v>201</v>
      </c>
      <c r="O9" s="45" t="s">
        <v>202</v>
      </c>
      <c r="P9" s="45" t="s">
        <v>203</v>
      </c>
      <c r="Q9" s="46" t="s">
        <v>306</v>
      </c>
      <c r="R9" s="46" t="s">
        <v>308</v>
      </c>
      <c r="S9" s="45" t="s">
        <v>204</v>
      </c>
      <c r="T9" s="45" t="s">
        <v>206</v>
      </c>
      <c r="X9" s="55"/>
      <c r="Y9" s="97"/>
      <c r="Z9" s="97"/>
      <c r="AA9" s="63"/>
    </row>
    <row r="10" spans="1:66" x14ac:dyDescent="0.25">
      <c r="A10" s="29" t="s">
        <v>275</v>
      </c>
      <c r="B10" s="29">
        <v>1</v>
      </c>
      <c r="C10" s="64" t="str">
        <f t="shared" ref="C10:C20" ca="1" si="0">IF($BN$4=0,A10,"################")</f>
        <v>BTL-002</v>
      </c>
      <c r="D10" s="65">
        <f ca="1">SUMIFS('Raw-Inventory'!D:D,'Raw-Inventory'!A:A,C10,'Raw-Inventory'!B:B,$H$7)+SUMIFS('Raw-Inventory'!D:D,'Raw-Inventory'!A:A,C10,'Raw-Inventory'!B:B,$F$8)</f>
        <v>1000</v>
      </c>
      <c r="E10" s="65">
        <f ca="1">SUMIFS(BOM!AE:AE,BOM!D:D,C10)</f>
        <v>4241.4839999999995</v>
      </c>
      <c r="F10" s="66">
        <f ca="1">SUMIFS('Raw-Inventory'!E:E,'Raw-Inventory'!A:A,C10,'Raw-Inventory'!B:B,$H$7)</f>
        <v>600</v>
      </c>
      <c r="G10" s="67">
        <f t="shared" ref="G10:G20" ca="1" si="1">IFERROR(D10/H10,"no f/c")</f>
        <v>12.83880171184023</v>
      </c>
      <c r="H10" s="68">
        <f ca="1">SUMIFS(Forecast!F:F,Forecast!A:A,C10,Forecast!B:B,$H$7)</f>
        <v>77.888888888888886</v>
      </c>
      <c r="I10" s="66">
        <f ca="1">IFERROR(F10/H10,0)</f>
        <v>7.7032810271041372</v>
      </c>
      <c r="J10" s="69">
        <f ca="1">SUMIFS(OpenPOs!P:P,OpenPOs!E:E,C10,OpenPOs!N:N,$H$7)</f>
        <v>700</v>
      </c>
      <c r="K10" s="70">
        <f t="shared" ref="K10:K20" ca="1" si="2">IF((D10-MAX(E10:F10)+J10)&lt;0,0,D10-MAX(E10:F10)+J10)</f>
        <v>0</v>
      </c>
      <c r="L10" s="71">
        <f t="shared" ref="L10:L20" ca="1" si="3">IFERROR(K10/H10,"No f.c.")</f>
        <v>0</v>
      </c>
      <c r="M10" s="69">
        <f t="shared" ref="M10:M20" si="4">R10</f>
        <v>0</v>
      </c>
      <c r="N10" s="70">
        <f t="shared" ref="N10:N20" ca="1" si="5">SUM(M10+K10)</f>
        <v>0</v>
      </c>
      <c r="O10" s="69">
        <f t="shared" ref="O10:O20" ca="1" si="6">IFERROR(N10/H10,0)</f>
        <v>0</v>
      </c>
      <c r="P10" s="72">
        <f t="shared" ref="P10:P20" ca="1" si="7">IF(O10&lt;$O$7,$O$7-O10,)</f>
        <v>22</v>
      </c>
      <c r="Q10" s="72">
        <f t="shared" ref="Q10:Q20" ca="1" si="8">P10*H10</f>
        <v>1713.5555555555554</v>
      </c>
      <c r="R10" s="87"/>
      <c r="S10" s="73">
        <f ca="1">SUMIFS('Raw-Inventory'!G:G,'Raw-Inventory'!A:A,$C10,'Raw-Inventory'!B:B,$H$7)</f>
        <v>0.33</v>
      </c>
      <c r="T10" s="73">
        <f t="shared" ref="T10:T20" ca="1" si="9">S10*H10</f>
        <v>25.703333333333333</v>
      </c>
      <c r="U10" s="74">
        <f t="shared" ref="U10:U20" ca="1" si="10">H10*12</f>
        <v>934.66666666666663</v>
      </c>
      <c r="V10" s="75">
        <f ca="1">U10*S10</f>
        <v>308.44</v>
      </c>
      <c r="W10" s="75">
        <f t="shared" ref="W10:W20" ca="1" si="11">D10*S10</f>
        <v>330</v>
      </c>
      <c r="X10" s="29">
        <f ca="1">ROUND(T10/S10,0)</f>
        <v>78</v>
      </c>
      <c r="Y10" s="76">
        <f ca="1">IF(O10&gt;=$O$7,1,IF(O10&lt;$O$7,0)*0)</f>
        <v>0</v>
      </c>
      <c r="Z10" s="76">
        <f ca="1">IF(O10&gt;$O$7+7,1,0)</f>
        <v>0</v>
      </c>
      <c r="AA10" s="75">
        <f t="shared" ref="AA10:AA20" ca="1" si="12">N10*S10</f>
        <v>0</v>
      </c>
    </row>
    <row r="11" spans="1:66" ht="15.75" customHeight="1" x14ac:dyDescent="0.25">
      <c r="A11" s="29" t="s">
        <v>276</v>
      </c>
      <c r="B11" s="29">
        <v>2</v>
      </c>
      <c r="C11" s="77" t="str">
        <f t="shared" ca="1" si="0"/>
        <v>BTL-022</v>
      </c>
      <c r="D11" s="78">
        <f ca="1">SUMIFS('Raw-Inventory'!D:D,'Raw-Inventory'!A:A,C11,'Raw-Inventory'!B:B,$H$7)+SUMIFS('Raw-Inventory'!D:D,'Raw-Inventory'!A:A,C11,'Raw-Inventory'!B:B,$F$8)</f>
        <v>2400</v>
      </c>
      <c r="E11" s="78">
        <f ca="1">SUMIFS(BOM!AE:AE,BOM!D:D,C11)</f>
        <v>0</v>
      </c>
      <c r="F11" s="79">
        <f ca="1">SUMIFS('Raw-Inventory'!E:E,'Raw-Inventory'!A:A,C11,'Raw-Inventory'!B:B,$H$7)</f>
        <v>850</v>
      </c>
      <c r="G11" s="79">
        <f t="shared" ca="1" si="1"/>
        <v>14.989590562109646</v>
      </c>
      <c r="H11" s="79">
        <f ca="1">SUMIFS(Forecast!F:F,Forecast!A:A,C11,Forecast!B:B,$H$7)</f>
        <v>160.11111111111111</v>
      </c>
      <c r="I11" s="79">
        <f t="shared" ref="I11:I20" ca="1" si="13">IFERROR(F11/H11,0)</f>
        <v>5.3088133240804991</v>
      </c>
      <c r="J11" s="80">
        <f ca="1">SUMIFS(OpenPOs!P:P,OpenPOs!E:E,C11,OpenPOs!N:N,$H$7)</f>
        <v>0</v>
      </c>
      <c r="K11" s="81">
        <f t="shared" ca="1" si="2"/>
        <v>1550</v>
      </c>
      <c r="L11" s="82">
        <f t="shared" ca="1" si="3"/>
        <v>9.6807772380291457</v>
      </c>
      <c r="M11" s="69">
        <f t="shared" si="4"/>
        <v>0</v>
      </c>
      <c r="N11" s="80">
        <f t="shared" ca="1" si="5"/>
        <v>1550</v>
      </c>
      <c r="O11" s="80">
        <f t="shared" ca="1" si="6"/>
        <v>9.6807772380291457</v>
      </c>
      <c r="P11" s="83">
        <f t="shared" ca="1" si="7"/>
        <v>12.319222761970854</v>
      </c>
      <c r="Q11" s="83">
        <f t="shared" ca="1" si="8"/>
        <v>1972.4444444444446</v>
      </c>
      <c r="R11" s="88"/>
      <c r="S11" s="84">
        <f ca="1">SUMIFS('Raw-Inventory'!G:G,'Raw-Inventory'!A:A,$C11,'Raw-Inventory'!B:B,$H$7)</f>
        <v>0.5</v>
      </c>
      <c r="T11" s="84">
        <f t="shared" ca="1" si="9"/>
        <v>80.055555555555557</v>
      </c>
      <c r="U11" s="74">
        <f t="shared" ca="1" si="10"/>
        <v>1921.3333333333335</v>
      </c>
      <c r="V11" s="75">
        <f t="shared" ref="V11:V20" ca="1" si="14">U11*S11</f>
        <v>960.66666666666674</v>
      </c>
      <c r="W11" s="75">
        <f t="shared" ca="1" si="11"/>
        <v>1200</v>
      </c>
      <c r="X11" s="29">
        <f t="shared" ref="X11:X20" ca="1" si="15">ROUND(T11/S11,0)</f>
        <v>160</v>
      </c>
      <c r="Y11" s="76">
        <f t="shared" ref="Y11:Y20" ca="1" si="16">IF(O11&gt;=$O$7,1,IF(O11&lt;$O$7,0)*0)</f>
        <v>0</v>
      </c>
      <c r="Z11" s="76">
        <f t="shared" ref="Z11:Z20" ca="1" si="17">IF(O11&gt;$O$7+7,1,0)</f>
        <v>0</v>
      </c>
      <c r="AA11" s="75">
        <f t="shared" ca="1" si="12"/>
        <v>775</v>
      </c>
    </row>
    <row r="12" spans="1:66" ht="18" customHeight="1" x14ac:dyDescent="0.25">
      <c r="A12" s="29" t="s">
        <v>277</v>
      </c>
      <c r="B12" s="29">
        <v>3</v>
      </c>
      <c r="C12" s="77" t="str">
        <f t="shared" ca="1" si="0"/>
        <v>BTL-008</v>
      </c>
      <c r="D12" s="78">
        <f ca="1">SUMIFS('Raw-Inventory'!D:D,'Raw-Inventory'!A:A,C12,'Raw-Inventory'!B:B,$H$7)+SUMIFS('Raw-Inventory'!D:D,'Raw-Inventory'!A:A,C12,'Raw-Inventory'!B:B,$F$8)</f>
        <v>8000</v>
      </c>
      <c r="E12" s="78">
        <f ca="1">SUMIFS(BOM!AE:AE,BOM!D:D,C12)</f>
        <v>1595.0879999999997</v>
      </c>
      <c r="F12" s="79">
        <f ca="1">SUMIFS('Raw-Inventory'!E:E,'Raw-Inventory'!A:A,C12,'Raw-Inventory'!B:B,$H$7)</f>
        <v>2500</v>
      </c>
      <c r="G12" s="79">
        <f t="shared" ca="1" si="1"/>
        <v>30.503304524656841</v>
      </c>
      <c r="H12" s="79">
        <f ca="1">SUMIFS(Forecast!F:F,Forecast!A:A,C12,Forecast!B:B,$H$7)</f>
        <v>262.26666666666665</v>
      </c>
      <c r="I12" s="79">
        <f t="shared" ca="1" si="13"/>
        <v>9.5322826639552627</v>
      </c>
      <c r="J12" s="80">
        <f ca="1">SUMIFS(OpenPOs!P:P,OpenPOs!E:E,C12,OpenPOs!N:N,$H$7)</f>
        <v>1500</v>
      </c>
      <c r="K12" s="81">
        <f t="shared" ca="1" si="2"/>
        <v>7000</v>
      </c>
      <c r="L12" s="82">
        <f t="shared" ca="1" si="3"/>
        <v>26.690391459074736</v>
      </c>
      <c r="M12" s="69">
        <f t="shared" si="4"/>
        <v>0</v>
      </c>
      <c r="N12" s="80">
        <f t="shared" ca="1" si="5"/>
        <v>7000</v>
      </c>
      <c r="O12" s="80">
        <f t="shared" ca="1" si="6"/>
        <v>26.690391459074736</v>
      </c>
      <c r="P12" s="83">
        <f t="shared" ca="1" si="7"/>
        <v>0</v>
      </c>
      <c r="Q12" s="83">
        <f t="shared" ca="1" si="8"/>
        <v>0</v>
      </c>
      <c r="R12" s="88"/>
      <c r="S12" s="84">
        <f ca="1">SUMIFS('Raw-Inventory'!G:G,'Raw-Inventory'!A:A,$C12,'Raw-Inventory'!B:B,$H$7)</f>
        <v>0.12</v>
      </c>
      <c r="T12" s="84">
        <f t="shared" ca="1" si="9"/>
        <v>31.471999999999998</v>
      </c>
      <c r="U12" s="74">
        <f t="shared" ca="1" si="10"/>
        <v>3147.2</v>
      </c>
      <c r="V12" s="75">
        <f t="shared" ca="1" si="14"/>
        <v>377.66399999999999</v>
      </c>
      <c r="W12" s="75">
        <f t="shared" ca="1" si="11"/>
        <v>960</v>
      </c>
      <c r="X12" s="29">
        <f t="shared" ca="1" si="15"/>
        <v>262</v>
      </c>
      <c r="Y12" s="76">
        <f t="shared" ca="1" si="16"/>
        <v>1</v>
      </c>
      <c r="Z12" s="76">
        <f t="shared" ca="1" si="17"/>
        <v>0</v>
      </c>
      <c r="AA12" s="75">
        <f t="shared" ca="1" si="12"/>
        <v>840</v>
      </c>
    </row>
    <row r="13" spans="1:66" ht="15" customHeight="1" x14ac:dyDescent="0.25">
      <c r="A13" s="29" t="s">
        <v>278</v>
      </c>
      <c r="B13" s="29">
        <v>4</v>
      </c>
      <c r="C13" s="77" t="str">
        <f t="shared" ca="1" si="0"/>
        <v>BTL-011</v>
      </c>
      <c r="D13" s="78">
        <f ca="1">SUMIFS('Raw-Inventory'!D:D,'Raw-Inventory'!A:A,C13,'Raw-Inventory'!B:B,$H$7)+SUMIFS('Raw-Inventory'!D:D,'Raw-Inventory'!A:A,C13,'Raw-Inventory'!B:B,$F$8)</f>
        <v>66</v>
      </c>
      <c r="E13" s="78">
        <f ca="1">SUMIFS(BOM!AE:AE,BOM!D:D,C13)</f>
        <v>499.47199999999992</v>
      </c>
      <c r="F13" s="79">
        <f ca="1">SUMIFS('Raw-Inventory'!E:E,'Raw-Inventory'!A:A,C13,'Raw-Inventory'!B:B,$H$7)</f>
        <v>750</v>
      </c>
      <c r="G13" s="79">
        <f t="shared" ca="1" si="1"/>
        <v>4.0408163265306127</v>
      </c>
      <c r="H13" s="79">
        <f ca="1">SUMIFS(Forecast!F:F,Forecast!A:A,C13,Forecast!B:B,$H$7)</f>
        <v>16.333333333333332</v>
      </c>
      <c r="I13" s="79">
        <f t="shared" ca="1" si="13"/>
        <v>45.91836734693878</v>
      </c>
      <c r="J13" s="80">
        <f ca="1">SUMIFS(OpenPOs!P:P,OpenPOs!E:E,C13,OpenPOs!N:N,$H$7)</f>
        <v>80</v>
      </c>
      <c r="K13" s="81">
        <f t="shared" ca="1" si="2"/>
        <v>0</v>
      </c>
      <c r="L13" s="82">
        <f t="shared" ca="1" si="3"/>
        <v>0</v>
      </c>
      <c r="M13" s="69">
        <f t="shared" si="4"/>
        <v>0</v>
      </c>
      <c r="N13" s="80">
        <f t="shared" ca="1" si="5"/>
        <v>0</v>
      </c>
      <c r="O13" s="80">
        <f t="shared" ca="1" si="6"/>
        <v>0</v>
      </c>
      <c r="P13" s="83">
        <f t="shared" ca="1" si="7"/>
        <v>22</v>
      </c>
      <c r="Q13" s="83">
        <f t="shared" ca="1" si="8"/>
        <v>359.33333333333331</v>
      </c>
      <c r="R13" s="88"/>
      <c r="S13" s="84">
        <f ca="1">SUMIFS('Raw-Inventory'!G:G,'Raw-Inventory'!A:A,$C13,'Raw-Inventory'!B:B,$H$7)</f>
        <v>0.18</v>
      </c>
      <c r="T13" s="84">
        <f t="shared" ca="1" si="9"/>
        <v>2.9399999999999995</v>
      </c>
      <c r="U13" s="74">
        <f t="shared" ca="1" si="10"/>
        <v>196</v>
      </c>
      <c r="V13" s="75">
        <f ca="1">U13*S13</f>
        <v>35.28</v>
      </c>
      <c r="W13" s="75">
        <f t="shared" ca="1" si="11"/>
        <v>11.879999999999999</v>
      </c>
      <c r="X13" s="29">
        <f t="shared" ca="1" si="15"/>
        <v>16</v>
      </c>
      <c r="Y13" s="76">
        <f t="shared" ca="1" si="16"/>
        <v>0</v>
      </c>
      <c r="Z13" s="76">
        <f t="shared" ca="1" si="17"/>
        <v>0</v>
      </c>
      <c r="AA13" s="75">
        <f t="shared" ca="1" si="12"/>
        <v>0</v>
      </c>
    </row>
    <row r="14" spans="1:66" ht="15.75" customHeight="1" x14ac:dyDescent="0.25">
      <c r="A14" s="29" t="s">
        <v>279</v>
      </c>
      <c r="B14" s="29">
        <v>5</v>
      </c>
      <c r="C14" s="77" t="str">
        <f t="shared" ca="1" si="0"/>
        <v>BTL-012</v>
      </c>
      <c r="D14" s="78">
        <f ca="1">SUMIFS('Raw-Inventory'!D:D,'Raw-Inventory'!A:A,C14,'Raw-Inventory'!B:B,$H$7)+SUMIFS('Raw-Inventory'!D:D,'Raw-Inventory'!A:A,C14,'Raw-Inventory'!B:B,$F$8)</f>
        <v>750</v>
      </c>
      <c r="E14" s="78">
        <f ca="1">SUMIFS(BOM!AE:AE,BOM!D:D,C14)</f>
        <v>366.54799999999994</v>
      </c>
      <c r="F14" s="79">
        <f ca="1">SUMIFS('Raw-Inventory'!E:E,'Raw-Inventory'!A:A,C14,'Raw-Inventory'!B:B,$H$7)</f>
        <v>33</v>
      </c>
      <c r="G14" s="79">
        <f t="shared" ca="1" si="1"/>
        <v>2.0656098904461717</v>
      </c>
      <c r="H14" s="79">
        <f ca="1">SUMIFS(Forecast!F:F,Forecast!A:A,C14,Forecast!B:B,$H$7)</f>
        <v>363.0888888888889</v>
      </c>
      <c r="I14" s="79">
        <f t="shared" ca="1" si="13"/>
        <v>9.0886835179631559E-2</v>
      </c>
      <c r="J14" s="80">
        <f ca="1">SUMIFS(OpenPOs!P:P,OpenPOs!E:E,C14,OpenPOs!N:N,$H$7)</f>
        <v>1600</v>
      </c>
      <c r="K14" s="81">
        <f t="shared" ca="1" si="2"/>
        <v>1983.452</v>
      </c>
      <c r="L14" s="82">
        <f t="shared" ca="1" si="3"/>
        <v>5.4627174245669865</v>
      </c>
      <c r="M14" s="69">
        <f t="shared" si="4"/>
        <v>0</v>
      </c>
      <c r="N14" s="80">
        <f t="shared" ca="1" si="5"/>
        <v>1983.452</v>
      </c>
      <c r="O14" s="80">
        <f t="shared" ca="1" si="6"/>
        <v>5.4627174245669865</v>
      </c>
      <c r="P14" s="83">
        <f t="shared" ca="1" si="7"/>
        <v>16.537282575433014</v>
      </c>
      <c r="Q14" s="83">
        <f t="shared" ca="1" si="8"/>
        <v>6004.503555555556</v>
      </c>
      <c r="R14" s="88"/>
      <c r="S14" s="84">
        <f ca="1">SUMIFS('Raw-Inventory'!G:G,'Raw-Inventory'!A:A,$C14,'Raw-Inventory'!B:B,$H$7)</f>
        <v>0.22</v>
      </c>
      <c r="T14" s="84">
        <f t="shared" ca="1" si="9"/>
        <v>79.879555555555555</v>
      </c>
      <c r="U14" s="74">
        <f t="shared" ca="1" si="10"/>
        <v>4357.0666666666666</v>
      </c>
      <c r="V14" s="75">
        <f t="shared" ca="1" si="14"/>
        <v>958.55466666666666</v>
      </c>
      <c r="W14" s="75">
        <f t="shared" ca="1" si="11"/>
        <v>165</v>
      </c>
      <c r="X14" s="29">
        <f t="shared" ca="1" si="15"/>
        <v>363</v>
      </c>
      <c r="Y14" s="76">
        <f t="shared" ca="1" si="16"/>
        <v>0</v>
      </c>
      <c r="Z14" s="76">
        <f t="shared" ca="1" si="17"/>
        <v>0</v>
      </c>
      <c r="AA14" s="75">
        <f t="shared" ca="1" si="12"/>
        <v>436.35944000000001</v>
      </c>
    </row>
    <row r="15" spans="1:66" ht="15.75" customHeight="1" x14ac:dyDescent="0.25">
      <c r="A15" s="29" t="s">
        <v>280</v>
      </c>
      <c r="B15" s="29">
        <v>6</v>
      </c>
      <c r="C15" s="77" t="str">
        <f t="shared" ca="1" si="0"/>
        <v>BTL-016</v>
      </c>
      <c r="D15" s="78">
        <f ca="1">SUMIFS('Raw-Inventory'!D:D,'Raw-Inventory'!A:A,C15,'Raw-Inventory'!B:B,$H$7)+SUMIFS('Raw-Inventory'!D:D,'Raw-Inventory'!A:A,C15,'Raw-Inventory'!B:B,$F$8)</f>
        <v>9603</v>
      </c>
      <c r="E15" s="78">
        <f ca="1">SUMIFS(BOM!AE:AE,BOM!D:D,C15)</f>
        <v>0</v>
      </c>
      <c r="F15" s="79">
        <f ca="1">SUMIFS('Raw-Inventory'!E:E,'Raw-Inventory'!A:A,C15,'Raw-Inventory'!B:B,$H$7)</f>
        <v>500</v>
      </c>
      <c r="G15" s="79">
        <f t="shared" ca="1" si="1"/>
        <v>33.996931791361817</v>
      </c>
      <c r="H15" s="79">
        <f ca="1">SUMIFS(Forecast!F:F,Forecast!A:A,C15,Forecast!B:B,$H$7)</f>
        <v>282.46666666666664</v>
      </c>
      <c r="I15" s="79">
        <f t="shared" ca="1" si="13"/>
        <v>1.7701203681850368</v>
      </c>
      <c r="J15" s="80">
        <f ca="1">SUMIFS(OpenPOs!P:P,OpenPOs!E:E,C15,OpenPOs!N:N,$H$7)</f>
        <v>28</v>
      </c>
      <c r="K15" s="81">
        <f t="shared" ca="1" si="2"/>
        <v>9131</v>
      </c>
      <c r="L15" s="82">
        <f t="shared" ca="1" si="3"/>
        <v>32.325938163795144</v>
      </c>
      <c r="M15" s="69">
        <f t="shared" si="4"/>
        <v>0</v>
      </c>
      <c r="N15" s="80">
        <f t="shared" ca="1" si="5"/>
        <v>9131</v>
      </c>
      <c r="O15" s="80">
        <f t="shared" ca="1" si="6"/>
        <v>32.325938163795144</v>
      </c>
      <c r="P15" s="83">
        <f t="shared" ca="1" si="7"/>
        <v>0</v>
      </c>
      <c r="Q15" s="83">
        <f t="shared" ca="1" si="8"/>
        <v>0</v>
      </c>
      <c r="R15" s="88"/>
      <c r="S15" s="84">
        <f ca="1">SUMIFS('Raw-Inventory'!G:G,'Raw-Inventory'!A:A,$C15,'Raw-Inventory'!B:B,$H$7)</f>
        <v>0.33</v>
      </c>
      <c r="T15" s="84">
        <f t="shared" ca="1" si="9"/>
        <v>93.213999999999999</v>
      </c>
      <c r="U15" s="74">
        <f t="shared" ca="1" si="10"/>
        <v>3389.5999999999995</v>
      </c>
      <c r="V15" s="75">
        <f t="shared" ca="1" si="14"/>
        <v>1118.568</v>
      </c>
      <c r="W15" s="75">
        <f t="shared" ca="1" si="11"/>
        <v>3168.9900000000002</v>
      </c>
      <c r="X15" s="29">
        <f t="shared" ca="1" si="15"/>
        <v>282</v>
      </c>
      <c r="Y15" s="76">
        <f t="shared" ca="1" si="16"/>
        <v>1</v>
      </c>
      <c r="Z15" s="76">
        <f t="shared" ca="1" si="17"/>
        <v>1</v>
      </c>
      <c r="AA15" s="75">
        <f t="shared" ca="1" si="12"/>
        <v>3013.23</v>
      </c>
    </row>
    <row r="16" spans="1:66" ht="15" customHeight="1" x14ac:dyDescent="0.25">
      <c r="A16" s="29" t="s">
        <v>281</v>
      </c>
      <c r="B16" s="29">
        <v>7</v>
      </c>
      <c r="C16" s="77" t="str">
        <f t="shared" ca="1" si="0"/>
        <v>BTL-031</v>
      </c>
      <c r="D16" s="78">
        <f ca="1">SUMIFS('Raw-Inventory'!D:D,'Raw-Inventory'!A:A,C16,'Raw-Inventory'!B:B,$H$7)+SUMIFS('Raw-Inventory'!D:D,'Raw-Inventory'!A:A,C16,'Raw-Inventory'!B:B,$F$8)</f>
        <v>8</v>
      </c>
      <c r="E16" s="78">
        <f ca="1">SUMIFS(BOM!AE:AE,BOM!D:D,C16)</f>
        <v>80.559999999999988</v>
      </c>
      <c r="F16" s="79">
        <f ca="1">SUMIFS('Raw-Inventory'!E:E,'Raw-Inventory'!A:A,C16,'Raw-Inventory'!B:B,$H$7)</f>
        <v>250</v>
      </c>
      <c r="G16" s="79">
        <f t="shared" ca="1" si="1"/>
        <v>0.30431107354184272</v>
      </c>
      <c r="H16" s="79">
        <f ca="1">SUMIFS(Forecast!F:F,Forecast!A:A,C16,Forecast!B:B,$H$7)</f>
        <v>26.288888888888891</v>
      </c>
      <c r="I16" s="79">
        <f t="shared" ca="1" si="13"/>
        <v>9.5097210481825858</v>
      </c>
      <c r="J16" s="80">
        <f ca="1">SUMIFS(OpenPOs!P:P,OpenPOs!E:E,C16,OpenPOs!N:N,$H$7)</f>
        <v>0</v>
      </c>
      <c r="K16" s="81">
        <f t="shared" ca="1" si="2"/>
        <v>0</v>
      </c>
      <c r="L16" s="82">
        <f t="shared" ca="1" si="3"/>
        <v>0</v>
      </c>
      <c r="M16" s="69">
        <f t="shared" si="4"/>
        <v>0</v>
      </c>
      <c r="N16" s="80">
        <f t="shared" ca="1" si="5"/>
        <v>0</v>
      </c>
      <c r="O16" s="80">
        <f t="shared" ca="1" si="6"/>
        <v>0</v>
      </c>
      <c r="P16" s="83">
        <f t="shared" ca="1" si="7"/>
        <v>22</v>
      </c>
      <c r="Q16" s="83">
        <f t="shared" ca="1" si="8"/>
        <v>578.35555555555561</v>
      </c>
      <c r="R16" s="88"/>
      <c r="S16" s="84">
        <f ca="1">SUMIFS('Raw-Inventory'!G:G,'Raw-Inventory'!A:A,$C16,'Raw-Inventory'!B:B,$H$7)</f>
        <v>0.8</v>
      </c>
      <c r="T16" s="84">
        <f t="shared" ca="1" si="9"/>
        <v>21.031111111111116</v>
      </c>
      <c r="U16" s="74">
        <f t="shared" ca="1" si="10"/>
        <v>315.4666666666667</v>
      </c>
      <c r="V16" s="75">
        <f t="shared" ca="1" si="14"/>
        <v>252.37333333333336</v>
      </c>
      <c r="W16" s="75">
        <f t="shared" ca="1" si="11"/>
        <v>6.4</v>
      </c>
      <c r="X16" s="29">
        <f t="shared" ca="1" si="15"/>
        <v>26</v>
      </c>
      <c r="Y16" s="76">
        <f t="shared" ca="1" si="16"/>
        <v>0</v>
      </c>
      <c r="Z16" s="76">
        <f t="shared" ca="1" si="17"/>
        <v>0</v>
      </c>
      <c r="AA16" s="75">
        <f t="shared" ca="1" si="12"/>
        <v>0</v>
      </c>
    </row>
    <row r="17" spans="1:27" x14ac:dyDescent="0.25">
      <c r="A17" s="29" t="s">
        <v>282</v>
      </c>
      <c r="B17" s="29">
        <v>8</v>
      </c>
      <c r="C17" s="77" t="str">
        <f t="shared" ca="1" si="0"/>
        <v>BTL-032</v>
      </c>
      <c r="D17" s="78">
        <f ca="1">SUMIFS('Raw-Inventory'!D:D,'Raw-Inventory'!A:A,C17,'Raw-Inventory'!B:B,$H$7)+SUMIFS('Raw-Inventory'!D:D,'Raw-Inventory'!A:A,C17,'Raw-Inventory'!B:B,$F$8)</f>
        <v>690</v>
      </c>
      <c r="E17" s="78">
        <f ca="1">SUMIFS(BOM!AE:AE,BOM!D:D,C17)</f>
        <v>408.84199999999998</v>
      </c>
      <c r="F17" s="79">
        <f ca="1">SUMIFS('Raw-Inventory'!E:E,'Raw-Inventory'!A:A,C17,'Raw-Inventory'!B:B,$H$7)</f>
        <v>333</v>
      </c>
      <c r="G17" s="79">
        <f t="shared" ca="1" si="1"/>
        <v>18.243243243243246</v>
      </c>
      <c r="H17" s="79">
        <f ca="1">SUMIFS(Forecast!F:F,Forecast!A:A,C17,Forecast!B:B,$H$7)</f>
        <v>37.822222222222216</v>
      </c>
      <c r="I17" s="79">
        <f t="shared" ca="1" si="13"/>
        <v>8.8043478260869588</v>
      </c>
      <c r="J17" s="80">
        <f ca="1">SUMIFS(OpenPOs!P:P,OpenPOs!E:E,C17,OpenPOs!N:N,$H$7)</f>
        <v>2000</v>
      </c>
      <c r="K17" s="81">
        <f t="shared" ca="1" si="2"/>
        <v>2281.1579999999999</v>
      </c>
      <c r="L17" s="82">
        <f t="shared" ca="1" si="3"/>
        <v>60.312638072855471</v>
      </c>
      <c r="M17" s="69">
        <f t="shared" si="4"/>
        <v>0</v>
      </c>
      <c r="N17" s="80">
        <f t="shared" ca="1" si="5"/>
        <v>2281.1579999999999</v>
      </c>
      <c r="O17" s="80">
        <f t="shared" ca="1" si="6"/>
        <v>60.312638072855471</v>
      </c>
      <c r="P17" s="83">
        <f t="shared" ca="1" si="7"/>
        <v>0</v>
      </c>
      <c r="Q17" s="83">
        <f t="shared" ca="1" si="8"/>
        <v>0</v>
      </c>
      <c r="R17" s="88"/>
      <c r="S17" s="84">
        <f ca="1">SUMIFS('Raw-Inventory'!G:G,'Raw-Inventory'!A:A,$C17,'Raw-Inventory'!B:B,$H$7)</f>
        <v>0.7</v>
      </c>
      <c r="T17" s="84">
        <f t="shared" ca="1" si="9"/>
        <v>26.475555555555548</v>
      </c>
      <c r="U17" s="74">
        <f t="shared" ca="1" si="10"/>
        <v>453.86666666666656</v>
      </c>
      <c r="V17" s="75">
        <f t="shared" ca="1" si="14"/>
        <v>317.70666666666659</v>
      </c>
      <c r="W17" s="75">
        <f t="shared" ca="1" si="11"/>
        <v>482.99999999999994</v>
      </c>
      <c r="X17" s="29">
        <f t="shared" ca="1" si="15"/>
        <v>38</v>
      </c>
      <c r="Y17" s="76">
        <f t="shared" ca="1" si="16"/>
        <v>1</v>
      </c>
      <c r="Z17" s="76">
        <f t="shared" ca="1" si="17"/>
        <v>1</v>
      </c>
      <c r="AA17" s="75">
        <f t="shared" ca="1" si="12"/>
        <v>1596.8105999999998</v>
      </c>
    </row>
    <row r="18" spans="1:27" ht="15" customHeight="1" x14ac:dyDescent="0.25">
      <c r="A18" s="29" t="s">
        <v>283</v>
      </c>
      <c r="B18" s="29">
        <v>9</v>
      </c>
      <c r="C18" s="77" t="str">
        <f t="shared" ca="1" si="0"/>
        <v>BTL-033</v>
      </c>
      <c r="D18" s="78">
        <f ca="1">SUMIFS('Raw-Inventory'!D:D,'Raw-Inventory'!A:A,C18,'Raw-Inventory'!B:B,$H$7)+SUMIFS('Raw-Inventory'!D:D,'Raw-Inventory'!A:A,C18,'Raw-Inventory'!B:B,$F$8)</f>
        <v>83</v>
      </c>
      <c r="E18" s="78">
        <f ca="1">SUMIFS(BOM!AE:AE,BOM!D:D,C18)</f>
        <v>62.43399999999999</v>
      </c>
      <c r="F18" s="79">
        <f ca="1">SUMIFS('Raw-Inventory'!E:E,'Raw-Inventory'!A:A,C18,'Raw-Inventory'!B:B,$H$7)</f>
        <v>1</v>
      </c>
      <c r="G18" s="79">
        <f t="shared" ca="1" si="1"/>
        <v>5.2605633802816909</v>
      </c>
      <c r="H18" s="79">
        <f ca="1">SUMIFS(Forecast!F:F,Forecast!A:A,C18,Forecast!B:B,$H$7)</f>
        <v>15.777777777777777</v>
      </c>
      <c r="I18" s="79">
        <f t="shared" ca="1" si="13"/>
        <v>6.3380281690140844E-2</v>
      </c>
      <c r="J18" s="80">
        <f ca="1">SUMIFS(OpenPOs!P:P,OpenPOs!E:E,C18,OpenPOs!N:N,$H$7)</f>
        <v>250</v>
      </c>
      <c r="K18" s="81">
        <f t="shared" ca="1" si="2"/>
        <v>270.56600000000003</v>
      </c>
      <c r="L18" s="82">
        <f t="shared" ca="1" si="3"/>
        <v>17.14854929577465</v>
      </c>
      <c r="M18" s="69">
        <f t="shared" si="4"/>
        <v>0</v>
      </c>
      <c r="N18" s="80">
        <f t="shared" ca="1" si="5"/>
        <v>270.56600000000003</v>
      </c>
      <c r="O18" s="80">
        <f t="shared" ca="1" si="6"/>
        <v>17.14854929577465</v>
      </c>
      <c r="P18" s="83">
        <f t="shared" ca="1" si="7"/>
        <v>4.8514507042253499</v>
      </c>
      <c r="Q18" s="83">
        <f t="shared" ca="1" si="8"/>
        <v>76.545111111111069</v>
      </c>
      <c r="R18" s="89"/>
      <c r="S18" s="84">
        <f ca="1">SUMIFS('Raw-Inventory'!G:G,'Raw-Inventory'!A:A,$C18,'Raw-Inventory'!B:B,$H$7)</f>
        <v>1.1000000000000001</v>
      </c>
      <c r="T18" s="84">
        <f t="shared" ca="1" si="9"/>
        <v>17.355555555555554</v>
      </c>
      <c r="U18" s="74">
        <f t="shared" ca="1" si="10"/>
        <v>189.33333333333331</v>
      </c>
      <c r="V18" s="75">
        <f t="shared" ca="1" si="14"/>
        <v>208.26666666666665</v>
      </c>
      <c r="W18" s="75">
        <f t="shared" ca="1" si="11"/>
        <v>91.300000000000011</v>
      </c>
      <c r="X18" s="29">
        <f t="shared" ca="1" si="15"/>
        <v>16</v>
      </c>
      <c r="Y18" s="76">
        <f t="shared" ca="1" si="16"/>
        <v>0</v>
      </c>
      <c r="Z18" s="76">
        <f t="shared" ca="1" si="17"/>
        <v>0</v>
      </c>
      <c r="AA18" s="75">
        <f t="shared" ca="1" si="12"/>
        <v>297.62260000000003</v>
      </c>
    </row>
    <row r="19" spans="1:27" ht="15" customHeight="1" x14ac:dyDescent="0.25">
      <c r="A19" s="29" t="s">
        <v>274</v>
      </c>
      <c r="B19" s="29">
        <v>10</v>
      </c>
      <c r="C19" s="77" t="str">
        <f t="shared" ca="1" si="0"/>
        <v>BTL-750</v>
      </c>
      <c r="D19" s="78">
        <f ca="1">SUMIFS('Raw-Inventory'!D:D,'Raw-Inventory'!A:A,C19,'Raw-Inventory'!B:B,$H$7)+SUMIFS('Raw-Inventory'!D:D,'Raw-Inventory'!A:A,C19,'Raw-Inventory'!B:B,$F$8)</f>
        <v>360</v>
      </c>
      <c r="E19" s="78">
        <f ca="1">SUMIFS(BOM!AE:AE,BOM!D:D,C19)</f>
        <v>1305.0719999999999</v>
      </c>
      <c r="F19" s="79">
        <f ca="1">SUMIFS('Raw-Inventory'!E:E,'Raw-Inventory'!A:A,C19,'Raw-Inventory'!B:B,$H$7)</f>
        <v>200</v>
      </c>
      <c r="G19" s="79">
        <f t="shared" ca="1" si="1"/>
        <v>17.161016949152543</v>
      </c>
      <c r="H19" s="79">
        <f ca="1">SUMIFS(Forecast!F:F,Forecast!A:A,C19,Forecast!B:B,$H$7)</f>
        <v>20.977777777777778</v>
      </c>
      <c r="I19" s="79">
        <f t="shared" ca="1" si="13"/>
        <v>9.5338983050847457</v>
      </c>
      <c r="J19" s="80">
        <f ca="1">SUMIFS(OpenPOs!P:P,OpenPOs!E:E,C19,OpenPOs!N:N,$H$7)</f>
        <v>480</v>
      </c>
      <c r="K19" s="81">
        <f t="shared" ca="1" si="2"/>
        <v>0</v>
      </c>
      <c r="L19" s="82">
        <f t="shared" ca="1" si="3"/>
        <v>0</v>
      </c>
      <c r="M19" s="69">
        <f t="shared" si="4"/>
        <v>0</v>
      </c>
      <c r="N19" s="80">
        <f t="shared" ca="1" si="5"/>
        <v>0</v>
      </c>
      <c r="O19" s="80">
        <f t="shared" ca="1" si="6"/>
        <v>0</v>
      </c>
      <c r="P19" s="83">
        <f t="shared" ca="1" si="7"/>
        <v>22</v>
      </c>
      <c r="Q19" s="83">
        <f t="shared" ca="1" si="8"/>
        <v>461.51111111111112</v>
      </c>
      <c r="R19" s="88"/>
      <c r="S19" s="84">
        <f ca="1">SUMIFS('Raw-Inventory'!G:G,'Raw-Inventory'!A:A,$C19,'Raw-Inventory'!B:B,$H$7)</f>
        <v>1.25</v>
      </c>
      <c r="T19" s="84">
        <f t="shared" ca="1" si="9"/>
        <v>26.222222222222221</v>
      </c>
      <c r="U19" s="74">
        <f t="shared" ca="1" si="10"/>
        <v>251.73333333333335</v>
      </c>
      <c r="V19" s="75">
        <f ca="1">U19*S19</f>
        <v>314.66666666666669</v>
      </c>
      <c r="W19" s="75">
        <f t="shared" ca="1" si="11"/>
        <v>450</v>
      </c>
      <c r="X19" s="29">
        <f t="shared" ca="1" si="15"/>
        <v>21</v>
      </c>
      <c r="Y19" s="76">
        <f t="shared" ca="1" si="16"/>
        <v>0</v>
      </c>
      <c r="Z19" s="76">
        <f t="shared" ca="1" si="17"/>
        <v>0</v>
      </c>
      <c r="AA19" s="75">
        <f t="shared" ca="1" si="12"/>
        <v>0</v>
      </c>
    </row>
    <row r="20" spans="1:27" ht="15" customHeight="1" x14ac:dyDescent="0.25">
      <c r="A20" s="29" t="s">
        <v>284</v>
      </c>
      <c r="B20" s="29">
        <v>11</v>
      </c>
      <c r="C20" s="77" t="str">
        <f t="shared" ca="1" si="0"/>
        <v>BTL-1LT</v>
      </c>
      <c r="D20" s="78">
        <f ca="1">SUMIFS('Raw-Inventory'!D:D,'Raw-Inventory'!A:A,C20,'Raw-Inventory'!B:B,$H$7)+SUMIFS('Raw-Inventory'!D:D,'Raw-Inventory'!A:A,C20,'Raw-Inventory'!B:B,$F$8)</f>
        <v>500</v>
      </c>
      <c r="E20" s="78">
        <f ca="1">SUMIFS(BOM!AE:AE,BOM!D:D,C20)</f>
        <v>30.209999999999997</v>
      </c>
      <c r="F20" s="79">
        <f ca="1">SUMIFS('Raw-Inventory'!E:E,'Raw-Inventory'!A:A,C20,'Raw-Inventory'!B:B,$H$7)</f>
        <v>550</v>
      </c>
      <c r="G20" s="79">
        <f t="shared" ca="1" si="1"/>
        <v>15.625</v>
      </c>
      <c r="H20" s="79">
        <f ca="1">SUMIFS(Forecast!F:F,Forecast!A:A,C20,Forecast!B:B,$H$7)</f>
        <v>32</v>
      </c>
      <c r="I20" s="79">
        <f t="shared" ca="1" si="13"/>
        <v>17.1875</v>
      </c>
      <c r="J20" s="80">
        <f ca="1">SUMIFS(OpenPOs!P:P,OpenPOs!E:E,C20,OpenPOs!N:N,$H$7)</f>
        <v>0</v>
      </c>
      <c r="K20" s="81">
        <f t="shared" ca="1" si="2"/>
        <v>0</v>
      </c>
      <c r="L20" s="82">
        <f t="shared" ca="1" si="3"/>
        <v>0</v>
      </c>
      <c r="M20" s="69">
        <f t="shared" si="4"/>
        <v>0</v>
      </c>
      <c r="N20" s="80">
        <f t="shared" ca="1" si="5"/>
        <v>0</v>
      </c>
      <c r="O20" s="80">
        <f t="shared" ca="1" si="6"/>
        <v>0</v>
      </c>
      <c r="P20" s="83">
        <f t="shared" ca="1" si="7"/>
        <v>22</v>
      </c>
      <c r="Q20" s="83">
        <f t="shared" ca="1" si="8"/>
        <v>704</v>
      </c>
      <c r="R20" s="88"/>
      <c r="S20" s="84">
        <f ca="1">SUMIFS('Raw-Inventory'!G:G,'Raw-Inventory'!A:A,$C20,'Raw-Inventory'!B:B,$H$7)</f>
        <v>1.5</v>
      </c>
      <c r="T20" s="84">
        <f t="shared" ca="1" si="9"/>
        <v>48</v>
      </c>
      <c r="U20" s="74">
        <f t="shared" ca="1" si="10"/>
        <v>384</v>
      </c>
      <c r="V20" s="75">
        <f t="shared" ca="1" si="14"/>
        <v>576</v>
      </c>
      <c r="W20" s="75">
        <f t="shared" ca="1" si="11"/>
        <v>750</v>
      </c>
      <c r="X20" s="29">
        <f t="shared" ca="1" si="15"/>
        <v>32</v>
      </c>
      <c r="Y20" s="76">
        <f t="shared" ca="1" si="16"/>
        <v>0</v>
      </c>
      <c r="Z20" s="76">
        <f t="shared" ca="1" si="17"/>
        <v>0</v>
      </c>
      <c r="AA20" s="75">
        <f t="shared" ca="1" si="12"/>
        <v>0</v>
      </c>
    </row>
    <row r="21" spans="1:27" x14ac:dyDescent="0.25">
      <c r="Y21" s="29"/>
      <c r="Z21" s="29"/>
    </row>
    <row r="23" spans="1:27" ht="36" x14ac:dyDescent="0.55000000000000004">
      <c r="B23" s="85" t="str">
        <f ca="1">IF(BN4=1,"Your trial period has ended. Please contact KCS at (559) 521-5175. Thank you!","")</f>
        <v/>
      </c>
    </row>
    <row r="25" spans="1:27" x14ac:dyDescent="0.25">
      <c r="U25" s="26" t="s">
        <v>175</v>
      </c>
    </row>
    <row r="1048573" spans="16382:16382" x14ac:dyDescent="0.25">
      <c r="XFB1048573" s="86">
        <v>45412</v>
      </c>
    </row>
  </sheetData>
  <sheetProtection algorithmName="SHA-512" hashValue="ZPnPcJtNDMfR1WaMK9/lF+W/D/nOw1rkO4yin8CXAnSx5qIiYtiu7eLr8UaInRCcgeGTcIwyxN/kt+ikEkBg2A==" saltValue="WSNw/9DBViDn2bmByCSfCg==" spinCount="100000" sheet="1" objects="1" scenarios="1"/>
  <mergeCells count="1">
    <mergeCell ref="C4:G4"/>
  </mergeCells>
  <conditionalFormatting sqref="I10:I20">
    <cfRule type="expression" dxfId="266" priority="54">
      <formula>AND(I10&lt;&gt;"",I10&gt;14,I10&lt;&gt;"-")</formula>
    </cfRule>
  </conditionalFormatting>
  <conditionalFormatting sqref="G10:G20">
    <cfRule type="expression" dxfId="265" priority="30">
      <formula>AND(G10&lt;=5,B10&lt;&gt;"",G10&lt;&gt;"No Forecast")</formula>
    </cfRule>
    <cfRule type="expression" dxfId="264" priority="31">
      <formula>AND(G10&lt;=8,G10&gt;5)</formula>
    </cfRule>
    <cfRule type="expression" dxfId="263" priority="32">
      <formula>AND(G10&lt;=10,G10&gt;8)</formula>
    </cfRule>
  </conditionalFormatting>
  <conditionalFormatting sqref="H7">
    <cfRule type="cellIs" dxfId="262" priority="13" operator="equal">
      <formula>1</formula>
    </cfRule>
  </conditionalFormatting>
  <conditionalFormatting sqref="M10:M20">
    <cfRule type="expression" dxfId="261" priority="12">
      <formula>Y10=1</formula>
    </cfRule>
  </conditionalFormatting>
  <conditionalFormatting sqref="L10:L20">
    <cfRule type="expression" dxfId="260" priority="65">
      <formula>AND(L10&lt;=5,B10&lt;&gt;"",G10&lt;&gt;"No Forecast")</formula>
    </cfRule>
    <cfRule type="expression" dxfId="259" priority="66">
      <formula>AND(L10&lt;=8,L10&gt;5)</formula>
    </cfRule>
    <cfRule type="expression" dxfId="258" priority="67">
      <formula>AND(L10&lt;=10,L10&gt;8)</formula>
    </cfRule>
  </conditionalFormatting>
  <conditionalFormatting sqref="C10:C20">
    <cfRule type="expression" dxfId="257" priority="80">
      <formula>D10&lt;MAX(#REF!,F10)</formula>
    </cfRule>
  </conditionalFormatting>
  <conditionalFormatting sqref="D10:E20">
    <cfRule type="expression" dxfId="256" priority="82">
      <formula>D10&lt;MAX(#REF!,F10)</formula>
    </cfRule>
  </conditionalFormatting>
  <conditionalFormatting sqref="F10:F20">
    <cfRule type="expression" dxfId="255" priority="91">
      <formula>AND(MAX(#REF!,F10)/D10&gt;=0.6,#REF!=0)</formula>
    </cfRule>
  </conditionalFormatting>
  <conditionalFormatting sqref="L10:L20">
    <cfRule type="expression" dxfId="254" priority="3">
      <formula>L10&gt;43</formula>
    </cfRule>
  </conditionalFormatting>
  <conditionalFormatting sqref="M10:M20">
    <cfRule type="expression" dxfId="253" priority="2">
      <formula>Y10=0</formula>
    </cfRule>
  </conditionalFormatting>
  <conditionalFormatting sqref="M10:M20">
    <cfRule type="expression" dxfId="252" priority="1">
      <formula>Z10=1</formula>
    </cfRule>
  </conditionalFormatting>
  <printOptions horizontalCentered="1"/>
  <pageMargins left="0.2" right="0.2" top="0.75" bottom="0.75" header="0.3" footer="0.3"/>
  <pageSetup scale="71" orientation="landscape" r:id="rId1"/>
  <headerFooter>
    <oddHeader>&amp;C&amp;"-,Bold"Bottle Dashboard
&amp;D &amp;T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4229-6F9F-408D-A075-F820C20F4301}">
  <sheetPr codeName="Sheet2">
    <tabColor rgb="FFFFFF00"/>
  </sheetPr>
  <dimension ref="A1:AE12"/>
  <sheetViews>
    <sheetView workbookViewId="0"/>
  </sheetViews>
  <sheetFormatPr defaultRowHeight="15" x14ac:dyDescent="0.25"/>
  <cols>
    <col min="1" max="1" width="16.7109375" style="26" bestFit="1" customWidth="1"/>
    <col min="2" max="2" width="12.5703125" style="26" bestFit="1" customWidth="1"/>
    <col min="3" max="3" width="9.7109375" style="26" bestFit="1" customWidth="1"/>
    <col min="4" max="4" width="16.7109375" style="26" bestFit="1" customWidth="1"/>
    <col min="5" max="5" width="12.5703125" style="26" bestFit="1" customWidth="1"/>
    <col min="6" max="6" width="16.7109375" style="26" bestFit="1" customWidth="1"/>
    <col min="7" max="7" width="14" style="26" bestFit="1" customWidth="1"/>
    <col min="8" max="8" width="20.140625" style="26" bestFit="1" customWidth="1"/>
    <col min="9" max="9" width="14" style="26" bestFit="1" customWidth="1"/>
    <col min="10" max="10" width="12.42578125" style="26" bestFit="1" customWidth="1"/>
    <col min="11" max="11" width="14.5703125" style="26" bestFit="1" customWidth="1"/>
    <col min="12" max="12" width="15.42578125" style="26" bestFit="1" customWidth="1"/>
    <col min="13" max="13" width="14" style="26" bestFit="1" customWidth="1"/>
    <col min="14" max="16" width="9.85546875" style="26" bestFit="1" customWidth="1"/>
    <col min="17" max="17" width="11.7109375" style="26" bestFit="1" customWidth="1"/>
    <col min="18" max="18" width="9.85546875" style="26" bestFit="1" customWidth="1"/>
    <col min="19" max="19" width="5.85546875" style="26" bestFit="1" customWidth="1"/>
    <col min="20" max="20" width="14.42578125" style="26" bestFit="1" customWidth="1"/>
    <col min="21" max="21" width="15.5703125" style="26" bestFit="1" customWidth="1"/>
    <col min="22" max="22" width="11.7109375" style="26" bestFit="1" customWidth="1"/>
    <col min="23" max="23" width="9.85546875" style="26" bestFit="1" customWidth="1"/>
    <col min="24" max="24" width="6" style="26" bestFit="1" customWidth="1"/>
    <col min="25" max="25" width="11.42578125" style="26" bestFit="1" customWidth="1"/>
    <col min="26" max="26" width="22.42578125" style="26" bestFit="1" customWidth="1"/>
    <col min="27" max="27" width="7.5703125" style="26" bestFit="1" customWidth="1"/>
    <col min="28" max="28" width="21.5703125" style="26" bestFit="1" customWidth="1"/>
    <col min="29" max="29" width="16.28515625" style="26" bestFit="1" customWidth="1"/>
    <col min="30" max="30" width="14" style="26" bestFit="1" customWidth="1"/>
    <col min="31" max="31" width="27.140625" style="26" bestFit="1" customWidth="1"/>
    <col min="32" max="16384" width="9.140625" style="26"/>
  </cols>
  <sheetData>
    <row r="1" spans="1:31" x14ac:dyDescent="0.25">
      <c r="A1" s="26" t="s">
        <v>0</v>
      </c>
      <c r="B1" s="26" t="s">
        <v>249</v>
      </c>
      <c r="C1" s="26" t="s">
        <v>1</v>
      </c>
      <c r="D1" s="26" t="s">
        <v>2</v>
      </c>
      <c r="E1" s="26" t="s">
        <v>115</v>
      </c>
      <c r="F1" s="26" t="s">
        <v>3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212</v>
      </c>
      <c r="O1" s="26" t="s">
        <v>250</v>
      </c>
      <c r="P1" s="26" t="s">
        <v>251</v>
      </c>
      <c r="Q1" s="26" t="s">
        <v>11</v>
      </c>
      <c r="R1" s="26" t="s">
        <v>252</v>
      </c>
      <c r="S1" s="26" t="s">
        <v>12</v>
      </c>
      <c r="T1" s="26" t="s">
        <v>13</v>
      </c>
      <c r="U1" s="26" t="s">
        <v>14</v>
      </c>
      <c r="V1" s="26" t="s">
        <v>15</v>
      </c>
      <c r="W1" s="26" t="s">
        <v>253</v>
      </c>
      <c r="X1" s="26" t="s">
        <v>254</v>
      </c>
      <c r="Y1" s="26" t="s">
        <v>19</v>
      </c>
      <c r="Z1" s="26" t="s">
        <v>20</v>
      </c>
      <c r="AA1" s="26" t="s">
        <v>21</v>
      </c>
      <c r="AB1" s="26" t="s">
        <v>23</v>
      </c>
      <c r="AC1" s="26" t="s">
        <v>24</v>
      </c>
      <c r="AD1" s="26" t="s">
        <v>25</v>
      </c>
      <c r="AE1" s="26" t="s">
        <v>182</v>
      </c>
    </row>
    <row r="2" spans="1:31" x14ac:dyDescent="0.25">
      <c r="A2" s="26" t="s">
        <v>287</v>
      </c>
      <c r="C2" s="26">
        <v>20</v>
      </c>
      <c r="D2" s="26" t="s">
        <v>275</v>
      </c>
      <c r="G2" s="26">
        <v>12</v>
      </c>
      <c r="H2" s="26">
        <v>0</v>
      </c>
      <c r="I2" s="26">
        <v>0.7</v>
      </c>
      <c r="J2" s="26" t="s">
        <v>17</v>
      </c>
      <c r="L2" s="94"/>
      <c r="M2" s="94"/>
      <c r="T2" s="26" t="s">
        <v>18</v>
      </c>
      <c r="U2" s="26" t="s">
        <v>18</v>
      </c>
      <c r="V2" s="26">
        <v>0</v>
      </c>
      <c r="X2" s="26">
        <v>1714</v>
      </c>
      <c r="Y2" s="26">
        <f ca="1">SUMIFS(Sales!D:D,Sales!A:A,Table_Query_from_Mac107[[#This Row],[item_no]],Sales!I:I,1)</f>
        <v>501</v>
      </c>
      <c r="Z2" s="26">
        <f ca="1">Table_Query_from_Mac107[[#This Row],[On Order]]*Table_Query_from_Mac107[[#This Row],[qty_per_par]]</f>
        <v>6012</v>
      </c>
      <c r="AA2" s="26" t="str">
        <f>LEFT(Table_Query_from_Mac107[[#This Row],[comp_item_no]],4)</f>
        <v>BTL-</v>
      </c>
      <c r="AB2" s="26">
        <f ca="1">IF(Table_Query_from_Mac107[[#This Row],[Components NeededSales]]&gt;0,1,0)</f>
        <v>1</v>
      </c>
      <c r="AC2" s="26">
        <f>SUMIFS('FG-Inventory'!G:G,'FG-Inventory'!A:A,Table_Query_from_Mac107[[#This Row],[item_no]],'FG-Inventory'!C:C,'Dashboard Control'!$C$2)</f>
        <v>150</v>
      </c>
      <c r="AD2" s="26">
        <f ca="1">IF(Table_Query_from_Mac107[[#This Row],[On Order]]&gt;Table_Query_from_Mac107[[#This Row],[FG Availability]],Table_Query_from_Mac107[[#This Row],[FG Availability]]-Table_Query_from_Mac107[[#This Row],[On Order]],0)</f>
        <v>-351</v>
      </c>
      <c r="AE2" s="26">
        <f ca="1">(SUM(1+Table_Query_from_Mac107[[#This Row],[scrap_factor]]/100)*Table_Query_from_Mac107[[#This Row],[qty_per_par]])*ABS(Table_Query_from_Mac107[[#This Row],[Build Needs]])</f>
        <v>4241.4839999999995</v>
      </c>
    </row>
    <row r="3" spans="1:31" x14ac:dyDescent="0.25">
      <c r="A3" s="26" t="s">
        <v>288</v>
      </c>
      <c r="C3" s="26">
        <v>20</v>
      </c>
      <c r="D3" s="26" t="s">
        <v>276</v>
      </c>
      <c r="G3" s="26">
        <v>4</v>
      </c>
      <c r="H3" s="26">
        <v>0</v>
      </c>
      <c r="I3" s="26">
        <v>0.7</v>
      </c>
      <c r="J3" s="26" t="s">
        <v>17</v>
      </c>
      <c r="L3" s="94"/>
      <c r="M3" s="94"/>
      <c r="T3" s="26" t="s">
        <v>18</v>
      </c>
      <c r="U3" s="26" t="s">
        <v>18</v>
      </c>
      <c r="V3" s="26">
        <v>0</v>
      </c>
      <c r="X3" s="26">
        <v>11555</v>
      </c>
      <c r="Y3" s="26">
        <f ca="1">SUMIFS(Sales!D:D,Sales!A:A,Table_Query_from_Mac107[[#This Row],[item_no]],Sales!I:I,1)</f>
        <v>120</v>
      </c>
      <c r="Z3" s="26">
        <f ca="1">Table_Query_from_Mac107[[#This Row],[On Order]]*Table_Query_from_Mac107[[#This Row],[qty_per_par]]</f>
        <v>480</v>
      </c>
      <c r="AA3" s="26" t="str">
        <f>LEFT(Table_Query_from_Mac107[[#This Row],[comp_item_no]],4)</f>
        <v>BTL-</v>
      </c>
      <c r="AB3" s="26">
        <f ca="1">IF(Table_Query_from_Mac107[[#This Row],[Components NeededSales]]&gt;0,1,0)</f>
        <v>0</v>
      </c>
      <c r="AC3" s="26">
        <f>SUMIFS('FG-Inventory'!G:G,'FG-Inventory'!A:A,Table_Query_from_Mac107[[#This Row],[item_no]],'FG-Inventory'!C:C,'Dashboard Control'!$C$2)</f>
        <v>300</v>
      </c>
      <c r="AD3" s="26">
        <f ca="1">IF(Table_Query_from_Mac107[[#This Row],[On Order]]&gt;Table_Query_from_Mac107[[#This Row],[FG Availability]],Table_Query_from_Mac107[[#This Row],[FG Availability]]-Table_Query_from_Mac107[[#This Row],[On Order]],0)</f>
        <v>0</v>
      </c>
      <c r="AE3" s="26">
        <f ca="1">(SUM(1+Table_Query_from_Mac107[[#This Row],[scrap_factor]]/100)*Table_Query_from_Mac107[[#This Row],[qty_per_par]])*ABS(Table_Query_from_Mac107[[#This Row],[Build Needs]])</f>
        <v>0</v>
      </c>
    </row>
    <row r="4" spans="1:31" x14ac:dyDescent="0.25">
      <c r="A4" s="26" t="s">
        <v>289</v>
      </c>
      <c r="C4" s="26">
        <v>20</v>
      </c>
      <c r="D4" s="26" t="s">
        <v>277</v>
      </c>
      <c r="G4" s="26">
        <v>16</v>
      </c>
      <c r="H4" s="26">
        <v>0</v>
      </c>
      <c r="I4" s="26">
        <v>0.7</v>
      </c>
      <c r="J4" s="26" t="s">
        <v>17</v>
      </c>
      <c r="L4" s="94"/>
      <c r="M4" s="94"/>
      <c r="T4" s="26" t="s">
        <v>18</v>
      </c>
      <c r="U4" s="26" t="s">
        <v>18</v>
      </c>
      <c r="V4" s="26">
        <v>0</v>
      </c>
      <c r="X4" s="26">
        <v>11567</v>
      </c>
      <c r="Y4" s="26">
        <f ca="1">SUMIFS(Sales!D:D,Sales!A:A,Table_Query_from_Mac107[[#This Row],[item_no]],Sales!I:I,1)</f>
        <v>159</v>
      </c>
      <c r="Z4" s="26">
        <f ca="1">Table_Query_from_Mac107[[#This Row],[On Order]]*Table_Query_from_Mac107[[#This Row],[qty_per_par]]</f>
        <v>2544</v>
      </c>
      <c r="AA4" s="26" t="str">
        <f>LEFT(Table_Query_from_Mac107[[#This Row],[comp_item_no]],4)</f>
        <v>BTL-</v>
      </c>
      <c r="AB4" s="26">
        <f ca="1">IF(Table_Query_from_Mac107[[#This Row],[Components NeededSales]]&gt;0,1,0)</f>
        <v>1</v>
      </c>
      <c r="AC4" s="26">
        <f>SUMIFS('FG-Inventory'!G:G,'FG-Inventory'!A:A,Table_Query_from_Mac107[[#This Row],[item_no]],'FG-Inventory'!C:C,'Dashboard Control'!$C$2)</f>
        <v>60</v>
      </c>
      <c r="AD4" s="26">
        <f ca="1">IF(Table_Query_from_Mac107[[#This Row],[On Order]]&gt;Table_Query_from_Mac107[[#This Row],[FG Availability]],Table_Query_from_Mac107[[#This Row],[FG Availability]]-Table_Query_from_Mac107[[#This Row],[On Order]],0)</f>
        <v>-99</v>
      </c>
      <c r="AE4" s="26">
        <f ca="1">(SUM(1+Table_Query_from_Mac107[[#This Row],[scrap_factor]]/100)*Table_Query_from_Mac107[[#This Row],[qty_per_par]])*ABS(Table_Query_from_Mac107[[#This Row],[Build Needs]])</f>
        <v>1595.0879999999997</v>
      </c>
    </row>
    <row r="5" spans="1:31" x14ac:dyDescent="0.25">
      <c r="A5" s="26" t="s">
        <v>290</v>
      </c>
      <c r="C5" s="26">
        <v>20</v>
      </c>
      <c r="D5" s="26" t="s">
        <v>278</v>
      </c>
      <c r="G5" s="26">
        <v>4</v>
      </c>
      <c r="H5" s="26">
        <v>0</v>
      </c>
      <c r="I5" s="26">
        <v>0.7</v>
      </c>
      <c r="J5" s="26" t="s">
        <v>17</v>
      </c>
      <c r="L5" s="94"/>
      <c r="M5" s="94"/>
      <c r="T5" s="26" t="s">
        <v>18</v>
      </c>
      <c r="U5" s="26" t="s">
        <v>18</v>
      </c>
      <c r="V5" s="26">
        <v>0</v>
      </c>
      <c r="X5" s="26">
        <v>11837</v>
      </c>
      <c r="Y5" s="26">
        <f ca="1">SUMIFS(Sales!D:D,Sales!A:A,Table_Query_from_Mac107[[#This Row],[item_no]],Sales!I:I,1)</f>
        <v>141</v>
      </c>
      <c r="Z5" s="26">
        <f ca="1">Table_Query_from_Mac107[[#This Row],[On Order]]*Table_Query_from_Mac107[[#This Row],[qty_per_par]]</f>
        <v>564</v>
      </c>
      <c r="AA5" s="26" t="str">
        <f>LEFT(Table_Query_from_Mac107[[#This Row],[comp_item_no]],4)</f>
        <v>BTL-</v>
      </c>
      <c r="AB5" s="26">
        <f ca="1">IF(Table_Query_from_Mac107[[#This Row],[Components NeededSales]]&gt;0,1,0)</f>
        <v>1</v>
      </c>
      <c r="AC5" s="26">
        <f>SUMIFS('FG-Inventory'!G:G,'FG-Inventory'!A:A,Table_Query_from_Mac107[[#This Row],[item_no]],'FG-Inventory'!C:C,'Dashboard Control'!$C$2)</f>
        <v>17</v>
      </c>
      <c r="AD5" s="26">
        <f ca="1">IF(Table_Query_from_Mac107[[#This Row],[On Order]]&gt;Table_Query_from_Mac107[[#This Row],[FG Availability]],Table_Query_from_Mac107[[#This Row],[FG Availability]]-Table_Query_from_Mac107[[#This Row],[On Order]],0)</f>
        <v>-124</v>
      </c>
      <c r="AE5" s="26">
        <f ca="1">(SUM(1+Table_Query_from_Mac107[[#This Row],[scrap_factor]]/100)*Table_Query_from_Mac107[[#This Row],[qty_per_par]])*ABS(Table_Query_from_Mac107[[#This Row],[Build Needs]])</f>
        <v>499.47199999999992</v>
      </c>
    </row>
    <row r="6" spans="1:31" x14ac:dyDescent="0.25">
      <c r="A6" s="26" t="s">
        <v>291</v>
      </c>
      <c r="C6" s="26">
        <v>20</v>
      </c>
      <c r="D6" s="26" t="s">
        <v>279</v>
      </c>
      <c r="G6" s="26">
        <v>4</v>
      </c>
      <c r="H6" s="26">
        <v>0</v>
      </c>
      <c r="I6" s="26">
        <v>0.7</v>
      </c>
      <c r="J6" s="26" t="s">
        <v>17</v>
      </c>
      <c r="L6" s="94"/>
      <c r="M6" s="94"/>
      <c r="T6" s="26" t="s">
        <v>18</v>
      </c>
      <c r="U6" s="26" t="s">
        <v>18</v>
      </c>
      <c r="V6" s="26">
        <v>0</v>
      </c>
      <c r="X6" s="26">
        <v>11849</v>
      </c>
      <c r="Y6" s="26">
        <f ca="1">SUMIFS(Sales!D:D,Sales!A:A,Table_Query_from_Mac107[[#This Row],[item_no]],Sales!I:I,1)</f>
        <v>99</v>
      </c>
      <c r="Z6" s="26">
        <f ca="1">Table_Query_from_Mac107[[#This Row],[On Order]]*Table_Query_from_Mac107[[#This Row],[qty_per_par]]</f>
        <v>396</v>
      </c>
      <c r="AA6" s="26" t="str">
        <f>LEFT(Table_Query_from_Mac107[[#This Row],[comp_item_no]],4)</f>
        <v>BTL-</v>
      </c>
      <c r="AB6" s="26">
        <f ca="1">IF(Table_Query_from_Mac107[[#This Row],[Components NeededSales]]&gt;0,1,0)</f>
        <v>1</v>
      </c>
      <c r="AC6" s="26">
        <f>SUMIFS('FG-Inventory'!G:G,'FG-Inventory'!A:A,Table_Query_from_Mac107[[#This Row],[item_no]],'FG-Inventory'!C:C,'Dashboard Control'!$C$2)</f>
        <v>8</v>
      </c>
      <c r="AD6" s="26">
        <f ca="1">IF(Table_Query_from_Mac107[[#This Row],[On Order]]&gt;Table_Query_from_Mac107[[#This Row],[FG Availability]],Table_Query_from_Mac107[[#This Row],[FG Availability]]-Table_Query_from_Mac107[[#This Row],[On Order]],0)</f>
        <v>-91</v>
      </c>
      <c r="AE6" s="26">
        <f ca="1">(SUM(1+Table_Query_from_Mac107[[#This Row],[scrap_factor]]/100)*Table_Query_from_Mac107[[#This Row],[qty_per_par]])*ABS(Table_Query_from_Mac107[[#This Row],[Build Needs]])</f>
        <v>366.54799999999994</v>
      </c>
    </row>
    <row r="7" spans="1:31" x14ac:dyDescent="0.25">
      <c r="A7" s="26" t="s">
        <v>292</v>
      </c>
      <c r="C7" s="26">
        <v>20</v>
      </c>
      <c r="D7" s="26" t="s">
        <v>280</v>
      </c>
      <c r="G7" s="26">
        <v>4</v>
      </c>
      <c r="H7" s="26">
        <v>0</v>
      </c>
      <c r="I7" s="26">
        <v>0.7</v>
      </c>
      <c r="J7" s="26" t="s">
        <v>17</v>
      </c>
      <c r="L7" s="94"/>
      <c r="M7" s="94"/>
      <c r="T7" s="26" t="s">
        <v>18</v>
      </c>
      <c r="U7" s="26" t="s">
        <v>18</v>
      </c>
      <c r="V7" s="26">
        <v>0</v>
      </c>
      <c r="X7" s="26">
        <v>11861</v>
      </c>
      <c r="Y7" s="26">
        <f ca="1">SUMIFS(Sales!D:D,Sales!A:A,Table_Query_from_Mac107[[#This Row],[item_no]],Sales!I:I,1)</f>
        <v>90</v>
      </c>
      <c r="Z7" s="26">
        <f ca="1">Table_Query_from_Mac107[[#This Row],[On Order]]*Table_Query_from_Mac107[[#This Row],[qty_per_par]]</f>
        <v>360</v>
      </c>
      <c r="AA7" s="26" t="str">
        <f>LEFT(Table_Query_from_Mac107[[#This Row],[comp_item_no]],4)</f>
        <v>BTL-</v>
      </c>
      <c r="AB7" s="26">
        <f ca="1">IF(Table_Query_from_Mac107[[#This Row],[Components NeededSales]]&gt;0,1,0)</f>
        <v>0</v>
      </c>
      <c r="AC7" s="26">
        <f>SUMIFS('FG-Inventory'!G:G,'FG-Inventory'!A:A,Table_Query_from_Mac107[[#This Row],[item_no]],'FG-Inventory'!C:C,'Dashboard Control'!$C$2)</f>
        <v>220</v>
      </c>
      <c r="AD7" s="26">
        <f ca="1">IF(Table_Query_from_Mac107[[#This Row],[On Order]]&gt;Table_Query_from_Mac107[[#This Row],[FG Availability]],Table_Query_from_Mac107[[#This Row],[FG Availability]]-Table_Query_from_Mac107[[#This Row],[On Order]],0)</f>
        <v>0</v>
      </c>
      <c r="AE7" s="26">
        <f ca="1">(SUM(1+Table_Query_from_Mac107[[#This Row],[scrap_factor]]/100)*Table_Query_from_Mac107[[#This Row],[qty_per_par]])*ABS(Table_Query_from_Mac107[[#This Row],[Build Needs]])</f>
        <v>0</v>
      </c>
    </row>
    <row r="8" spans="1:31" x14ac:dyDescent="0.25">
      <c r="A8" s="26" t="s">
        <v>293</v>
      </c>
      <c r="C8" s="26">
        <v>20</v>
      </c>
      <c r="D8" s="26" t="s">
        <v>281</v>
      </c>
      <c r="G8" s="26">
        <v>1</v>
      </c>
      <c r="H8" s="26">
        <v>0</v>
      </c>
      <c r="I8" s="26">
        <v>0.7</v>
      </c>
      <c r="J8" s="26" t="s">
        <v>17</v>
      </c>
      <c r="L8" s="94"/>
      <c r="M8" s="94"/>
      <c r="T8" s="26" t="s">
        <v>18</v>
      </c>
      <c r="U8" s="26" t="s">
        <v>18</v>
      </c>
      <c r="V8" s="26">
        <v>0</v>
      </c>
      <c r="X8" s="26">
        <v>11873</v>
      </c>
      <c r="Y8" s="26">
        <f ca="1">SUMIFS(Sales!D:D,Sales!A:A,Table_Query_from_Mac107[[#This Row],[item_no]],Sales!I:I,1)</f>
        <v>81</v>
      </c>
      <c r="Z8" s="26">
        <f ca="1">Table_Query_from_Mac107[[#This Row],[On Order]]*Table_Query_from_Mac107[[#This Row],[qty_per_par]]</f>
        <v>81</v>
      </c>
      <c r="AA8" s="26" t="str">
        <f>LEFT(Table_Query_from_Mac107[[#This Row],[comp_item_no]],4)</f>
        <v>BTL-</v>
      </c>
      <c r="AB8" s="26">
        <f ca="1">IF(Table_Query_from_Mac107[[#This Row],[Components NeededSales]]&gt;0,1,0)</f>
        <v>1</v>
      </c>
      <c r="AC8" s="26">
        <f>SUMIFS('FG-Inventory'!G:G,'FG-Inventory'!A:A,Table_Query_from_Mac107[[#This Row],[item_no]],'FG-Inventory'!C:C,'Dashboard Control'!$C$2)</f>
        <v>1</v>
      </c>
      <c r="AD8" s="26">
        <f ca="1">IF(Table_Query_from_Mac107[[#This Row],[On Order]]&gt;Table_Query_from_Mac107[[#This Row],[FG Availability]],Table_Query_from_Mac107[[#This Row],[FG Availability]]-Table_Query_from_Mac107[[#This Row],[On Order]],0)</f>
        <v>-80</v>
      </c>
      <c r="AE8" s="26">
        <f ca="1">(SUM(1+Table_Query_from_Mac107[[#This Row],[scrap_factor]]/100)*Table_Query_from_Mac107[[#This Row],[qty_per_par]])*ABS(Table_Query_from_Mac107[[#This Row],[Build Needs]])</f>
        <v>80.559999999999988</v>
      </c>
    </row>
    <row r="9" spans="1:31" x14ac:dyDescent="0.25">
      <c r="A9" s="26" t="s">
        <v>294</v>
      </c>
      <c r="C9" s="26">
        <v>20</v>
      </c>
      <c r="D9" s="26" t="s">
        <v>282</v>
      </c>
      <c r="G9" s="26">
        <v>2</v>
      </c>
      <c r="H9" s="26">
        <v>0</v>
      </c>
      <c r="I9" s="26">
        <v>0.7</v>
      </c>
      <c r="J9" s="26" t="s">
        <v>17</v>
      </c>
      <c r="L9" s="94"/>
      <c r="M9" s="94"/>
      <c r="T9" s="26" t="s">
        <v>18</v>
      </c>
      <c r="U9" s="26" t="s">
        <v>18</v>
      </c>
      <c r="V9" s="26">
        <v>0</v>
      </c>
      <c r="X9" s="26">
        <v>11885</v>
      </c>
      <c r="Y9" s="26">
        <f ca="1">SUMIFS(Sales!D:D,Sales!A:A,Table_Query_from_Mac107[[#This Row],[item_no]],Sales!I:I,1)</f>
        <v>219</v>
      </c>
      <c r="Z9" s="26">
        <f ca="1">Table_Query_from_Mac107[[#This Row],[On Order]]*Table_Query_from_Mac107[[#This Row],[qty_per_par]]</f>
        <v>438</v>
      </c>
      <c r="AA9" s="26" t="str">
        <f>LEFT(Table_Query_from_Mac107[[#This Row],[comp_item_no]],4)</f>
        <v>BTL-</v>
      </c>
      <c r="AB9" s="26">
        <f ca="1">IF(Table_Query_from_Mac107[[#This Row],[Components NeededSales]]&gt;0,1,0)</f>
        <v>1</v>
      </c>
      <c r="AC9" s="26">
        <f>SUMIFS('FG-Inventory'!G:G,'FG-Inventory'!A:A,Table_Query_from_Mac107[[#This Row],[item_no]],'FG-Inventory'!C:C,'Dashboard Control'!$C$2)</f>
        <v>16</v>
      </c>
      <c r="AD9" s="26">
        <f ca="1">IF(Table_Query_from_Mac107[[#This Row],[On Order]]&gt;Table_Query_from_Mac107[[#This Row],[FG Availability]],Table_Query_from_Mac107[[#This Row],[FG Availability]]-Table_Query_from_Mac107[[#This Row],[On Order]],0)</f>
        <v>-203</v>
      </c>
      <c r="AE9" s="26">
        <f ca="1">(SUM(1+Table_Query_from_Mac107[[#This Row],[scrap_factor]]/100)*Table_Query_from_Mac107[[#This Row],[qty_per_par]])*ABS(Table_Query_from_Mac107[[#This Row],[Build Needs]])</f>
        <v>408.84199999999998</v>
      </c>
    </row>
    <row r="10" spans="1:31" x14ac:dyDescent="0.25">
      <c r="A10" s="26" t="s">
        <v>295</v>
      </c>
      <c r="C10" s="26">
        <v>20</v>
      </c>
      <c r="D10" s="26" t="s">
        <v>283</v>
      </c>
      <c r="G10" s="26">
        <v>1</v>
      </c>
      <c r="H10" s="26">
        <v>0</v>
      </c>
      <c r="I10" s="26">
        <v>0.7</v>
      </c>
      <c r="J10" s="26" t="s">
        <v>17</v>
      </c>
      <c r="L10" s="94"/>
      <c r="M10" s="94"/>
      <c r="T10" s="26" t="s">
        <v>18</v>
      </c>
      <c r="U10" s="26" t="s">
        <v>18</v>
      </c>
      <c r="V10" s="26">
        <v>0</v>
      </c>
      <c r="X10" s="26">
        <v>11897</v>
      </c>
      <c r="Y10" s="26">
        <f ca="1">SUMIFS(Sales!D:D,Sales!A:A,Table_Query_from_Mac107[[#This Row],[item_no]],Sales!I:I,1)</f>
        <v>69</v>
      </c>
      <c r="Z10" s="26">
        <f ca="1">Table_Query_from_Mac107[[#This Row],[On Order]]*Table_Query_from_Mac107[[#This Row],[qty_per_par]]</f>
        <v>69</v>
      </c>
      <c r="AA10" s="26" t="str">
        <f>LEFT(Table_Query_from_Mac107[[#This Row],[comp_item_no]],4)</f>
        <v>BTL-</v>
      </c>
      <c r="AB10" s="26">
        <f ca="1">IF(Table_Query_from_Mac107[[#This Row],[Components NeededSales]]&gt;0,1,0)</f>
        <v>1</v>
      </c>
      <c r="AC10" s="26">
        <f>SUMIFS('FG-Inventory'!G:G,'FG-Inventory'!A:A,Table_Query_from_Mac107[[#This Row],[item_no]],'FG-Inventory'!C:C,'Dashboard Control'!$C$2)</f>
        <v>7</v>
      </c>
      <c r="AD10" s="26">
        <f ca="1">IF(Table_Query_from_Mac107[[#This Row],[On Order]]&gt;Table_Query_from_Mac107[[#This Row],[FG Availability]],Table_Query_from_Mac107[[#This Row],[FG Availability]]-Table_Query_from_Mac107[[#This Row],[On Order]],0)</f>
        <v>-62</v>
      </c>
      <c r="AE10" s="26">
        <f ca="1">(SUM(1+Table_Query_from_Mac107[[#This Row],[scrap_factor]]/100)*Table_Query_from_Mac107[[#This Row],[qty_per_par]])*ABS(Table_Query_from_Mac107[[#This Row],[Build Needs]])</f>
        <v>62.43399999999999</v>
      </c>
    </row>
    <row r="11" spans="1:31" x14ac:dyDescent="0.25">
      <c r="A11" s="26" t="s">
        <v>296</v>
      </c>
      <c r="C11" s="26">
        <v>20</v>
      </c>
      <c r="D11" s="26" t="s">
        <v>274</v>
      </c>
      <c r="G11" s="26">
        <v>16</v>
      </c>
      <c r="H11" s="26">
        <v>0</v>
      </c>
      <c r="I11" s="26">
        <v>0.7</v>
      </c>
      <c r="J11" s="26" t="s">
        <v>17</v>
      </c>
      <c r="L11" s="94"/>
      <c r="M11" s="94"/>
      <c r="T11" s="26" t="s">
        <v>18</v>
      </c>
      <c r="U11" s="26" t="s">
        <v>18</v>
      </c>
      <c r="V11" s="26">
        <v>0</v>
      </c>
      <c r="X11" s="26">
        <v>11909</v>
      </c>
      <c r="Y11" s="26">
        <f ca="1">SUMIFS(Sales!D:D,Sales!A:A,Table_Query_from_Mac107[[#This Row],[item_no]],Sales!I:I,1)</f>
        <v>99</v>
      </c>
      <c r="Z11" s="26">
        <f ca="1">Table_Query_from_Mac107[[#This Row],[On Order]]*Table_Query_from_Mac107[[#This Row],[qty_per_par]]</f>
        <v>1584</v>
      </c>
      <c r="AA11" s="26" t="str">
        <f>LEFT(Table_Query_from_Mac107[[#This Row],[comp_item_no]],4)</f>
        <v>BTL-</v>
      </c>
      <c r="AB11" s="26">
        <f ca="1">IF(Table_Query_from_Mac107[[#This Row],[Components NeededSales]]&gt;0,1,0)</f>
        <v>1</v>
      </c>
      <c r="AC11" s="26">
        <f>SUMIFS('FG-Inventory'!G:G,'FG-Inventory'!A:A,Table_Query_from_Mac107[[#This Row],[item_no]],'FG-Inventory'!C:C,'Dashboard Control'!$C$2)</f>
        <v>18</v>
      </c>
      <c r="AD11" s="26">
        <f ca="1">IF(Table_Query_from_Mac107[[#This Row],[On Order]]&gt;Table_Query_from_Mac107[[#This Row],[FG Availability]],Table_Query_from_Mac107[[#This Row],[FG Availability]]-Table_Query_from_Mac107[[#This Row],[On Order]],0)</f>
        <v>-81</v>
      </c>
      <c r="AE11" s="26">
        <f ca="1">(SUM(1+Table_Query_from_Mac107[[#This Row],[scrap_factor]]/100)*Table_Query_from_Mac107[[#This Row],[qty_per_par]])*ABS(Table_Query_from_Mac107[[#This Row],[Build Needs]])</f>
        <v>1305.0719999999999</v>
      </c>
    </row>
    <row r="12" spans="1:31" x14ac:dyDescent="0.25">
      <c r="A12" s="26" t="s">
        <v>297</v>
      </c>
      <c r="C12" s="26">
        <v>20</v>
      </c>
      <c r="D12" s="26" t="s">
        <v>284</v>
      </c>
      <c r="G12" s="26">
        <v>1</v>
      </c>
      <c r="H12" s="26">
        <v>0</v>
      </c>
      <c r="I12" s="26">
        <v>0.7</v>
      </c>
      <c r="J12" s="26" t="s">
        <v>17</v>
      </c>
      <c r="L12" s="94"/>
      <c r="M12" s="94"/>
      <c r="T12" s="26" t="s">
        <v>18</v>
      </c>
      <c r="U12" s="26" t="s">
        <v>18</v>
      </c>
      <c r="V12" s="26">
        <v>0</v>
      </c>
      <c r="X12" s="26">
        <v>11921</v>
      </c>
      <c r="Y12" s="26">
        <f ca="1">SUMIFS(Sales!D:D,Sales!A:A,Table_Query_from_Mac107[[#This Row],[item_no]],Sales!I:I,1)</f>
        <v>150</v>
      </c>
      <c r="Z12" s="26">
        <f ca="1">Table_Query_from_Mac107[[#This Row],[On Order]]*Table_Query_from_Mac107[[#This Row],[qty_per_par]]</f>
        <v>150</v>
      </c>
      <c r="AA12" s="26" t="str">
        <f>LEFT(Table_Query_from_Mac107[[#This Row],[comp_item_no]],4)</f>
        <v>BTL-</v>
      </c>
      <c r="AB12" s="26">
        <f ca="1">IF(Table_Query_from_Mac107[[#This Row],[Components NeededSales]]&gt;0,1,0)</f>
        <v>1</v>
      </c>
      <c r="AC12" s="26">
        <f>SUMIFS('FG-Inventory'!G:G,'FG-Inventory'!A:A,Table_Query_from_Mac107[[#This Row],[item_no]],'FG-Inventory'!C:C,'Dashboard Control'!$C$2)</f>
        <v>120</v>
      </c>
      <c r="AD12" s="26">
        <f ca="1">IF(Table_Query_from_Mac107[[#This Row],[On Order]]&gt;Table_Query_from_Mac107[[#This Row],[FG Availability]],Table_Query_from_Mac107[[#This Row],[FG Availability]]-Table_Query_from_Mac107[[#This Row],[On Order]],0)</f>
        <v>-30</v>
      </c>
      <c r="AE12" s="26">
        <f ca="1">(SUM(1+Table_Query_from_Mac107[[#This Row],[scrap_factor]]/100)*Table_Query_from_Mac107[[#This Row],[qty_per_par]])*ABS(Table_Query_from_Mac107[[#This Row],[Build Needs]])</f>
        <v>30.209999999999997</v>
      </c>
    </row>
  </sheetData>
  <sheetProtection algorithmName="SHA-512" hashValue="EAadyc3ZH8UbLov06/Ph7t1yb+UVoAmsPi6xos01hRODDUZJ97657Ffef3CrFhrdcq2BVORGl7/XLNo9BZ2scA==" saltValue="9rPeRruSUa6rIGkmhUExjA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ECA2-C4D2-43E9-9094-2590F3680BA2}">
  <sheetPr codeName="Sheet3">
    <tabColor rgb="FFFFFF00"/>
  </sheetPr>
  <dimension ref="A1:M34"/>
  <sheetViews>
    <sheetView workbookViewId="0"/>
  </sheetViews>
  <sheetFormatPr defaultRowHeight="15" x14ac:dyDescent="0.25"/>
  <cols>
    <col min="1" max="1" width="13.28515625" style="26" bestFit="1" customWidth="1"/>
    <col min="2" max="2" width="5.85546875" style="26" bestFit="1" customWidth="1"/>
    <col min="3" max="3" width="9.5703125" style="26" bestFit="1" customWidth="1"/>
    <col min="4" max="4" width="13.7109375" style="26" bestFit="1" customWidth="1"/>
    <col min="5" max="5" width="11.28515625" style="26" bestFit="1" customWidth="1"/>
    <col min="6" max="6" width="8.5703125" style="26" bestFit="1" customWidth="1"/>
    <col min="7" max="7" width="13.85546875" style="26" bestFit="1" customWidth="1"/>
    <col min="8" max="8" width="14.85546875" style="26" bestFit="1" customWidth="1"/>
    <col min="9" max="9" width="12.7109375" style="26" bestFit="1" customWidth="1"/>
    <col min="10" max="10" width="10.85546875" style="29" bestFit="1" customWidth="1"/>
    <col min="11" max="11" width="10.7109375" style="29" bestFit="1" customWidth="1"/>
    <col min="12" max="13" width="9.28515625" style="29" bestFit="1" customWidth="1"/>
    <col min="14" max="16384" width="9.140625" style="26"/>
  </cols>
  <sheetData>
    <row r="1" spans="1:13" x14ac:dyDescent="0.25">
      <c r="A1" s="26" t="s">
        <v>0</v>
      </c>
      <c r="B1" s="26" t="s">
        <v>12</v>
      </c>
      <c r="C1" s="26" t="s">
        <v>120</v>
      </c>
      <c r="D1" s="26" t="s">
        <v>245</v>
      </c>
      <c r="E1" s="26" t="s">
        <v>246</v>
      </c>
      <c r="F1" s="26" t="s">
        <v>26</v>
      </c>
      <c r="G1" s="26" t="s">
        <v>176</v>
      </c>
      <c r="H1" s="26" t="s">
        <v>268</v>
      </c>
      <c r="I1" s="26" t="s">
        <v>311</v>
      </c>
      <c r="J1" s="44">
        <v>51501</v>
      </c>
      <c r="K1" s="44"/>
    </row>
    <row r="2" spans="1:13" x14ac:dyDescent="0.25">
      <c r="A2" s="26" t="s">
        <v>287</v>
      </c>
      <c r="B2" s="26" t="s">
        <v>285</v>
      </c>
      <c r="C2" s="26">
        <v>1001</v>
      </c>
      <c r="D2" s="26">
        <v>167</v>
      </c>
      <c r="E2" s="94"/>
      <c r="F2" s="94"/>
      <c r="G2" s="94">
        <v>45139</v>
      </c>
      <c r="H2" s="94">
        <v>45170</v>
      </c>
      <c r="I2" s="26">
        <f ca="1">IF(Table_Query_from_Mac103[[#This Row],[shipping_dt]]&lt;='Dashboard Control'!$F$14,1,0)</f>
        <v>1</v>
      </c>
      <c r="K2" s="95"/>
      <c r="L2" s="96"/>
      <c r="M2" s="96"/>
    </row>
    <row r="3" spans="1:13" x14ac:dyDescent="0.25">
      <c r="A3" s="26" t="s">
        <v>288</v>
      </c>
      <c r="B3" s="26" t="s">
        <v>285</v>
      </c>
      <c r="C3" s="26">
        <v>1002</v>
      </c>
      <c r="D3" s="26">
        <v>40</v>
      </c>
      <c r="E3" s="94"/>
      <c r="F3" s="94"/>
      <c r="G3" s="94">
        <v>45139</v>
      </c>
      <c r="H3" s="94">
        <v>45170</v>
      </c>
      <c r="I3" s="26">
        <f ca="1">IF(Table_Query_from_Mac103[[#This Row],[shipping_dt]]&lt;='Dashboard Control'!$F$14,1,0)</f>
        <v>1</v>
      </c>
      <c r="K3" s="95"/>
      <c r="L3" s="96"/>
      <c r="M3" s="96"/>
    </row>
    <row r="4" spans="1:13" x14ac:dyDescent="0.25">
      <c r="A4" s="26" t="s">
        <v>289</v>
      </c>
      <c r="B4" s="26" t="s">
        <v>285</v>
      </c>
      <c r="C4" s="26">
        <v>1003</v>
      </c>
      <c r="D4" s="26">
        <v>53</v>
      </c>
      <c r="E4" s="94"/>
      <c r="F4" s="94"/>
      <c r="G4" s="94">
        <v>45139</v>
      </c>
      <c r="H4" s="94">
        <v>45170</v>
      </c>
      <c r="I4" s="26">
        <f ca="1">IF(Table_Query_from_Mac103[[#This Row],[shipping_dt]]&lt;='Dashboard Control'!$F$14,1,0)</f>
        <v>1</v>
      </c>
      <c r="K4" s="95"/>
      <c r="L4" s="96"/>
      <c r="M4" s="96"/>
    </row>
    <row r="5" spans="1:13" x14ac:dyDescent="0.25">
      <c r="A5" s="26" t="s">
        <v>290</v>
      </c>
      <c r="B5" s="26" t="s">
        <v>285</v>
      </c>
      <c r="C5" s="26">
        <v>1004</v>
      </c>
      <c r="D5" s="26">
        <v>47</v>
      </c>
      <c r="E5" s="94"/>
      <c r="F5" s="94"/>
      <c r="G5" s="94">
        <v>45139</v>
      </c>
      <c r="H5" s="94">
        <v>45170</v>
      </c>
      <c r="I5" s="26">
        <f ca="1">IF(Table_Query_from_Mac103[[#This Row],[shipping_dt]]&lt;='Dashboard Control'!$F$14,1,0)</f>
        <v>1</v>
      </c>
      <c r="K5" s="95"/>
      <c r="L5" s="96"/>
      <c r="M5" s="96"/>
    </row>
    <row r="6" spans="1:13" x14ac:dyDescent="0.25">
      <c r="A6" s="26" t="s">
        <v>291</v>
      </c>
      <c r="B6" s="26" t="s">
        <v>285</v>
      </c>
      <c r="C6" s="26">
        <v>1005</v>
      </c>
      <c r="D6" s="26">
        <v>33</v>
      </c>
      <c r="E6" s="94"/>
      <c r="F6" s="94"/>
      <c r="G6" s="94">
        <v>45139</v>
      </c>
      <c r="H6" s="94">
        <v>45170</v>
      </c>
      <c r="I6" s="26">
        <f ca="1">IF(Table_Query_from_Mac103[[#This Row],[shipping_dt]]&lt;='Dashboard Control'!$F$14,1,0)</f>
        <v>1</v>
      </c>
      <c r="K6" s="95"/>
      <c r="L6" s="96"/>
      <c r="M6" s="96"/>
    </row>
    <row r="7" spans="1:13" x14ac:dyDescent="0.25">
      <c r="A7" s="26" t="s">
        <v>292</v>
      </c>
      <c r="B7" s="26" t="s">
        <v>285</v>
      </c>
      <c r="C7" s="26">
        <v>1006</v>
      </c>
      <c r="D7" s="26">
        <v>30</v>
      </c>
      <c r="E7" s="94"/>
      <c r="F7" s="94"/>
      <c r="G7" s="94">
        <v>45139</v>
      </c>
      <c r="H7" s="94">
        <v>45170</v>
      </c>
      <c r="I7" s="26">
        <f ca="1">IF(Table_Query_from_Mac103[[#This Row],[shipping_dt]]&lt;='Dashboard Control'!$F$14,1,0)</f>
        <v>1</v>
      </c>
      <c r="K7" s="95"/>
      <c r="L7" s="96"/>
      <c r="M7" s="96"/>
    </row>
    <row r="8" spans="1:13" x14ac:dyDescent="0.25">
      <c r="A8" s="26" t="s">
        <v>293</v>
      </c>
      <c r="B8" s="26" t="s">
        <v>285</v>
      </c>
      <c r="C8" s="26">
        <v>1007</v>
      </c>
      <c r="D8" s="26">
        <v>27</v>
      </c>
      <c r="E8" s="94"/>
      <c r="F8" s="94"/>
      <c r="G8" s="94">
        <v>45139</v>
      </c>
      <c r="H8" s="94">
        <v>45170</v>
      </c>
      <c r="I8" s="26">
        <f ca="1">IF(Table_Query_from_Mac103[[#This Row],[shipping_dt]]&lt;='Dashboard Control'!$F$14,1,0)</f>
        <v>1</v>
      </c>
      <c r="K8" s="95"/>
      <c r="L8" s="96"/>
      <c r="M8" s="96"/>
    </row>
    <row r="9" spans="1:13" x14ac:dyDescent="0.25">
      <c r="A9" s="26" t="s">
        <v>294</v>
      </c>
      <c r="B9" s="26" t="s">
        <v>285</v>
      </c>
      <c r="C9" s="26">
        <v>1008</v>
      </c>
      <c r="D9" s="26">
        <v>73</v>
      </c>
      <c r="E9" s="94"/>
      <c r="F9" s="94"/>
      <c r="G9" s="94">
        <v>45139</v>
      </c>
      <c r="H9" s="94">
        <v>45170</v>
      </c>
      <c r="I9" s="26">
        <f ca="1">IF(Table_Query_from_Mac103[[#This Row],[shipping_dt]]&lt;='Dashboard Control'!$F$14,1,0)</f>
        <v>1</v>
      </c>
      <c r="K9" s="95"/>
      <c r="L9" s="96"/>
      <c r="M9" s="96"/>
    </row>
    <row r="10" spans="1:13" x14ac:dyDescent="0.25">
      <c r="A10" s="26" t="s">
        <v>295</v>
      </c>
      <c r="B10" s="26" t="s">
        <v>285</v>
      </c>
      <c r="C10" s="26">
        <v>1009</v>
      </c>
      <c r="D10" s="26">
        <v>23</v>
      </c>
      <c r="E10" s="94"/>
      <c r="F10" s="94"/>
      <c r="G10" s="94">
        <v>45139</v>
      </c>
      <c r="H10" s="94">
        <v>45171</v>
      </c>
      <c r="I10" s="26">
        <f ca="1">IF(Table_Query_from_Mac103[[#This Row],[shipping_dt]]&lt;='Dashboard Control'!$F$14,1,0)</f>
        <v>1</v>
      </c>
      <c r="K10" s="95"/>
      <c r="L10" s="96"/>
      <c r="M10" s="96"/>
    </row>
    <row r="11" spans="1:13" x14ac:dyDescent="0.25">
      <c r="A11" s="26" t="s">
        <v>296</v>
      </c>
      <c r="B11" s="26" t="s">
        <v>285</v>
      </c>
      <c r="C11" s="26">
        <v>1010</v>
      </c>
      <c r="D11" s="26">
        <v>33</v>
      </c>
      <c r="E11" s="94"/>
      <c r="F11" s="94"/>
      <c r="G11" s="94">
        <v>45139</v>
      </c>
      <c r="H11" s="94">
        <v>45171</v>
      </c>
      <c r="I11" s="26">
        <f ca="1">IF(Table_Query_from_Mac103[[#This Row],[shipping_dt]]&lt;='Dashboard Control'!$F$14,1,0)</f>
        <v>1</v>
      </c>
      <c r="K11" s="95"/>
      <c r="L11" s="96"/>
      <c r="M11" s="96"/>
    </row>
    <row r="12" spans="1:13" x14ac:dyDescent="0.25">
      <c r="A12" s="26" t="s">
        <v>297</v>
      </c>
      <c r="B12" s="26" t="s">
        <v>285</v>
      </c>
      <c r="C12" s="26">
        <v>1011</v>
      </c>
      <c r="D12" s="26">
        <v>50</v>
      </c>
      <c r="E12" s="94"/>
      <c r="F12" s="94"/>
      <c r="G12" s="94">
        <v>45139</v>
      </c>
      <c r="H12" s="94">
        <v>45171</v>
      </c>
      <c r="I12" s="26">
        <f ca="1">IF(Table_Query_from_Mac103[[#This Row],[shipping_dt]]&lt;='Dashboard Control'!$F$14,1,0)</f>
        <v>1</v>
      </c>
      <c r="K12" s="95"/>
      <c r="L12" s="96"/>
      <c r="M12" s="96"/>
    </row>
    <row r="13" spans="1:13" x14ac:dyDescent="0.25">
      <c r="A13" s="26" t="s">
        <v>287</v>
      </c>
      <c r="B13" s="26" t="s">
        <v>285</v>
      </c>
      <c r="C13" s="26">
        <v>1012</v>
      </c>
      <c r="D13" s="26">
        <v>167</v>
      </c>
      <c r="E13" s="94"/>
      <c r="F13" s="94"/>
      <c r="G13" s="94">
        <v>45139</v>
      </c>
      <c r="H13" s="94">
        <v>45171</v>
      </c>
      <c r="I13" s="26">
        <f ca="1">IF(Table_Query_from_Mac103[[#This Row],[shipping_dt]]&lt;='Dashboard Control'!$F$14,1,0)</f>
        <v>1</v>
      </c>
      <c r="K13" s="95"/>
      <c r="L13" s="96"/>
      <c r="M13" s="96"/>
    </row>
    <row r="14" spans="1:13" x14ac:dyDescent="0.25">
      <c r="A14" s="26" t="s">
        <v>288</v>
      </c>
      <c r="B14" s="26" t="s">
        <v>285</v>
      </c>
      <c r="C14" s="26">
        <v>1013</v>
      </c>
      <c r="D14" s="26">
        <v>40</v>
      </c>
      <c r="E14" s="94"/>
      <c r="F14" s="94"/>
      <c r="G14" s="94">
        <v>45139</v>
      </c>
      <c r="H14" s="94">
        <v>45171</v>
      </c>
      <c r="I14" s="26">
        <f ca="1">IF(Table_Query_from_Mac103[[#This Row],[shipping_dt]]&lt;='Dashboard Control'!$F$14,1,0)</f>
        <v>1</v>
      </c>
      <c r="K14" s="95"/>
      <c r="L14" s="96"/>
      <c r="M14" s="96"/>
    </row>
    <row r="15" spans="1:13" x14ac:dyDescent="0.25">
      <c r="A15" s="26" t="s">
        <v>289</v>
      </c>
      <c r="B15" s="26" t="s">
        <v>285</v>
      </c>
      <c r="C15" s="26">
        <v>1014</v>
      </c>
      <c r="D15" s="26">
        <v>53</v>
      </c>
      <c r="E15" s="94"/>
      <c r="F15" s="94"/>
      <c r="G15" s="94">
        <v>45139</v>
      </c>
      <c r="H15" s="94">
        <v>45171</v>
      </c>
      <c r="I15" s="26">
        <f ca="1">IF(Table_Query_from_Mac103[[#This Row],[shipping_dt]]&lt;='Dashboard Control'!$F$14,1,0)</f>
        <v>1</v>
      </c>
      <c r="K15" s="95"/>
      <c r="L15" s="96"/>
      <c r="M15" s="96"/>
    </row>
    <row r="16" spans="1:13" x14ac:dyDescent="0.25">
      <c r="A16" s="26" t="s">
        <v>290</v>
      </c>
      <c r="B16" s="26" t="s">
        <v>285</v>
      </c>
      <c r="C16" s="26">
        <v>1015</v>
      </c>
      <c r="D16" s="26">
        <v>47</v>
      </c>
      <c r="E16" s="94"/>
      <c r="F16" s="94"/>
      <c r="G16" s="94">
        <v>45139</v>
      </c>
      <c r="H16" s="94">
        <v>45171</v>
      </c>
      <c r="I16" s="26">
        <f ca="1">IF(Table_Query_from_Mac103[[#This Row],[shipping_dt]]&lt;='Dashboard Control'!$F$14,1,0)</f>
        <v>1</v>
      </c>
      <c r="K16" s="95"/>
      <c r="L16" s="96"/>
      <c r="M16" s="96"/>
    </row>
    <row r="17" spans="1:13" x14ac:dyDescent="0.25">
      <c r="A17" s="26" t="s">
        <v>291</v>
      </c>
      <c r="B17" s="26" t="s">
        <v>285</v>
      </c>
      <c r="C17" s="26">
        <v>1016</v>
      </c>
      <c r="D17" s="26">
        <v>33</v>
      </c>
      <c r="E17" s="94"/>
      <c r="F17" s="94"/>
      <c r="G17" s="94">
        <v>45139</v>
      </c>
      <c r="H17" s="94">
        <v>45171</v>
      </c>
      <c r="I17" s="26">
        <f ca="1">IF(Table_Query_from_Mac103[[#This Row],[shipping_dt]]&lt;='Dashboard Control'!$F$14,1,0)</f>
        <v>1</v>
      </c>
      <c r="K17" s="95"/>
      <c r="L17" s="96"/>
      <c r="M17" s="96"/>
    </row>
    <row r="18" spans="1:13" x14ac:dyDescent="0.25">
      <c r="A18" s="26" t="s">
        <v>292</v>
      </c>
      <c r="B18" s="26" t="s">
        <v>285</v>
      </c>
      <c r="C18" s="26">
        <v>1017</v>
      </c>
      <c r="D18" s="26">
        <v>30</v>
      </c>
      <c r="E18" s="94"/>
      <c r="F18" s="94"/>
      <c r="G18" s="94">
        <v>45139</v>
      </c>
      <c r="H18" s="94">
        <v>45172</v>
      </c>
      <c r="I18" s="26">
        <f ca="1">IF(Table_Query_from_Mac103[[#This Row],[shipping_dt]]&lt;='Dashboard Control'!$F$14,1,0)</f>
        <v>1</v>
      </c>
      <c r="K18" s="95"/>
      <c r="L18" s="96"/>
      <c r="M18" s="96"/>
    </row>
    <row r="19" spans="1:13" x14ac:dyDescent="0.25">
      <c r="A19" s="26" t="s">
        <v>293</v>
      </c>
      <c r="B19" s="26" t="s">
        <v>285</v>
      </c>
      <c r="C19" s="26">
        <v>1018</v>
      </c>
      <c r="D19" s="26">
        <v>27</v>
      </c>
      <c r="E19" s="94"/>
      <c r="F19" s="94"/>
      <c r="G19" s="94">
        <v>45139</v>
      </c>
      <c r="H19" s="94">
        <v>45172</v>
      </c>
      <c r="I19" s="26">
        <f ca="1">IF(Table_Query_from_Mac103[[#This Row],[shipping_dt]]&lt;='Dashboard Control'!$F$14,1,0)</f>
        <v>1</v>
      </c>
      <c r="K19" s="95"/>
      <c r="L19" s="96"/>
      <c r="M19" s="96"/>
    </row>
    <row r="20" spans="1:13" x14ac:dyDescent="0.25">
      <c r="A20" s="26" t="s">
        <v>294</v>
      </c>
      <c r="B20" s="26" t="s">
        <v>285</v>
      </c>
      <c r="C20" s="26">
        <v>1019</v>
      </c>
      <c r="D20" s="26">
        <v>73</v>
      </c>
      <c r="E20" s="94"/>
      <c r="F20" s="94"/>
      <c r="G20" s="94">
        <v>45139</v>
      </c>
      <c r="H20" s="94">
        <v>45176</v>
      </c>
      <c r="I20" s="26">
        <f ca="1">IF(Table_Query_from_Mac103[[#This Row],[shipping_dt]]&lt;='Dashboard Control'!$F$14,1,0)</f>
        <v>1</v>
      </c>
      <c r="K20" s="95"/>
      <c r="L20" s="96"/>
      <c r="M20" s="96"/>
    </row>
    <row r="21" spans="1:13" x14ac:dyDescent="0.25">
      <c r="A21" s="26" t="s">
        <v>295</v>
      </c>
      <c r="B21" s="26" t="s">
        <v>285</v>
      </c>
      <c r="C21" s="26">
        <v>1020</v>
      </c>
      <c r="D21" s="26">
        <v>23</v>
      </c>
      <c r="E21" s="94"/>
      <c r="F21" s="94"/>
      <c r="G21" s="94">
        <v>45139</v>
      </c>
      <c r="H21" s="94">
        <v>45176</v>
      </c>
      <c r="I21" s="26">
        <f ca="1">IF(Table_Query_from_Mac103[[#This Row],[shipping_dt]]&lt;='Dashboard Control'!$F$14,1,0)</f>
        <v>1</v>
      </c>
      <c r="K21" s="95"/>
      <c r="L21" s="96"/>
      <c r="M21" s="96"/>
    </row>
    <row r="22" spans="1:13" x14ac:dyDescent="0.25">
      <c r="A22" s="26" t="s">
        <v>296</v>
      </c>
      <c r="B22" s="26" t="s">
        <v>285</v>
      </c>
      <c r="C22" s="26">
        <v>1021</v>
      </c>
      <c r="D22" s="26">
        <v>33</v>
      </c>
      <c r="E22" s="94"/>
      <c r="F22" s="94"/>
      <c r="G22" s="94">
        <v>45139</v>
      </c>
      <c r="H22" s="94">
        <v>45176</v>
      </c>
      <c r="I22" s="26">
        <f ca="1">IF(Table_Query_from_Mac103[[#This Row],[shipping_dt]]&lt;='Dashboard Control'!$F$14,1,0)</f>
        <v>1</v>
      </c>
      <c r="K22" s="95"/>
      <c r="L22" s="96"/>
      <c r="M22" s="96"/>
    </row>
    <row r="23" spans="1:13" x14ac:dyDescent="0.25">
      <c r="A23" s="26" t="s">
        <v>297</v>
      </c>
      <c r="B23" s="26" t="s">
        <v>285</v>
      </c>
      <c r="C23" s="26">
        <v>1022</v>
      </c>
      <c r="D23" s="26">
        <v>50</v>
      </c>
      <c r="E23" s="94"/>
      <c r="F23" s="94"/>
      <c r="G23" s="94">
        <v>45139</v>
      </c>
      <c r="H23" s="94">
        <v>45176</v>
      </c>
      <c r="I23" s="26">
        <f ca="1">IF(Table_Query_from_Mac103[[#This Row],[shipping_dt]]&lt;='Dashboard Control'!$F$14,1,0)</f>
        <v>1</v>
      </c>
      <c r="K23" s="95"/>
      <c r="L23" s="96"/>
      <c r="M23" s="96"/>
    </row>
    <row r="24" spans="1:13" x14ac:dyDescent="0.25">
      <c r="A24" s="26" t="s">
        <v>287</v>
      </c>
      <c r="B24" s="26" t="s">
        <v>285</v>
      </c>
      <c r="C24" s="26">
        <v>1023</v>
      </c>
      <c r="D24" s="26">
        <v>167</v>
      </c>
      <c r="E24" s="94"/>
      <c r="F24" s="94"/>
      <c r="G24" s="94">
        <v>45139</v>
      </c>
      <c r="H24" s="94">
        <v>45176</v>
      </c>
      <c r="I24" s="26">
        <f ca="1">IF(Table_Query_from_Mac103[[#This Row],[shipping_dt]]&lt;='Dashboard Control'!$F$14,1,0)</f>
        <v>1</v>
      </c>
      <c r="K24" s="95"/>
      <c r="L24" s="96"/>
      <c r="M24" s="96"/>
    </row>
    <row r="25" spans="1:13" x14ac:dyDescent="0.25">
      <c r="A25" s="26" t="s">
        <v>288</v>
      </c>
      <c r="B25" s="26" t="s">
        <v>285</v>
      </c>
      <c r="C25" s="26">
        <v>1024</v>
      </c>
      <c r="D25" s="26">
        <v>40</v>
      </c>
      <c r="E25" s="94"/>
      <c r="F25" s="94"/>
      <c r="G25" s="94">
        <v>45139</v>
      </c>
      <c r="H25" s="94">
        <v>45176</v>
      </c>
      <c r="I25" s="26">
        <f ca="1">IF(Table_Query_from_Mac103[[#This Row],[shipping_dt]]&lt;='Dashboard Control'!$F$14,1,0)</f>
        <v>1</v>
      </c>
      <c r="K25" s="95"/>
      <c r="L25" s="96"/>
      <c r="M25" s="96"/>
    </row>
    <row r="26" spans="1:13" x14ac:dyDescent="0.25">
      <c r="A26" s="26" t="s">
        <v>289</v>
      </c>
      <c r="B26" s="26" t="s">
        <v>285</v>
      </c>
      <c r="C26" s="26">
        <v>1025</v>
      </c>
      <c r="D26" s="26">
        <v>53</v>
      </c>
      <c r="E26" s="94"/>
      <c r="F26" s="94"/>
      <c r="G26" s="94">
        <v>45139</v>
      </c>
      <c r="H26" s="94">
        <v>45177</v>
      </c>
      <c r="I26" s="26">
        <f ca="1">IF(Table_Query_from_Mac103[[#This Row],[shipping_dt]]&lt;='Dashboard Control'!$F$14,1,0)</f>
        <v>1</v>
      </c>
      <c r="K26" s="95"/>
      <c r="L26" s="96"/>
      <c r="M26" s="96"/>
    </row>
    <row r="27" spans="1:13" x14ac:dyDescent="0.25">
      <c r="A27" s="26" t="s">
        <v>290</v>
      </c>
      <c r="B27" s="26" t="s">
        <v>285</v>
      </c>
      <c r="C27" s="26">
        <v>1026</v>
      </c>
      <c r="D27" s="26">
        <v>47</v>
      </c>
      <c r="E27" s="94"/>
      <c r="F27" s="94"/>
      <c r="G27" s="94">
        <v>45139</v>
      </c>
      <c r="H27" s="94">
        <v>45177</v>
      </c>
      <c r="I27" s="26">
        <f ca="1">IF(Table_Query_from_Mac103[[#This Row],[shipping_dt]]&lt;='Dashboard Control'!$F$14,1,0)</f>
        <v>1</v>
      </c>
      <c r="K27" s="95"/>
      <c r="L27" s="96"/>
      <c r="M27" s="96"/>
    </row>
    <row r="28" spans="1:13" x14ac:dyDescent="0.25">
      <c r="A28" s="26" t="s">
        <v>291</v>
      </c>
      <c r="B28" s="26" t="s">
        <v>285</v>
      </c>
      <c r="C28" s="26">
        <v>1027</v>
      </c>
      <c r="D28" s="26">
        <v>33</v>
      </c>
      <c r="E28" s="94"/>
      <c r="F28" s="94"/>
      <c r="G28" s="94">
        <v>45139</v>
      </c>
      <c r="H28" s="94">
        <v>45177</v>
      </c>
      <c r="I28" s="26">
        <f ca="1">IF(Table_Query_from_Mac103[[#This Row],[shipping_dt]]&lt;='Dashboard Control'!$F$14,1,0)</f>
        <v>1</v>
      </c>
      <c r="K28" s="95"/>
      <c r="L28" s="96"/>
      <c r="M28" s="96"/>
    </row>
    <row r="29" spans="1:13" x14ac:dyDescent="0.25">
      <c r="A29" s="26" t="s">
        <v>292</v>
      </c>
      <c r="B29" s="26" t="s">
        <v>285</v>
      </c>
      <c r="C29" s="26">
        <v>1028</v>
      </c>
      <c r="D29" s="26">
        <v>30</v>
      </c>
      <c r="E29" s="94"/>
      <c r="F29" s="94"/>
      <c r="G29" s="94">
        <v>45139</v>
      </c>
      <c r="H29" s="94">
        <v>45177</v>
      </c>
      <c r="I29" s="26">
        <f ca="1">IF(Table_Query_from_Mac103[[#This Row],[shipping_dt]]&lt;='Dashboard Control'!$F$14,1,0)</f>
        <v>1</v>
      </c>
      <c r="K29" s="95"/>
      <c r="L29" s="96"/>
      <c r="M29" s="96"/>
    </row>
    <row r="30" spans="1:13" x14ac:dyDescent="0.25">
      <c r="A30" s="26" t="s">
        <v>293</v>
      </c>
      <c r="B30" s="26" t="s">
        <v>285</v>
      </c>
      <c r="C30" s="26">
        <v>1029</v>
      </c>
      <c r="D30" s="26">
        <v>27</v>
      </c>
      <c r="E30" s="94"/>
      <c r="F30" s="94"/>
      <c r="G30" s="94">
        <v>45139</v>
      </c>
      <c r="H30" s="94">
        <v>45214</v>
      </c>
      <c r="I30" s="26">
        <f ca="1">IF(Table_Query_from_Mac103[[#This Row],[shipping_dt]]&lt;='Dashboard Control'!$F$14,1,0)</f>
        <v>1</v>
      </c>
      <c r="K30" s="95"/>
      <c r="L30" s="96"/>
      <c r="M30" s="96"/>
    </row>
    <row r="31" spans="1:13" x14ac:dyDescent="0.25">
      <c r="A31" s="26" t="s">
        <v>294</v>
      </c>
      <c r="B31" s="26" t="s">
        <v>285</v>
      </c>
      <c r="C31" s="26">
        <v>1030</v>
      </c>
      <c r="D31" s="26">
        <v>73</v>
      </c>
      <c r="E31" s="94"/>
      <c r="F31" s="94"/>
      <c r="G31" s="94">
        <v>45139</v>
      </c>
      <c r="H31" s="94">
        <v>45214</v>
      </c>
      <c r="I31" s="26">
        <f ca="1">IF(Table_Query_from_Mac103[[#This Row],[shipping_dt]]&lt;='Dashboard Control'!$F$14,1,0)</f>
        <v>1</v>
      </c>
      <c r="K31" s="95"/>
      <c r="L31" s="96"/>
      <c r="M31" s="96"/>
    </row>
    <row r="32" spans="1:13" x14ac:dyDescent="0.25">
      <c r="A32" s="26" t="s">
        <v>295</v>
      </c>
      <c r="B32" s="26" t="s">
        <v>285</v>
      </c>
      <c r="C32" s="26">
        <v>1031</v>
      </c>
      <c r="D32" s="26">
        <v>23</v>
      </c>
      <c r="E32" s="94"/>
      <c r="F32" s="94"/>
      <c r="G32" s="94">
        <v>45139</v>
      </c>
      <c r="H32" s="94">
        <v>45214</v>
      </c>
      <c r="I32" s="26">
        <f ca="1">IF(Table_Query_from_Mac103[[#This Row],[shipping_dt]]&lt;='Dashboard Control'!$F$14,1,0)</f>
        <v>1</v>
      </c>
      <c r="K32" s="95"/>
      <c r="L32" s="96"/>
      <c r="M32" s="96"/>
    </row>
    <row r="33" spans="1:13" x14ac:dyDescent="0.25">
      <c r="A33" s="26" t="s">
        <v>296</v>
      </c>
      <c r="B33" s="26" t="s">
        <v>285</v>
      </c>
      <c r="C33" s="26">
        <v>1032</v>
      </c>
      <c r="D33" s="26">
        <v>33</v>
      </c>
      <c r="E33" s="94"/>
      <c r="F33" s="94"/>
      <c r="G33" s="94">
        <v>45139</v>
      </c>
      <c r="H33" s="94">
        <v>45214</v>
      </c>
      <c r="I33" s="26">
        <f ca="1">IF(Table_Query_from_Mac103[[#This Row],[shipping_dt]]&lt;='Dashboard Control'!$F$14,1,0)</f>
        <v>1</v>
      </c>
      <c r="K33" s="95"/>
      <c r="L33" s="96"/>
      <c r="M33" s="96"/>
    </row>
    <row r="34" spans="1:13" x14ac:dyDescent="0.25">
      <c r="A34" s="26" t="s">
        <v>297</v>
      </c>
      <c r="B34" s="26" t="s">
        <v>285</v>
      </c>
      <c r="C34" s="26">
        <v>1033</v>
      </c>
      <c r="D34" s="26">
        <v>50</v>
      </c>
      <c r="E34" s="94"/>
      <c r="F34" s="94"/>
      <c r="G34" s="94">
        <v>45139</v>
      </c>
      <c r="H34" s="94">
        <v>45240</v>
      </c>
      <c r="I34" s="26">
        <f ca="1">IF(Table_Query_from_Mac103[[#This Row],[shipping_dt]]&lt;='Dashboard Control'!$F$14,1,0)</f>
        <v>1</v>
      </c>
      <c r="K34" s="95"/>
      <c r="L34" s="96"/>
      <c r="M34" s="96"/>
    </row>
  </sheetData>
  <sheetProtection algorithmName="SHA-512" hashValue="ed8tI5FePpsL9ZEblKccP3ci/dOk3AqcBphDfsVigFQHI7rc+8qOEYWTht8LnK8+Pb9zMK8hqBGQjy2DZl8y2Q==" saltValue="mLhglM/A1FeNhi/VnfcYZQ==" spinCount="100000" sheet="1" objects="1" scenarios="1"/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B58E-D9A4-4EFD-B22B-44BFCB30CA19}">
  <sheetPr codeName="Sheet14">
    <tabColor rgb="FFFFFF00"/>
  </sheetPr>
  <dimension ref="A1:N12"/>
  <sheetViews>
    <sheetView workbookViewId="0"/>
  </sheetViews>
  <sheetFormatPr defaultRowHeight="15" x14ac:dyDescent="0.25"/>
  <cols>
    <col min="1" max="1" width="15.140625" style="26" bestFit="1" customWidth="1"/>
    <col min="2" max="2" width="5.85546875" style="26" bestFit="1" customWidth="1"/>
    <col min="3" max="3" width="8.5703125" style="26" bestFit="1" customWidth="1"/>
    <col min="4" max="4" width="14.85546875" style="26" bestFit="1" customWidth="1"/>
    <col min="5" max="5" width="15.42578125" style="26" bestFit="1" customWidth="1"/>
    <col min="6" max="6" width="13.42578125" style="26" bestFit="1" customWidth="1"/>
    <col min="7" max="7" width="10.5703125" style="26" bestFit="1" customWidth="1"/>
    <col min="8" max="8" width="12.42578125" style="26" bestFit="1" customWidth="1"/>
    <col min="9" max="9" width="13.7109375" style="26" bestFit="1" customWidth="1"/>
    <col min="10" max="10" width="14.7109375" style="26" bestFit="1" customWidth="1"/>
    <col min="11" max="11" width="9.5703125" style="26" bestFit="1" customWidth="1"/>
    <col min="12" max="12" width="10.85546875" style="26" bestFit="1" customWidth="1"/>
    <col min="13" max="13" width="12.28515625" style="26" bestFit="1" customWidth="1"/>
    <col min="14" max="14" width="15.7109375" style="26" bestFit="1" customWidth="1"/>
    <col min="15" max="16384" width="9.140625" style="26"/>
  </cols>
  <sheetData>
    <row r="1" spans="1:14" x14ac:dyDescent="0.25">
      <c r="A1" s="26" t="s">
        <v>0</v>
      </c>
      <c r="B1" s="26" t="s">
        <v>12</v>
      </c>
      <c r="C1" s="26" t="s">
        <v>26</v>
      </c>
      <c r="D1" s="26" t="s">
        <v>29</v>
      </c>
      <c r="E1" s="26" t="s">
        <v>30</v>
      </c>
      <c r="F1" s="26" t="s">
        <v>32</v>
      </c>
      <c r="G1" s="26" t="s">
        <v>36</v>
      </c>
      <c r="H1" s="26" t="s">
        <v>50</v>
      </c>
      <c r="I1" s="26" t="s">
        <v>51</v>
      </c>
      <c r="J1" s="26" t="s">
        <v>52</v>
      </c>
      <c r="K1" s="26" t="s">
        <v>53</v>
      </c>
      <c r="L1" s="26" t="s">
        <v>54</v>
      </c>
      <c r="M1" s="26" t="s">
        <v>55</v>
      </c>
      <c r="N1" s="26" t="s">
        <v>213</v>
      </c>
    </row>
    <row r="2" spans="1:14" x14ac:dyDescent="0.25">
      <c r="A2" s="26" t="s">
        <v>275</v>
      </c>
      <c r="B2" s="26" t="s">
        <v>285</v>
      </c>
      <c r="C2" s="26" t="s">
        <v>17</v>
      </c>
      <c r="D2" s="26">
        <v>1000</v>
      </c>
      <c r="E2" s="26">
        <v>600</v>
      </c>
      <c r="G2" s="26">
        <v>0.33</v>
      </c>
      <c r="N2" s="26">
        <f>Table_Query_from_Mac10[[#This Row],[qty_on_hand]]*Table_Query_from_Mac10[[#This Row],[std_cost]]</f>
        <v>330</v>
      </c>
    </row>
    <row r="3" spans="1:14" x14ac:dyDescent="0.25">
      <c r="A3" s="26" t="s">
        <v>276</v>
      </c>
      <c r="B3" s="26" t="s">
        <v>285</v>
      </c>
      <c r="C3" s="26" t="s">
        <v>17</v>
      </c>
      <c r="D3" s="26">
        <v>2400</v>
      </c>
      <c r="E3" s="26">
        <v>850</v>
      </c>
      <c r="G3" s="26">
        <v>0.5</v>
      </c>
      <c r="N3" s="26">
        <f>Table_Query_from_Mac10[[#This Row],[qty_on_hand]]*Table_Query_from_Mac10[[#This Row],[std_cost]]</f>
        <v>1200</v>
      </c>
    </row>
    <row r="4" spans="1:14" x14ac:dyDescent="0.25">
      <c r="A4" s="26" t="s">
        <v>277</v>
      </c>
      <c r="B4" s="26" t="s">
        <v>285</v>
      </c>
      <c r="C4" s="26" t="s">
        <v>17</v>
      </c>
      <c r="D4" s="26">
        <v>8000</v>
      </c>
      <c r="E4" s="26">
        <v>2500</v>
      </c>
      <c r="G4" s="26">
        <v>0.12</v>
      </c>
      <c r="N4" s="26">
        <f>Table_Query_from_Mac10[[#This Row],[qty_on_hand]]*Table_Query_from_Mac10[[#This Row],[std_cost]]</f>
        <v>960</v>
      </c>
    </row>
    <row r="5" spans="1:14" x14ac:dyDescent="0.25">
      <c r="A5" s="26" t="s">
        <v>278</v>
      </c>
      <c r="B5" s="26" t="s">
        <v>285</v>
      </c>
      <c r="C5" s="26" t="s">
        <v>17</v>
      </c>
      <c r="D5" s="26">
        <v>66</v>
      </c>
      <c r="E5" s="26">
        <v>750</v>
      </c>
      <c r="G5" s="26">
        <v>0.18</v>
      </c>
      <c r="N5" s="26">
        <f>Table_Query_from_Mac10[[#This Row],[qty_on_hand]]*Table_Query_from_Mac10[[#This Row],[std_cost]]</f>
        <v>11.879999999999999</v>
      </c>
    </row>
    <row r="6" spans="1:14" x14ac:dyDescent="0.25">
      <c r="A6" s="26" t="s">
        <v>279</v>
      </c>
      <c r="B6" s="26" t="s">
        <v>285</v>
      </c>
      <c r="C6" s="26" t="s">
        <v>17</v>
      </c>
      <c r="D6" s="26">
        <v>750</v>
      </c>
      <c r="E6" s="26">
        <v>33</v>
      </c>
      <c r="G6" s="26">
        <v>0.22</v>
      </c>
      <c r="N6" s="26">
        <f>Table_Query_from_Mac10[[#This Row],[qty_on_hand]]*Table_Query_from_Mac10[[#This Row],[std_cost]]</f>
        <v>165</v>
      </c>
    </row>
    <row r="7" spans="1:14" x14ac:dyDescent="0.25">
      <c r="A7" s="26" t="s">
        <v>280</v>
      </c>
      <c r="B7" s="26" t="s">
        <v>285</v>
      </c>
      <c r="C7" s="26" t="s">
        <v>17</v>
      </c>
      <c r="D7" s="26">
        <v>9603</v>
      </c>
      <c r="E7" s="26">
        <v>500</v>
      </c>
      <c r="G7" s="26">
        <v>0.33</v>
      </c>
      <c r="N7" s="26">
        <f>Table_Query_from_Mac10[[#This Row],[qty_on_hand]]*Table_Query_from_Mac10[[#This Row],[std_cost]]</f>
        <v>3168.9900000000002</v>
      </c>
    </row>
    <row r="8" spans="1:14" x14ac:dyDescent="0.25">
      <c r="A8" s="26" t="s">
        <v>281</v>
      </c>
      <c r="B8" s="26" t="s">
        <v>285</v>
      </c>
      <c r="C8" s="26" t="s">
        <v>17</v>
      </c>
      <c r="D8" s="26">
        <v>8</v>
      </c>
      <c r="E8" s="26">
        <v>250</v>
      </c>
      <c r="G8" s="26">
        <v>0.8</v>
      </c>
      <c r="N8" s="26">
        <f>Table_Query_from_Mac10[[#This Row],[qty_on_hand]]*Table_Query_from_Mac10[[#This Row],[std_cost]]</f>
        <v>6.4</v>
      </c>
    </row>
    <row r="9" spans="1:14" x14ac:dyDescent="0.25">
      <c r="A9" s="26" t="s">
        <v>282</v>
      </c>
      <c r="B9" s="26" t="s">
        <v>285</v>
      </c>
      <c r="C9" s="26" t="s">
        <v>17</v>
      </c>
      <c r="D9" s="26">
        <v>690</v>
      </c>
      <c r="E9" s="26">
        <v>333</v>
      </c>
      <c r="G9" s="26">
        <v>0.7</v>
      </c>
      <c r="N9" s="26">
        <f>Table_Query_from_Mac10[[#This Row],[qty_on_hand]]*Table_Query_from_Mac10[[#This Row],[std_cost]]</f>
        <v>482.99999999999994</v>
      </c>
    </row>
    <row r="10" spans="1:14" x14ac:dyDescent="0.25">
      <c r="A10" s="26" t="s">
        <v>283</v>
      </c>
      <c r="B10" s="26" t="s">
        <v>285</v>
      </c>
      <c r="C10" s="26" t="s">
        <v>17</v>
      </c>
      <c r="D10" s="26">
        <v>83</v>
      </c>
      <c r="E10" s="26">
        <v>1</v>
      </c>
      <c r="G10" s="26">
        <v>1.1000000000000001</v>
      </c>
      <c r="N10" s="26">
        <f>Table_Query_from_Mac10[[#This Row],[qty_on_hand]]*Table_Query_from_Mac10[[#This Row],[std_cost]]</f>
        <v>91.300000000000011</v>
      </c>
    </row>
    <row r="11" spans="1:14" x14ac:dyDescent="0.25">
      <c r="A11" s="26" t="s">
        <v>274</v>
      </c>
      <c r="B11" s="26" t="s">
        <v>285</v>
      </c>
      <c r="C11" s="26" t="s">
        <v>17</v>
      </c>
      <c r="D11" s="26">
        <v>360</v>
      </c>
      <c r="E11" s="26">
        <v>200</v>
      </c>
      <c r="G11" s="26">
        <v>1.25</v>
      </c>
      <c r="N11" s="26">
        <f>Table_Query_from_Mac10[[#This Row],[qty_on_hand]]*Table_Query_from_Mac10[[#This Row],[std_cost]]</f>
        <v>450</v>
      </c>
    </row>
    <row r="12" spans="1:14" x14ac:dyDescent="0.25">
      <c r="A12" s="26" t="s">
        <v>284</v>
      </c>
      <c r="B12" s="26" t="s">
        <v>285</v>
      </c>
      <c r="C12" s="26" t="s">
        <v>17</v>
      </c>
      <c r="D12" s="26">
        <v>500</v>
      </c>
      <c r="E12" s="26">
        <v>550</v>
      </c>
      <c r="G12" s="26">
        <v>1.5</v>
      </c>
      <c r="N12" s="26">
        <f>Table_Query_from_Mac10[[#This Row],[qty_on_hand]]*Table_Query_from_Mac10[[#This Row],[std_cost]]</f>
        <v>750</v>
      </c>
    </row>
  </sheetData>
  <sheetProtection algorithmName="SHA-512" hashValue="7OHnfU1U0/GmDFpNgQc36ADW0BvNw+KsLtPbkhttpF5bh4FNuHyfYeJ/GiAss7lzJeND5GUnDtJIxTCLJ0Knvw==" saltValue="NtPM6CvszroVRUokZHntgA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8571-32B2-4976-B893-5DC5DDC0CE28}">
  <sheetPr codeName="Sheet15">
    <tabColor rgb="FFFFFF00"/>
  </sheetPr>
  <dimension ref="A1:CR12"/>
  <sheetViews>
    <sheetView workbookViewId="0"/>
  </sheetViews>
  <sheetFormatPr defaultRowHeight="15" x14ac:dyDescent="0.25"/>
  <cols>
    <col min="1" max="1" width="16.7109375" style="26" bestFit="1" customWidth="1"/>
    <col min="2" max="2" width="11.140625" style="26" bestFit="1" customWidth="1"/>
    <col min="3" max="3" width="5.85546875" style="26" bestFit="1" customWidth="1"/>
    <col min="4" max="4" width="8.5703125" style="26" bestFit="1" customWidth="1"/>
    <col min="5" max="5" width="13.5703125" style="26" bestFit="1" customWidth="1"/>
    <col min="6" max="6" width="14" style="26" bestFit="1" customWidth="1"/>
    <col min="7" max="7" width="14.85546875" style="26" bestFit="1" customWidth="1"/>
    <col min="8" max="8" width="15.42578125" style="26" bestFit="1" customWidth="1"/>
    <col min="9" max="9" width="12.28515625" style="26" bestFit="1" customWidth="1"/>
    <col min="10" max="10" width="13.42578125" style="26" bestFit="1" customWidth="1"/>
    <col min="11" max="11" width="13.140625" style="26" bestFit="1" customWidth="1"/>
    <col min="12" max="12" width="15.7109375" style="26" bestFit="1" customWidth="1"/>
    <col min="13" max="13" width="7.7109375" style="26" bestFit="1" customWidth="1"/>
    <col min="14" max="14" width="11" style="26" bestFit="1" customWidth="1"/>
    <col min="15" max="15" width="18.85546875" style="26" bestFit="1" customWidth="1"/>
    <col min="16" max="17" width="16.28515625" style="26" bestFit="1" customWidth="1"/>
    <col min="18" max="18" width="15.7109375" style="26" bestFit="1" customWidth="1"/>
    <col min="19" max="19" width="11" style="26" bestFit="1" customWidth="1"/>
    <col min="20" max="20" width="15" style="26" bestFit="1" customWidth="1"/>
    <col min="21" max="21" width="16.85546875" style="26" bestFit="1" customWidth="1"/>
    <col min="22" max="23" width="15.42578125" style="26" bestFit="1" customWidth="1"/>
    <col min="24" max="24" width="17.5703125" style="26" bestFit="1" customWidth="1"/>
    <col min="25" max="25" width="11" style="26" bestFit="1" customWidth="1"/>
    <col min="26" max="26" width="9.42578125" style="26" bestFit="1" customWidth="1"/>
    <col min="27" max="27" width="13.85546875" style="26" bestFit="1" customWidth="1"/>
    <col min="28" max="28" width="12.7109375" style="26" bestFit="1" customWidth="1"/>
    <col min="29" max="29" width="12.42578125" style="26" bestFit="1" customWidth="1"/>
    <col min="30" max="30" width="13.7109375" style="26" bestFit="1" customWidth="1"/>
    <col min="31" max="31" width="14.7109375" style="26" bestFit="1" customWidth="1"/>
    <col min="32" max="32" width="9.5703125" style="26" bestFit="1" customWidth="1"/>
    <col min="33" max="33" width="10.85546875" style="26" bestFit="1" customWidth="1"/>
    <col min="34" max="34" width="12.28515625" style="26" bestFit="1" customWidth="1"/>
    <col min="35" max="35" width="14.7109375" style="26" bestFit="1" customWidth="1"/>
    <col min="36" max="36" width="14.5703125" style="26" bestFit="1" customWidth="1"/>
    <col min="37" max="37" width="19" style="26" bestFit="1" customWidth="1"/>
    <col min="38" max="38" width="11" style="26" bestFit="1" customWidth="1"/>
    <col min="39" max="39" width="10.7109375" style="26" bestFit="1" customWidth="1"/>
    <col min="40" max="40" width="18.7109375" style="26" bestFit="1" customWidth="1"/>
    <col min="41" max="41" width="17.85546875" style="26" bestFit="1" customWidth="1"/>
    <col min="42" max="42" width="17.7109375" style="26" bestFit="1" customWidth="1"/>
    <col min="43" max="43" width="15.85546875" style="26" bestFit="1" customWidth="1"/>
    <col min="44" max="44" width="13.7109375" style="26" bestFit="1" customWidth="1"/>
    <col min="45" max="45" width="17.42578125" style="26" bestFit="1" customWidth="1"/>
    <col min="46" max="46" width="20" style="26" bestFit="1" customWidth="1"/>
    <col min="47" max="47" width="12.42578125" style="26" bestFit="1" customWidth="1"/>
    <col min="48" max="48" width="13.85546875" style="26" bestFit="1" customWidth="1"/>
    <col min="49" max="49" width="10.7109375" style="26" bestFit="1" customWidth="1"/>
    <col min="50" max="50" width="19.140625" style="26" bestFit="1" customWidth="1"/>
    <col min="51" max="51" width="12.28515625" style="26" bestFit="1" customWidth="1"/>
    <col min="52" max="52" width="15.85546875" style="26" bestFit="1" customWidth="1"/>
    <col min="53" max="53" width="12.140625" style="26" bestFit="1" customWidth="1"/>
    <col min="54" max="54" width="10" style="26" bestFit="1" customWidth="1"/>
    <col min="55" max="55" width="10.28515625" style="26" bestFit="1" customWidth="1"/>
    <col min="56" max="56" width="12.28515625" style="26" bestFit="1" customWidth="1"/>
    <col min="57" max="57" width="16.7109375" style="26" bestFit="1" customWidth="1"/>
    <col min="58" max="58" width="16.28515625" style="26" bestFit="1" customWidth="1"/>
    <col min="59" max="59" width="15.85546875" style="26" bestFit="1" customWidth="1"/>
    <col min="60" max="60" width="12.7109375" style="26" bestFit="1" customWidth="1"/>
    <col min="61" max="61" width="13.85546875" style="26" bestFit="1" customWidth="1"/>
    <col min="62" max="62" width="10.7109375" style="26" bestFit="1" customWidth="1"/>
    <col min="63" max="63" width="13.42578125" style="26" bestFit="1" customWidth="1"/>
    <col min="64" max="64" width="11" style="26" bestFit="1" customWidth="1"/>
    <col min="65" max="65" width="12.140625" style="26" bestFit="1" customWidth="1"/>
    <col min="66" max="66" width="11" style="26" bestFit="1" customWidth="1"/>
    <col min="67" max="67" width="13.7109375" style="26" bestFit="1" customWidth="1"/>
    <col min="68" max="68" width="18.85546875" style="26" bestFit="1" customWidth="1"/>
    <col min="69" max="70" width="19.5703125" style="26" bestFit="1" customWidth="1"/>
    <col min="71" max="71" width="13.7109375" style="26" bestFit="1" customWidth="1"/>
    <col min="72" max="73" width="14.28515625" style="26" bestFit="1" customWidth="1"/>
    <col min="74" max="74" width="15.5703125" style="26" bestFit="1" customWidth="1"/>
    <col min="75" max="78" width="16.7109375" style="26" bestFit="1" customWidth="1"/>
    <col min="79" max="79" width="17.140625" style="26" bestFit="1" customWidth="1"/>
    <col min="80" max="87" width="19.140625" style="26" bestFit="1" customWidth="1"/>
    <col min="88" max="88" width="20.28515625" style="26" bestFit="1" customWidth="1"/>
    <col min="89" max="89" width="13.140625" style="26" bestFit="1" customWidth="1"/>
    <col min="90" max="90" width="9.85546875" style="26" bestFit="1" customWidth="1"/>
    <col min="91" max="91" width="10.5703125" style="26" bestFit="1" customWidth="1"/>
    <col min="92" max="92" width="12.140625" style="26" bestFit="1" customWidth="1"/>
    <col min="93" max="93" width="12.5703125" style="26" bestFit="1" customWidth="1"/>
    <col min="94" max="94" width="9.85546875" style="26" bestFit="1" customWidth="1"/>
    <col min="95" max="95" width="7.5703125" style="26" bestFit="1" customWidth="1"/>
    <col min="96" max="96" width="15.7109375" style="26" bestFit="1" customWidth="1"/>
    <col min="97" max="16384" width="9.140625" style="26"/>
  </cols>
  <sheetData>
    <row r="1" spans="1:96" x14ac:dyDescent="0.25">
      <c r="A1" s="26" t="s">
        <v>0</v>
      </c>
      <c r="B1" s="26" t="s">
        <v>74</v>
      </c>
      <c r="C1" s="26" t="s">
        <v>12</v>
      </c>
      <c r="D1" s="26" t="s">
        <v>26</v>
      </c>
      <c r="E1" s="26" t="s">
        <v>27</v>
      </c>
      <c r="F1" s="26" t="s">
        <v>28</v>
      </c>
      <c r="G1" s="26" t="s">
        <v>29</v>
      </c>
      <c r="H1" s="26" t="s">
        <v>30</v>
      </c>
      <c r="I1" s="26" t="s">
        <v>31</v>
      </c>
      <c r="J1" s="26" t="s">
        <v>32</v>
      </c>
      <c r="K1" s="26" t="s">
        <v>33</v>
      </c>
      <c r="L1" s="26" t="s">
        <v>34</v>
      </c>
      <c r="M1" s="26" t="s">
        <v>35</v>
      </c>
      <c r="N1" s="26" t="s">
        <v>36</v>
      </c>
      <c r="O1" s="26" t="s">
        <v>210</v>
      </c>
      <c r="P1" s="26" t="s">
        <v>37</v>
      </c>
      <c r="Q1" s="26" t="s">
        <v>38</v>
      </c>
      <c r="R1" s="26" t="s">
        <v>39</v>
      </c>
      <c r="S1" s="26" t="s">
        <v>40</v>
      </c>
      <c r="T1" s="26" t="s">
        <v>41</v>
      </c>
      <c r="U1" s="26" t="s">
        <v>42</v>
      </c>
      <c r="V1" s="26" t="s">
        <v>43</v>
      </c>
      <c r="W1" s="26" t="s">
        <v>44</v>
      </c>
      <c r="X1" s="26" t="s">
        <v>45</v>
      </c>
      <c r="Y1" s="26" t="s">
        <v>46</v>
      </c>
      <c r="Z1" s="26" t="s">
        <v>47</v>
      </c>
      <c r="AA1" s="26" t="s">
        <v>48</v>
      </c>
      <c r="AB1" s="26" t="s">
        <v>49</v>
      </c>
      <c r="AC1" s="26" t="s">
        <v>50</v>
      </c>
      <c r="AD1" s="26" t="s">
        <v>51</v>
      </c>
      <c r="AE1" s="26" t="s">
        <v>52</v>
      </c>
      <c r="AF1" s="26" t="s">
        <v>53</v>
      </c>
      <c r="AG1" s="26" t="s">
        <v>54</v>
      </c>
      <c r="AH1" s="26" t="s">
        <v>55</v>
      </c>
      <c r="AI1" s="26" t="s">
        <v>56</v>
      </c>
      <c r="AJ1" s="26" t="s">
        <v>57</v>
      </c>
      <c r="AK1" s="26" t="s">
        <v>58</v>
      </c>
      <c r="AL1" s="26" t="s">
        <v>59</v>
      </c>
      <c r="AM1" s="26" t="s">
        <v>60</v>
      </c>
      <c r="AN1" s="26" t="s">
        <v>61</v>
      </c>
      <c r="AO1" s="26" t="s">
        <v>62</v>
      </c>
      <c r="AP1" s="26" t="s">
        <v>63</v>
      </c>
      <c r="AQ1" s="26" t="s">
        <v>64</v>
      </c>
      <c r="AR1" s="26" t="s">
        <v>65</v>
      </c>
      <c r="AS1" s="26" t="s">
        <v>66</v>
      </c>
      <c r="AT1" s="26" t="s">
        <v>67</v>
      </c>
      <c r="AU1" s="26" t="s">
        <v>68</v>
      </c>
      <c r="AV1" s="26" t="s">
        <v>69</v>
      </c>
      <c r="AW1" s="26" t="s">
        <v>70</v>
      </c>
      <c r="AX1" s="26" t="s">
        <v>71</v>
      </c>
      <c r="AY1" s="26" t="s">
        <v>72</v>
      </c>
      <c r="AZ1" s="26" t="s">
        <v>73</v>
      </c>
      <c r="BA1" s="26" t="s">
        <v>211</v>
      </c>
      <c r="BB1" s="26" t="s">
        <v>75</v>
      </c>
      <c r="BC1" s="26" t="s">
        <v>76</v>
      </c>
      <c r="BD1" s="26" t="s">
        <v>77</v>
      </c>
      <c r="BE1" s="26" t="s">
        <v>78</v>
      </c>
      <c r="BF1" s="26" t="s">
        <v>79</v>
      </c>
      <c r="BG1" s="26" t="s">
        <v>80</v>
      </c>
      <c r="BH1" s="26" t="s">
        <v>81</v>
      </c>
      <c r="BI1" s="26" t="s">
        <v>82</v>
      </c>
      <c r="BJ1" s="26" t="s">
        <v>83</v>
      </c>
      <c r="BK1" s="26" t="s">
        <v>84</v>
      </c>
      <c r="BL1" s="26" t="s">
        <v>85</v>
      </c>
      <c r="BM1" s="26" t="s">
        <v>86</v>
      </c>
      <c r="BN1" s="26" t="s">
        <v>87</v>
      </c>
      <c r="BO1" s="26" t="s">
        <v>88</v>
      </c>
      <c r="BP1" s="26" t="s">
        <v>89</v>
      </c>
      <c r="BQ1" s="26" t="s">
        <v>90</v>
      </c>
      <c r="BR1" s="26" t="s">
        <v>91</v>
      </c>
      <c r="BS1" s="26" t="s">
        <v>92</v>
      </c>
      <c r="BT1" s="26" t="s">
        <v>93</v>
      </c>
      <c r="BU1" s="26" t="s">
        <v>94</v>
      </c>
      <c r="BV1" s="26" t="s">
        <v>95</v>
      </c>
      <c r="BW1" s="26" t="s">
        <v>96</v>
      </c>
      <c r="BX1" s="26" t="s">
        <v>97</v>
      </c>
      <c r="BY1" s="26" t="s">
        <v>98</v>
      </c>
      <c r="BZ1" s="26" t="s">
        <v>100</v>
      </c>
      <c r="CA1" s="26" t="s">
        <v>101</v>
      </c>
      <c r="CB1" s="26" t="s">
        <v>102</v>
      </c>
      <c r="CC1" s="26" t="s">
        <v>103</v>
      </c>
      <c r="CD1" s="26" t="s">
        <v>104</v>
      </c>
      <c r="CE1" s="26" t="s">
        <v>105</v>
      </c>
      <c r="CF1" s="26" t="s">
        <v>106</v>
      </c>
      <c r="CG1" s="26" t="s">
        <v>107</v>
      </c>
      <c r="CH1" s="26" t="s">
        <v>108</v>
      </c>
      <c r="CI1" s="26" t="s">
        <v>109</v>
      </c>
      <c r="CJ1" s="26" t="s">
        <v>110</v>
      </c>
      <c r="CK1" s="26" t="s">
        <v>111</v>
      </c>
      <c r="CL1" s="26" t="s">
        <v>112</v>
      </c>
      <c r="CM1" s="26" t="s">
        <v>113</v>
      </c>
      <c r="CN1" s="26" t="s">
        <v>114</v>
      </c>
      <c r="CO1" s="26" t="s">
        <v>115</v>
      </c>
      <c r="CP1" s="26" t="s">
        <v>212</v>
      </c>
      <c r="CQ1" s="26" t="s">
        <v>21</v>
      </c>
      <c r="CR1" s="26" t="s">
        <v>213</v>
      </c>
    </row>
    <row r="2" spans="1:96" x14ac:dyDescent="0.25">
      <c r="A2" s="26" t="s">
        <v>287</v>
      </c>
      <c r="C2" s="26" t="s">
        <v>285</v>
      </c>
      <c r="D2" s="26" t="s">
        <v>17</v>
      </c>
      <c r="F2" s="26" t="s">
        <v>18</v>
      </c>
      <c r="G2" s="26">
        <v>150</v>
      </c>
      <c r="H2" s="26">
        <v>0</v>
      </c>
      <c r="I2" s="26">
        <v>0</v>
      </c>
      <c r="J2" s="26">
        <v>0</v>
      </c>
      <c r="K2" s="26">
        <v>0</v>
      </c>
      <c r="L2" s="26">
        <v>0</v>
      </c>
      <c r="M2" s="26">
        <v>0</v>
      </c>
      <c r="N2" s="26">
        <v>4.3</v>
      </c>
      <c r="O2" s="26" t="s">
        <v>18</v>
      </c>
      <c r="P2" s="26" t="s">
        <v>18</v>
      </c>
      <c r="Q2" s="94"/>
      <c r="R2" s="94"/>
      <c r="S2" s="26">
        <v>0</v>
      </c>
      <c r="T2" s="26">
        <v>80</v>
      </c>
      <c r="U2" s="26" t="s">
        <v>118</v>
      </c>
      <c r="V2" s="94">
        <v>44284</v>
      </c>
      <c r="W2" s="26">
        <v>0</v>
      </c>
      <c r="X2" s="26">
        <v>999.99</v>
      </c>
      <c r="Y2" s="26">
        <v>11.083634</v>
      </c>
      <c r="Z2" s="26">
        <v>0</v>
      </c>
      <c r="AA2" s="94">
        <v>45107</v>
      </c>
      <c r="AB2" s="94">
        <v>1.3758680555555556</v>
      </c>
      <c r="AC2" s="26">
        <v>0</v>
      </c>
      <c r="AD2" s="26">
        <v>0</v>
      </c>
      <c r="AE2" s="26">
        <v>0</v>
      </c>
      <c r="AF2" s="26">
        <v>0</v>
      </c>
      <c r="AG2" s="26">
        <v>0</v>
      </c>
      <c r="AH2" s="26">
        <v>0</v>
      </c>
      <c r="AI2" s="26">
        <v>0</v>
      </c>
      <c r="AJ2" s="26">
        <v>0</v>
      </c>
      <c r="AK2" s="26">
        <v>0</v>
      </c>
      <c r="AL2" s="26">
        <v>0</v>
      </c>
      <c r="AM2" s="26">
        <v>0</v>
      </c>
      <c r="AN2" s="26">
        <v>0</v>
      </c>
      <c r="AO2" s="26">
        <v>0</v>
      </c>
      <c r="AP2" s="26">
        <v>0</v>
      </c>
      <c r="AQ2" s="26">
        <v>0</v>
      </c>
      <c r="AR2" s="26">
        <v>0</v>
      </c>
      <c r="AS2" s="26">
        <v>0</v>
      </c>
      <c r="AT2" s="26">
        <v>0</v>
      </c>
      <c r="AU2" s="26">
        <v>0</v>
      </c>
      <c r="AV2" s="26">
        <v>0</v>
      </c>
      <c r="AW2" s="26">
        <v>0</v>
      </c>
      <c r="AX2" s="26">
        <v>0</v>
      </c>
      <c r="AZ2" s="26">
        <v>0</v>
      </c>
      <c r="BA2" s="26" t="s">
        <v>17</v>
      </c>
      <c r="BB2" s="26">
        <v>0</v>
      </c>
      <c r="BC2" s="26">
        <v>0</v>
      </c>
      <c r="BD2" s="26">
        <v>0</v>
      </c>
      <c r="BE2" s="26">
        <v>0</v>
      </c>
      <c r="BF2" s="26">
        <v>0</v>
      </c>
      <c r="BG2" s="26">
        <v>0</v>
      </c>
      <c r="BH2" s="26">
        <v>0</v>
      </c>
      <c r="BI2" s="26">
        <v>0</v>
      </c>
      <c r="BK2" s="26">
        <v>0</v>
      </c>
      <c r="BN2" s="26" t="s">
        <v>208</v>
      </c>
      <c r="BS2" s="26">
        <v>0</v>
      </c>
      <c r="BT2" s="26">
        <v>0</v>
      </c>
      <c r="BU2" s="26">
        <v>0</v>
      </c>
      <c r="BV2" s="26">
        <v>0</v>
      </c>
      <c r="BW2" s="26" t="s">
        <v>214</v>
      </c>
      <c r="CK2" s="26">
        <v>0</v>
      </c>
      <c r="CL2" s="26">
        <v>0</v>
      </c>
      <c r="CM2" s="26">
        <v>0</v>
      </c>
      <c r="CN2" s="94"/>
      <c r="CQ2" s="26" t="str">
        <f>LEFT(Table_Query_from_Mac1012[[#This Row],[item_no]],4)</f>
        <v>002O</v>
      </c>
      <c r="CR2" s="26">
        <f>Table_Query_from_Mac1012[[#This Row],[qty_on_hand]]*Table_Query_from_Mac1012[[#This Row],[std_cost]]</f>
        <v>645</v>
      </c>
    </row>
    <row r="3" spans="1:96" x14ac:dyDescent="0.25">
      <c r="A3" s="26" t="s">
        <v>288</v>
      </c>
      <c r="C3" s="26" t="s">
        <v>285</v>
      </c>
      <c r="D3" s="26" t="s">
        <v>17</v>
      </c>
      <c r="F3" s="26" t="s">
        <v>18</v>
      </c>
      <c r="G3" s="26">
        <v>300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7.5</v>
      </c>
      <c r="O3" s="26" t="s">
        <v>18</v>
      </c>
      <c r="P3" s="26" t="s">
        <v>18</v>
      </c>
      <c r="Q3" s="94"/>
      <c r="R3" s="94"/>
      <c r="S3" s="26">
        <v>0</v>
      </c>
      <c r="T3" s="26">
        <v>100</v>
      </c>
      <c r="U3" s="26" t="s">
        <v>118</v>
      </c>
      <c r="V3" s="94">
        <v>44909</v>
      </c>
      <c r="W3" s="26">
        <v>0</v>
      </c>
      <c r="X3" s="26">
        <v>0</v>
      </c>
      <c r="Y3" s="26">
        <v>15.224602000000001</v>
      </c>
      <c r="Z3" s="26">
        <v>0</v>
      </c>
      <c r="AA3" s="94">
        <v>45107</v>
      </c>
      <c r="AB3" s="94">
        <v>1.3758680555555556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Z3" s="26">
        <v>0</v>
      </c>
      <c r="BA3" s="26" t="s">
        <v>17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K3" s="26">
        <v>0</v>
      </c>
      <c r="BN3" s="26" t="s">
        <v>116</v>
      </c>
      <c r="BS3" s="26">
        <v>0</v>
      </c>
      <c r="BT3" s="26">
        <v>0</v>
      </c>
      <c r="BU3" s="26">
        <v>0</v>
      </c>
      <c r="BV3" s="26">
        <v>0</v>
      </c>
      <c r="BW3" s="26" t="s">
        <v>215</v>
      </c>
      <c r="CK3" s="26">
        <v>0</v>
      </c>
      <c r="CL3" s="26">
        <v>0</v>
      </c>
      <c r="CM3" s="26">
        <v>0</v>
      </c>
      <c r="CN3" s="94"/>
      <c r="CQ3" s="26" t="str">
        <f>LEFT(Table_Query_from_Mac1012[[#This Row],[item_no]],4)</f>
        <v>022O</v>
      </c>
      <c r="CR3" s="26">
        <f>Table_Query_from_Mac1012[[#This Row],[qty_on_hand]]*Table_Query_from_Mac1012[[#This Row],[std_cost]]</f>
        <v>2250</v>
      </c>
    </row>
    <row r="4" spans="1:96" x14ac:dyDescent="0.25">
      <c r="A4" s="26" t="s">
        <v>289</v>
      </c>
      <c r="C4" s="26" t="s">
        <v>285</v>
      </c>
      <c r="D4" s="26" t="s">
        <v>17</v>
      </c>
      <c r="F4" s="26" t="s">
        <v>18</v>
      </c>
      <c r="G4" s="26">
        <v>60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6.29</v>
      </c>
      <c r="O4" s="26" t="s">
        <v>18</v>
      </c>
      <c r="P4" s="26" t="s">
        <v>18</v>
      </c>
      <c r="Q4" s="94"/>
      <c r="R4" s="94"/>
      <c r="S4" s="26">
        <v>0</v>
      </c>
      <c r="T4" s="26">
        <v>1</v>
      </c>
      <c r="U4" s="26" t="s">
        <v>118</v>
      </c>
      <c r="V4" s="94">
        <v>44909</v>
      </c>
      <c r="W4" s="26">
        <v>0</v>
      </c>
      <c r="X4" s="26">
        <v>0</v>
      </c>
      <c r="Y4" s="26">
        <v>17.306578999999999</v>
      </c>
      <c r="Z4" s="26">
        <v>0</v>
      </c>
      <c r="AA4" s="94">
        <v>45107</v>
      </c>
      <c r="AB4" s="94">
        <v>1.3758680555555556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Z4" s="26">
        <v>0</v>
      </c>
      <c r="BA4" s="26" t="s">
        <v>17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K4" s="26">
        <v>0</v>
      </c>
      <c r="BN4" s="26" t="s">
        <v>116</v>
      </c>
      <c r="BS4" s="26">
        <v>0</v>
      </c>
      <c r="BT4" s="26">
        <v>0</v>
      </c>
      <c r="BU4" s="26">
        <v>0</v>
      </c>
      <c r="BV4" s="26">
        <v>0</v>
      </c>
      <c r="BW4" s="26" t="s">
        <v>216</v>
      </c>
      <c r="CK4" s="26">
        <v>0</v>
      </c>
      <c r="CL4" s="26">
        <v>0</v>
      </c>
      <c r="CM4" s="26">
        <v>0</v>
      </c>
      <c r="CN4" s="94"/>
      <c r="CQ4" s="26" t="str">
        <f>LEFT(Table_Query_from_Mac1012[[#This Row],[item_no]],4)</f>
        <v>008O</v>
      </c>
      <c r="CR4" s="26">
        <f>Table_Query_from_Mac1012[[#This Row],[qty_on_hand]]*Table_Query_from_Mac1012[[#This Row],[std_cost]]</f>
        <v>377.4</v>
      </c>
    </row>
    <row r="5" spans="1:96" x14ac:dyDescent="0.25">
      <c r="A5" s="26" t="s">
        <v>290</v>
      </c>
      <c r="C5" s="26" t="s">
        <v>285</v>
      </c>
      <c r="D5" s="26" t="s">
        <v>17</v>
      </c>
      <c r="F5" s="26" t="s">
        <v>18</v>
      </c>
      <c r="G5" s="26">
        <v>17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8</v>
      </c>
      <c r="O5" s="26" t="s">
        <v>18</v>
      </c>
      <c r="P5" s="26" t="s">
        <v>18</v>
      </c>
      <c r="Q5" s="94"/>
      <c r="R5" s="94"/>
      <c r="S5" s="26">
        <v>0</v>
      </c>
      <c r="T5" s="26">
        <v>1</v>
      </c>
      <c r="U5" s="26" t="s">
        <v>118</v>
      </c>
      <c r="V5" s="94">
        <v>44909</v>
      </c>
      <c r="W5" s="26">
        <v>0</v>
      </c>
      <c r="X5" s="26">
        <v>0</v>
      </c>
      <c r="Y5" s="26">
        <v>19.118634</v>
      </c>
      <c r="Z5" s="26">
        <v>0</v>
      </c>
      <c r="AA5" s="94">
        <v>45107</v>
      </c>
      <c r="AB5" s="94">
        <v>1.3758680555555556</v>
      </c>
      <c r="AC5" s="26">
        <v>0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  <c r="AX5" s="26">
        <v>0</v>
      </c>
      <c r="AZ5" s="26">
        <v>0</v>
      </c>
      <c r="BA5" s="26" t="s">
        <v>17</v>
      </c>
      <c r="BB5" s="26">
        <v>0</v>
      </c>
      <c r="BC5" s="26">
        <v>0</v>
      </c>
      <c r="BD5" s="26">
        <v>0</v>
      </c>
      <c r="BE5" s="26">
        <v>0</v>
      </c>
      <c r="BF5" s="26">
        <v>0</v>
      </c>
      <c r="BG5" s="26">
        <v>0</v>
      </c>
      <c r="BH5" s="26">
        <v>0</v>
      </c>
      <c r="BI5" s="26">
        <v>0</v>
      </c>
      <c r="BK5" s="26">
        <v>0</v>
      </c>
      <c r="BN5" s="26" t="s">
        <v>116</v>
      </c>
      <c r="BS5" s="26">
        <v>0</v>
      </c>
      <c r="BT5" s="26">
        <v>0</v>
      </c>
      <c r="BU5" s="26">
        <v>0</v>
      </c>
      <c r="BV5" s="26">
        <v>0</v>
      </c>
      <c r="BW5" s="26" t="s">
        <v>215</v>
      </c>
      <c r="CK5" s="26">
        <v>0</v>
      </c>
      <c r="CL5" s="26">
        <v>0</v>
      </c>
      <c r="CM5" s="26">
        <v>0</v>
      </c>
      <c r="CN5" s="94"/>
      <c r="CQ5" s="26" t="str">
        <f>LEFT(Table_Query_from_Mac1012[[#This Row],[item_no]],4)</f>
        <v>011O</v>
      </c>
      <c r="CR5" s="26">
        <f>Table_Query_from_Mac1012[[#This Row],[qty_on_hand]]*Table_Query_from_Mac1012[[#This Row],[std_cost]]</f>
        <v>136</v>
      </c>
    </row>
    <row r="6" spans="1:96" x14ac:dyDescent="0.25">
      <c r="A6" s="26" t="s">
        <v>291</v>
      </c>
      <c r="C6" s="26" t="s">
        <v>285</v>
      </c>
      <c r="D6" s="26" t="s">
        <v>17</v>
      </c>
      <c r="F6" s="26" t="s">
        <v>18</v>
      </c>
      <c r="G6" s="26">
        <v>8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5</v>
      </c>
      <c r="O6" s="26" t="s">
        <v>18</v>
      </c>
      <c r="P6" s="26" t="s">
        <v>18</v>
      </c>
      <c r="Q6" s="94"/>
      <c r="R6" s="94"/>
      <c r="S6" s="26">
        <v>0</v>
      </c>
      <c r="T6" s="26">
        <v>0</v>
      </c>
      <c r="U6" s="26" t="s">
        <v>118</v>
      </c>
      <c r="V6" s="94">
        <v>44909</v>
      </c>
      <c r="W6" s="26">
        <v>0</v>
      </c>
      <c r="X6" s="26">
        <v>0</v>
      </c>
      <c r="Y6" s="26">
        <v>21.405373999999998</v>
      </c>
      <c r="Z6" s="26">
        <v>0</v>
      </c>
      <c r="AA6" s="94">
        <v>45107</v>
      </c>
      <c r="AB6" s="94">
        <v>1.3758680555555556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Z6" s="26">
        <v>0</v>
      </c>
      <c r="BA6" s="26" t="s">
        <v>17</v>
      </c>
      <c r="BB6" s="26">
        <v>0</v>
      </c>
      <c r="BC6" s="26">
        <v>0</v>
      </c>
      <c r="BD6" s="26">
        <v>0</v>
      </c>
      <c r="BE6" s="26">
        <v>0</v>
      </c>
      <c r="BF6" s="26">
        <v>0</v>
      </c>
      <c r="BG6" s="26">
        <v>0</v>
      </c>
      <c r="BH6" s="26">
        <v>0</v>
      </c>
      <c r="BI6" s="26">
        <v>0</v>
      </c>
      <c r="BK6" s="26">
        <v>0</v>
      </c>
      <c r="BN6" s="26" t="s">
        <v>116</v>
      </c>
      <c r="BS6" s="26">
        <v>0</v>
      </c>
      <c r="BT6" s="26">
        <v>0</v>
      </c>
      <c r="BU6" s="26">
        <v>0</v>
      </c>
      <c r="BV6" s="26">
        <v>0</v>
      </c>
      <c r="BW6" s="26" t="s">
        <v>215</v>
      </c>
      <c r="CK6" s="26">
        <v>0</v>
      </c>
      <c r="CL6" s="26">
        <v>0</v>
      </c>
      <c r="CM6" s="26">
        <v>0</v>
      </c>
      <c r="CN6" s="94"/>
      <c r="CQ6" s="26" t="str">
        <f>LEFT(Table_Query_from_Mac1012[[#This Row],[item_no]],4)</f>
        <v>012O</v>
      </c>
      <c r="CR6" s="26">
        <f>Table_Query_from_Mac1012[[#This Row],[qty_on_hand]]*Table_Query_from_Mac1012[[#This Row],[std_cost]]</f>
        <v>40</v>
      </c>
    </row>
    <row r="7" spans="1:96" x14ac:dyDescent="0.25">
      <c r="A7" s="26" t="s">
        <v>292</v>
      </c>
      <c r="C7" s="26" t="s">
        <v>285</v>
      </c>
      <c r="D7" s="26" t="s">
        <v>17</v>
      </c>
      <c r="F7" s="26" t="s">
        <v>18</v>
      </c>
      <c r="G7" s="26">
        <v>220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5.0999999999999996</v>
      </c>
      <c r="O7" s="26" t="s">
        <v>18</v>
      </c>
      <c r="P7" s="26" t="s">
        <v>18</v>
      </c>
      <c r="Q7" s="94"/>
      <c r="R7" s="94"/>
      <c r="S7" s="26">
        <v>0</v>
      </c>
      <c r="T7" s="26">
        <v>0</v>
      </c>
      <c r="U7" s="26" t="s">
        <v>118</v>
      </c>
      <c r="V7" s="94">
        <v>44909</v>
      </c>
      <c r="W7" s="26">
        <v>0</v>
      </c>
      <c r="X7" s="26">
        <v>0</v>
      </c>
      <c r="Y7" s="26">
        <v>23.450809</v>
      </c>
      <c r="Z7" s="26">
        <v>0</v>
      </c>
      <c r="AA7" s="94">
        <v>45107</v>
      </c>
      <c r="AB7" s="94">
        <v>1.3758680555555556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Z7" s="26">
        <v>0</v>
      </c>
      <c r="BA7" s="26" t="s">
        <v>17</v>
      </c>
      <c r="BB7" s="26">
        <v>0</v>
      </c>
      <c r="BC7" s="26">
        <v>0</v>
      </c>
      <c r="BD7" s="26">
        <v>0</v>
      </c>
      <c r="BE7" s="26">
        <v>0</v>
      </c>
      <c r="BF7" s="26">
        <v>0</v>
      </c>
      <c r="BG7" s="26">
        <v>0</v>
      </c>
      <c r="BH7" s="26">
        <v>0</v>
      </c>
      <c r="BI7" s="26">
        <v>0</v>
      </c>
      <c r="BK7" s="26">
        <v>0</v>
      </c>
      <c r="BN7" s="26" t="s">
        <v>116</v>
      </c>
      <c r="BS7" s="26">
        <v>0</v>
      </c>
      <c r="BT7" s="26">
        <v>0</v>
      </c>
      <c r="BU7" s="26">
        <v>0</v>
      </c>
      <c r="BV7" s="26">
        <v>0</v>
      </c>
      <c r="BW7" s="26" t="s">
        <v>219</v>
      </c>
      <c r="CK7" s="26">
        <v>0</v>
      </c>
      <c r="CL7" s="26">
        <v>0</v>
      </c>
      <c r="CM7" s="26">
        <v>0</v>
      </c>
      <c r="CN7" s="94"/>
      <c r="CQ7" s="26" t="str">
        <f>LEFT(Table_Query_from_Mac1012[[#This Row],[item_no]],4)</f>
        <v>016O</v>
      </c>
      <c r="CR7" s="26">
        <f>Table_Query_from_Mac1012[[#This Row],[qty_on_hand]]*Table_Query_from_Mac1012[[#This Row],[std_cost]]</f>
        <v>1122</v>
      </c>
    </row>
    <row r="8" spans="1:96" x14ac:dyDescent="0.25">
      <c r="A8" s="26" t="s">
        <v>293</v>
      </c>
      <c r="C8" s="26" t="s">
        <v>285</v>
      </c>
      <c r="D8" s="26" t="s">
        <v>17</v>
      </c>
      <c r="F8" s="26" t="s">
        <v>18</v>
      </c>
      <c r="G8" s="26">
        <v>1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7.65</v>
      </c>
      <c r="O8" s="26" t="s">
        <v>18</v>
      </c>
      <c r="P8" s="26" t="s">
        <v>18</v>
      </c>
      <c r="Q8" s="94"/>
      <c r="R8" s="94"/>
      <c r="S8" s="26">
        <v>0</v>
      </c>
      <c r="T8" s="26">
        <v>0</v>
      </c>
      <c r="U8" s="26" t="s">
        <v>118</v>
      </c>
      <c r="V8" s="94">
        <v>44909</v>
      </c>
      <c r="W8" s="26">
        <v>0</v>
      </c>
      <c r="X8" s="26">
        <v>0</v>
      </c>
      <c r="Y8" s="26">
        <v>25.923169999999999</v>
      </c>
      <c r="Z8" s="26">
        <v>0</v>
      </c>
      <c r="AA8" s="94">
        <v>45107</v>
      </c>
      <c r="AB8" s="94">
        <v>1.3758680555555556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Z8" s="26">
        <v>0</v>
      </c>
      <c r="BA8" s="26" t="s">
        <v>17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K8" s="26">
        <v>0</v>
      </c>
      <c r="BN8" s="26" t="s">
        <v>117</v>
      </c>
      <c r="BS8" s="26">
        <v>0</v>
      </c>
      <c r="BT8" s="26">
        <v>0</v>
      </c>
      <c r="BU8" s="26">
        <v>0</v>
      </c>
      <c r="BV8" s="26">
        <v>0</v>
      </c>
      <c r="BW8" s="26" t="s">
        <v>218</v>
      </c>
      <c r="CK8" s="26">
        <v>0</v>
      </c>
      <c r="CL8" s="26">
        <v>0</v>
      </c>
      <c r="CM8" s="26">
        <v>0</v>
      </c>
      <c r="CN8" s="94"/>
      <c r="CQ8" s="26" t="str">
        <f>LEFT(Table_Query_from_Mac1012[[#This Row],[item_no]],4)</f>
        <v>031O</v>
      </c>
      <c r="CR8" s="26">
        <f>Table_Query_from_Mac1012[[#This Row],[qty_on_hand]]*Table_Query_from_Mac1012[[#This Row],[std_cost]]</f>
        <v>7.65</v>
      </c>
    </row>
    <row r="9" spans="1:96" x14ac:dyDescent="0.25">
      <c r="A9" s="26" t="s">
        <v>294</v>
      </c>
      <c r="C9" s="26" t="s">
        <v>285</v>
      </c>
      <c r="D9" s="26" t="s">
        <v>17</v>
      </c>
      <c r="F9" s="26" t="s">
        <v>18</v>
      </c>
      <c r="G9" s="26">
        <v>16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8</v>
      </c>
      <c r="O9" s="26" t="s">
        <v>18</v>
      </c>
      <c r="P9" s="26" t="s">
        <v>18</v>
      </c>
      <c r="Q9" s="94"/>
      <c r="R9" s="94"/>
      <c r="S9" s="26">
        <v>0</v>
      </c>
      <c r="T9" s="26">
        <v>0</v>
      </c>
      <c r="U9" s="26" t="s">
        <v>118</v>
      </c>
      <c r="V9" s="94">
        <v>44909</v>
      </c>
      <c r="W9" s="26">
        <v>0</v>
      </c>
      <c r="X9" s="26">
        <v>0</v>
      </c>
      <c r="Y9" s="26">
        <v>28.43103</v>
      </c>
      <c r="Z9" s="26">
        <v>0</v>
      </c>
      <c r="AA9" s="94">
        <v>45107</v>
      </c>
      <c r="AB9" s="94">
        <v>1.3758680555555556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Z9" s="26">
        <v>0</v>
      </c>
      <c r="BA9" s="26" t="s">
        <v>17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K9" s="26">
        <v>0</v>
      </c>
      <c r="BN9" s="26" t="s">
        <v>116</v>
      </c>
      <c r="BS9" s="26">
        <v>0</v>
      </c>
      <c r="BT9" s="26">
        <v>0</v>
      </c>
      <c r="BU9" s="26">
        <v>0</v>
      </c>
      <c r="BV9" s="26">
        <v>0</v>
      </c>
      <c r="BW9" s="26" t="s">
        <v>220</v>
      </c>
      <c r="CK9" s="26">
        <v>0</v>
      </c>
      <c r="CL9" s="26">
        <v>0</v>
      </c>
      <c r="CM9" s="26">
        <v>0</v>
      </c>
      <c r="CN9" s="94"/>
      <c r="CQ9" s="26" t="str">
        <f>LEFT(Table_Query_from_Mac1012[[#This Row],[item_no]],4)</f>
        <v>032O</v>
      </c>
      <c r="CR9" s="26">
        <f>Table_Query_from_Mac1012[[#This Row],[qty_on_hand]]*Table_Query_from_Mac1012[[#This Row],[std_cost]]</f>
        <v>128</v>
      </c>
    </row>
    <row r="10" spans="1:96" x14ac:dyDescent="0.25">
      <c r="A10" s="26" t="s">
        <v>295</v>
      </c>
      <c r="C10" s="26" t="s">
        <v>285</v>
      </c>
      <c r="D10" s="26" t="s">
        <v>17</v>
      </c>
      <c r="F10" s="26" t="s">
        <v>18</v>
      </c>
      <c r="G10" s="26">
        <v>7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11</v>
      </c>
      <c r="O10" s="26" t="s">
        <v>18</v>
      </c>
      <c r="P10" s="26" t="s">
        <v>18</v>
      </c>
      <c r="Q10" s="94"/>
      <c r="R10" s="94"/>
      <c r="S10" s="26">
        <v>0</v>
      </c>
      <c r="T10" s="26">
        <v>0</v>
      </c>
      <c r="U10" s="26" t="s">
        <v>118</v>
      </c>
      <c r="V10" s="94">
        <v>44909</v>
      </c>
      <c r="W10" s="26">
        <v>0</v>
      </c>
      <c r="X10" s="26">
        <v>0</v>
      </c>
      <c r="Y10" s="26">
        <v>34.362375999999998</v>
      </c>
      <c r="Z10" s="26">
        <v>0</v>
      </c>
      <c r="AA10" s="94">
        <v>45107</v>
      </c>
      <c r="AB10" s="94">
        <v>1.3758680555555556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Z10" s="26">
        <v>0</v>
      </c>
      <c r="BA10" s="26" t="s">
        <v>17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K10" s="26">
        <v>0</v>
      </c>
      <c r="BN10" s="26" t="s">
        <v>116</v>
      </c>
      <c r="BS10" s="26">
        <v>0</v>
      </c>
      <c r="BT10" s="26">
        <v>0</v>
      </c>
      <c r="BU10" s="26">
        <v>0</v>
      </c>
      <c r="BV10" s="26">
        <v>0</v>
      </c>
      <c r="BW10" s="26" t="s">
        <v>221</v>
      </c>
      <c r="CK10" s="26">
        <v>0</v>
      </c>
      <c r="CL10" s="26">
        <v>0</v>
      </c>
      <c r="CM10" s="26">
        <v>0</v>
      </c>
      <c r="CN10" s="94"/>
      <c r="CQ10" s="26" t="str">
        <f>LEFT(Table_Query_from_Mac1012[[#This Row],[item_no]],4)</f>
        <v>033O</v>
      </c>
      <c r="CR10" s="26">
        <f>Table_Query_from_Mac1012[[#This Row],[qty_on_hand]]*Table_Query_from_Mac1012[[#This Row],[std_cost]]</f>
        <v>77</v>
      </c>
    </row>
    <row r="11" spans="1:96" x14ac:dyDescent="0.25">
      <c r="A11" s="26" t="s">
        <v>296</v>
      </c>
      <c r="C11" s="26" t="s">
        <v>285</v>
      </c>
      <c r="D11" s="26" t="s">
        <v>17</v>
      </c>
      <c r="F11" s="26" t="s">
        <v>18</v>
      </c>
      <c r="G11" s="26">
        <v>18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5.7</v>
      </c>
      <c r="O11" s="26" t="s">
        <v>18</v>
      </c>
      <c r="P11" s="26" t="s">
        <v>18</v>
      </c>
      <c r="Q11" s="94"/>
      <c r="R11" s="94"/>
      <c r="S11" s="26">
        <v>0</v>
      </c>
      <c r="T11" s="26">
        <v>0</v>
      </c>
      <c r="U11" s="26" t="s">
        <v>118</v>
      </c>
      <c r="V11" s="94">
        <v>44909</v>
      </c>
      <c r="W11" s="26">
        <v>0</v>
      </c>
      <c r="X11" s="26">
        <v>0</v>
      </c>
      <c r="Y11" s="26">
        <v>39.767952999999999</v>
      </c>
      <c r="Z11" s="26">
        <v>0</v>
      </c>
      <c r="AA11" s="94">
        <v>45107</v>
      </c>
      <c r="AB11" s="94">
        <v>1.3758680555555556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Z11" s="26">
        <v>0</v>
      </c>
      <c r="BA11" s="26" t="s">
        <v>17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K11" s="26">
        <v>0</v>
      </c>
      <c r="BN11" s="26" t="s">
        <v>116</v>
      </c>
      <c r="BS11" s="26">
        <v>0</v>
      </c>
      <c r="BT11" s="26">
        <v>0</v>
      </c>
      <c r="BU11" s="26">
        <v>0</v>
      </c>
      <c r="BV11" s="26">
        <v>0</v>
      </c>
      <c r="BW11" s="26" t="s">
        <v>217</v>
      </c>
      <c r="CK11" s="26">
        <v>0</v>
      </c>
      <c r="CL11" s="26">
        <v>0</v>
      </c>
      <c r="CM11" s="26">
        <v>0</v>
      </c>
      <c r="CN11" s="94"/>
      <c r="CQ11" s="26" t="str">
        <f>LEFT(Table_Query_from_Mac1012[[#This Row],[item_no]],4)</f>
        <v>750M</v>
      </c>
      <c r="CR11" s="26">
        <f>Table_Query_from_Mac1012[[#This Row],[qty_on_hand]]*Table_Query_from_Mac1012[[#This Row],[std_cost]]</f>
        <v>102.60000000000001</v>
      </c>
    </row>
    <row r="12" spans="1:96" x14ac:dyDescent="0.25">
      <c r="A12" s="26" t="s">
        <v>297</v>
      </c>
      <c r="C12" s="26" t="s">
        <v>285</v>
      </c>
      <c r="D12" s="26" t="s">
        <v>17</v>
      </c>
      <c r="F12" s="26" t="s">
        <v>18</v>
      </c>
      <c r="G12" s="26">
        <v>120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8.65</v>
      </c>
      <c r="O12" s="26" t="s">
        <v>18</v>
      </c>
      <c r="P12" s="26" t="s">
        <v>18</v>
      </c>
      <c r="Q12" s="94"/>
      <c r="R12" s="94"/>
      <c r="S12" s="26">
        <v>0</v>
      </c>
      <c r="T12" s="26">
        <v>0</v>
      </c>
      <c r="U12" s="26" t="s">
        <v>118</v>
      </c>
      <c r="V12" s="94">
        <v>44909</v>
      </c>
      <c r="W12" s="26">
        <v>0</v>
      </c>
      <c r="X12" s="26">
        <v>0</v>
      </c>
      <c r="Y12" s="26">
        <v>46.550156999999999</v>
      </c>
      <c r="Z12" s="26">
        <v>0</v>
      </c>
      <c r="AA12" s="94">
        <v>45107</v>
      </c>
      <c r="AB12" s="94">
        <v>1.3758680555555556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Z12" s="26">
        <v>0</v>
      </c>
      <c r="BA12" s="26" t="s">
        <v>17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K12" s="26">
        <v>0</v>
      </c>
      <c r="BN12" s="26" t="s">
        <v>116</v>
      </c>
      <c r="BS12" s="26">
        <v>0</v>
      </c>
      <c r="BT12" s="26">
        <v>0</v>
      </c>
      <c r="BU12" s="26">
        <v>0</v>
      </c>
      <c r="BV12" s="26">
        <v>0</v>
      </c>
      <c r="BW12" s="26" t="s">
        <v>222</v>
      </c>
      <c r="CK12" s="26">
        <v>0</v>
      </c>
      <c r="CL12" s="26">
        <v>0</v>
      </c>
      <c r="CM12" s="26">
        <v>0</v>
      </c>
      <c r="CN12" s="94"/>
      <c r="CQ12" s="26" t="str">
        <f>LEFT(Table_Query_from_Mac1012[[#This Row],[item_no]],4)</f>
        <v>001L</v>
      </c>
      <c r="CR12" s="26">
        <f>Table_Query_from_Mac1012[[#This Row],[qty_on_hand]]*Table_Query_from_Mac1012[[#This Row],[std_cost]]</f>
        <v>1038</v>
      </c>
    </row>
  </sheetData>
  <sheetProtection algorithmName="SHA-512" hashValue="ucEoaFJ5SeD4hj+VRA2uhnVyBRANtrZFP2AymmCXdtbyjPZ16su5W5ix7DJH23WAxCht4QauWeFufuta8davwg==" saltValue="cc7pJoNTnP8OmflG1mHmMw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5ABC7-2AED-47E5-AEA5-D184CDB4A8F9}">
  <sheetPr codeName="Sheet16">
    <tabColor rgb="FFFFFF00"/>
  </sheetPr>
  <dimension ref="A1:BZ9"/>
  <sheetViews>
    <sheetView workbookViewId="0">
      <pane xSplit="5" ySplit="1" topLeftCell="F2" activePane="bottomRight" state="frozen"/>
      <selection activeCell="E4" sqref="E4"/>
      <selection pane="topRight" activeCell="E4" sqref="E4"/>
      <selection pane="bottomLeft" activeCell="E4" sqref="E4"/>
      <selection pane="bottomRight"/>
    </sheetView>
  </sheetViews>
  <sheetFormatPr defaultRowHeight="15" x14ac:dyDescent="0.25"/>
  <cols>
    <col min="1" max="1" width="9.5703125" style="26" bestFit="1" customWidth="1"/>
    <col min="2" max="2" width="10" style="26" bestFit="1" customWidth="1"/>
    <col min="3" max="3" width="12.42578125" style="26" bestFit="1" customWidth="1"/>
    <col min="4" max="4" width="9.42578125" style="26" bestFit="1" customWidth="1"/>
    <col min="5" max="5" width="15.140625" style="26" bestFit="1" customWidth="1"/>
    <col min="6" max="7" width="27" style="26" bestFit="1" customWidth="1"/>
    <col min="8" max="8" width="28.85546875" style="26" bestFit="1" customWidth="1"/>
    <col min="9" max="9" width="16.28515625" style="26" bestFit="1" customWidth="1"/>
    <col min="10" max="10" width="12.5703125" style="26" bestFit="1" customWidth="1"/>
    <col min="11" max="11" width="16" style="26" bestFit="1" customWidth="1"/>
    <col min="12" max="12" width="19.5703125" style="26" bestFit="1" customWidth="1"/>
    <col min="13" max="13" width="10.5703125" style="26" bestFit="1" customWidth="1"/>
    <col min="14" max="14" width="9.42578125" style="26" bestFit="1" customWidth="1"/>
    <col min="15" max="15" width="14.28515625" style="26" bestFit="1" customWidth="1"/>
    <col min="16" max="16" width="16.28515625" style="26" bestFit="1" customWidth="1"/>
    <col min="17" max="17" width="14.5703125" style="26" bestFit="1" customWidth="1"/>
    <col min="18" max="18" width="15.7109375" style="26" bestFit="1" customWidth="1"/>
    <col min="19" max="19" width="9.85546875" style="26" bestFit="1" customWidth="1"/>
    <col min="20" max="20" width="14.5703125" style="26" bestFit="1" customWidth="1"/>
    <col min="21" max="21" width="14.42578125" style="26" bestFit="1" customWidth="1"/>
    <col min="22" max="22" width="13" style="26" bestFit="1" customWidth="1"/>
    <col min="23" max="23" width="16.85546875" style="26" bestFit="1" customWidth="1"/>
    <col min="24" max="24" width="18.140625" style="26" bestFit="1" customWidth="1"/>
    <col min="25" max="26" width="13.85546875" style="26" bestFit="1" customWidth="1"/>
    <col min="27" max="27" width="12.42578125" style="26" bestFit="1" customWidth="1"/>
    <col min="28" max="28" width="10.7109375" style="26" bestFit="1" customWidth="1"/>
    <col min="29" max="29" width="15.42578125" style="26" bestFit="1" customWidth="1"/>
    <col min="30" max="30" width="15.85546875" style="26" bestFit="1" customWidth="1"/>
    <col min="31" max="31" width="9.42578125" style="26" bestFit="1" customWidth="1"/>
    <col min="32" max="32" width="11.5703125" style="26" bestFit="1" customWidth="1"/>
    <col min="33" max="33" width="8.5703125" style="26" bestFit="1" customWidth="1"/>
    <col min="34" max="34" width="11.5703125" style="26" bestFit="1" customWidth="1"/>
    <col min="35" max="35" width="8.5703125" style="26" bestFit="1" customWidth="1"/>
    <col min="36" max="40" width="16.7109375" style="26" bestFit="1" customWidth="1"/>
    <col min="41" max="41" width="11.7109375" style="26" bestFit="1" customWidth="1"/>
    <col min="42" max="42" width="14.7109375" style="26" bestFit="1" customWidth="1"/>
    <col min="43" max="43" width="17.28515625" style="26" bestFit="1" customWidth="1"/>
    <col min="44" max="44" width="18.28515625" style="26" bestFit="1" customWidth="1"/>
    <col min="45" max="45" width="11.7109375" style="26" bestFit="1" customWidth="1"/>
    <col min="46" max="46" width="14.7109375" style="26" bestFit="1" customWidth="1"/>
    <col min="47" max="47" width="17.28515625" style="26" bestFit="1" customWidth="1"/>
    <col min="48" max="48" width="18.28515625" style="26" bestFit="1" customWidth="1"/>
    <col min="49" max="49" width="11.7109375" style="26" bestFit="1" customWidth="1"/>
    <col min="50" max="50" width="14.7109375" style="26" bestFit="1" customWidth="1"/>
    <col min="51" max="51" width="17.28515625" style="26" bestFit="1" customWidth="1"/>
    <col min="52" max="52" width="18.28515625" style="26" bestFit="1" customWidth="1"/>
    <col min="53" max="53" width="10.5703125" style="26" bestFit="1" customWidth="1"/>
    <col min="54" max="54" width="18.5703125" style="26" bestFit="1" customWidth="1"/>
    <col min="55" max="55" width="20" style="26" bestFit="1" customWidth="1"/>
    <col min="56" max="56" width="12.85546875" style="26" bestFit="1" customWidth="1"/>
    <col min="57" max="57" width="17.140625" style="26" bestFit="1" customWidth="1"/>
    <col min="58" max="58" width="16.28515625" style="26" bestFit="1" customWidth="1"/>
    <col min="59" max="59" width="16.5703125" style="26" bestFit="1" customWidth="1"/>
    <col min="60" max="60" width="16" style="26" bestFit="1" customWidth="1"/>
    <col min="61" max="61" width="12.5703125" style="26" bestFit="1" customWidth="1"/>
    <col min="62" max="63" width="13.5703125" style="26" bestFit="1" customWidth="1"/>
    <col min="64" max="64" width="26.5703125" style="26" bestFit="1" customWidth="1"/>
    <col min="65" max="65" width="13.85546875" style="26" bestFit="1" customWidth="1"/>
    <col min="66" max="66" width="7.5703125" style="26" bestFit="1" customWidth="1"/>
    <col min="67" max="67" width="7.28515625" style="26" bestFit="1" customWidth="1"/>
    <col min="68" max="68" width="9.28515625" style="26" bestFit="1" customWidth="1"/>
    <col min="69" max="69" width="7.42578125" style="26" bestFit="1" customWidth="1"/>
    <col min="70" max="70" width="15.7109375" style="26" bestFit="1" customWidth="1"/>
    <col min="71" max="71" width="8.28515625" style="26" bestFit="1" customWidth="1"/>
    <col min="72" max="72" width="10.28515625" style="26" bestFit="1" customWidth="1"/>
    <col min="73" max="73" width="8.42578125" style="26" bestFit="1" customWidth="1"/>
    <col min="74" max="74" width="15.140625" style="26" bestFit="1" customWidth="1"/>
    <col min="75" max="75" width="9.7109375" style="26" bestFit="1" customWidth="1"/>
    <col min="76" max="76" width="10.28515625" style="26" bestFit="1" customWidth="1"/>
    <col min="77" max="77" width="8.42578125" style="26" bestFit="1" customWidth="1"/>
    <col min="78" max="78" width="13" style="26" bestFit="1" customWidth="1"/>
    <col min="79" max="16384" width="9.140625" style="26"/>
  </cols>
  <sheetData>
    <row r="1" spans="1:78" x14ac:dyDescent="0.25">
      <c r="A1" s="26" t="s">
        <v>120</v>
      </c>
      <c r="B1" s="26" t="s">
        <v>121</v>
      </c>
      <c r="C1" s="26" t="s">
        <v>85</v>
      </c>
      <c r="D1" s="26" t="s">
        <v>122</v>
      </c>
      <c r="E1" s="26" t="s">
        <v>0</v>
      </c>
      <c r="F1" s="26" t="s">
        <v>123</v>
      </c>
      <c r="G1" s="26" t="s">
        <v>223</v>
      </c>
      <c r="H1" s="26" t="s">
        <v>124</v>
      </c>
      <c r="I1" s="26" t="s">
        <v>125</v>
      </c>
      <c r="J1" s="26" t="s">
        <v>126</v>
      </c>
      <c r="K1" s="26" t="s">
        <v>127</v>
      </c>
      <c r="L1" s="26" t="s">
        <v>128</v>
      </c>
      <c r="M1" s="26" t="s">
        <v>36</v>
      </c>
      <c r="N1" s="26" t="s">
        <v>129</v>
      </c>
      <c r="O1" s="26" t="s">
        <v>130</v>
      </c>
      <c r="P1" s="26" t="s">
        <v>131</v>
      </c>
      <c r="Q1" s="26" t="s">
        <v>132</v>
      </c>
      <c r="R1" s="26" t="s">
        <v>133</v>
      </c>
      <c r="S1" s="26" t="s">
        <v>134</v>
      </c>
      <c r="T1" s="26" t="s">
        <v>135</v>
      </c>
      <c r="U1" s="26" t="s">
        <v>136</v>
      </c>
      <c r="V1" s="26" t="s">
        <v>137</v>
      </c>
      <c r="W1" s="26" t="s">
        <v>138</v>
      </c>
      <c r="X1" s="26" t="s">
        <v>139</v>
      </c>
      <c r="Y1" s="26" t="s">
        <v>140</v>
      </c>
      <c r="Z1" s="26" t="s">
        <v>141</v>
      </c>
      <c r="AA1" s="26" t="s">
        <v>142</v>
      </c>
      <c r="AB1" s="26" t="s">
        <v>70</v>
      </c>
      <c r="AC1" s="26" t="s">
        <v>143</v>
      </c>
      <c r="AD1" s="26" t="s">
        <v>144</v>
      </c>
      <c r="AE1" s="26" t="s">
        <v>145</v>
      </c>
      <c r="AF1" s="26" t="s">
        <v>146</v>
      </c>
      <c r="AG1" s="26" t="s">
        <v>147</v>
      </c>
      <c r="AH1" s="26" t="s">
        <v>148</v>
      </c>
      <c r="AI1" s="26" t="s">
        <v>149</v>
      </c>
      <c r="AJ1" s="26" t="s">
        <v>96</v>
      </c>
      <c r="AK1" s="26" t="s">
        <v>97</v>
      </c>
      <c r="AL1" s="26" t="s">
        <v>98</v>
      </c>
      <c r="AM1" s="26" t="s">
        <v>99</v>
      </c>
      <c r="AN1" s="26" t="s">
        <v>100</v>
      </c>
      <c r="AO1" s="26" t="s">
        <v>150</v>
      </c>
      <c r="AP1" s="26" t="s">
        <v>151</v>
      </c>
      <c r="AQ1" s="26" t="s">
        <v>152</v>
      </c>
      <c r="AR1" s="26" t="s">
        <v>224</v>
      </c>
      <c r="AS1" s="26" t="s">
        <v>153</v>
      </c>
      <c r="AT1" s="26" t="s">
        <v>154</v>
      </c>
      <c r="AU1" s="26" t="s">
        <v>155</v>
      </c>
      <c r="AV1" s="26" t="s">
        <v>225</v>
      </c>
      <c r="AW1" s="26" t="s">
        <v>156</v>
      </c>
      <c r="AX1" s="26" t="s">
        <v>157</v>
      </c>
      <c r="AY1" s="26" t="s">
        <v>158</v>
      </c>
      <c r="AZ1" s="26" t="s">
        <v>226</v>
      </c>
      <c r="BA1" s="26" t="s">
        <v>159</v>
      </c>
      <c r="BB1" s="26" t="s">
        <v>160</v>
      </c>
      <c r="BC1" s="26" t="s">
        <v>161</v>
      </c>
      <c r="BD1" s="26" t="s">
        <v>162</v>
      </c>
      <c r="BE1" s="26" t="s">
        <v>163</v>
      </c>
      <c r="BF1" s="26" t="s">
        <v>164</v>
      </c>
      <c r="BG1" s="26" t="s">
        <v>165</v>
      </c>
      <c r="BH1" s="26" t="s">
        <v>227</v>
      </c>
      <c r="BI1" s="26" t="s">
        <v>166</v>
      </c>
      <c r="BJ1" s="26" t="s">
        <v>228</v>
      </c>
      <c r="BK1" s="26" t="s">
        <v>229</v>
      </c>
      <c r="BL1" s="26" t="s">
        <v>197</v>
      </c>
      <c r="BM1" s="26" t="s">
        <v>176</v>
      </c>
      <c r="BN1" s="26" t="s">
        <v>21</v>
      </c>
      <c r="BO1" s="26" t="s">
        <v>167</v>
      </c>
      <c r="BP1" s="26" t="s">
        <v>168</v>
      </c>
      <c r="BQ1" s="26" t="s">
        <v>169</v>
      </c>
      <c r="BR1" s="26" t="s">
        <v>170</v>
      </c>
      <c r="BS1" s="26" t="s">
        <v>171</v>
      </c>
      <c r="BT1" s="26" t="s">
        <v>172</v>
      </c>
      <c r="BU1" s="26" t="s">
        <v>173</v>
      </c>
      <c r="BV1" s="26" t="s">
        <v>22</v>
      </c>
      <c r="BW1" s="26" t="s">
        <v>198</v>
      </c>
      <c r="BX1" s="26" t="s">
        <v>199</v>
      </c>
      <c r="BY1" s="26" t="s">
        <v>200</v>
      </c>
      <c r="BZ1" s="26" t="s">
        <v>181</v>
      </c>
    </row>
    <row r="2" spans="1:78" x14ac:dyDescent="0.25">
      <c r="A2" s="26">
        <v>6001</v>
      </c>
      <c r="B2" s="26">
        <v>1</v>
      </c>
      <c r="C2" s="26">
        <v>7854</v>
      </c>
      <c r="D2" s="26" t="s">
        <v>16</v>
      </c>
      <c r="E2" s="26" t="s">
        <v>275</v>
      </c>
      <c r="F2" s="26" t="s">
        <v>298</v>
      </c>
      <c r="N2" s="26" t="s">
        <v>285</v>
      </c>
      <c r="O2" s="26">
        <v>700</v>
      </c>
      <c r="P2" s="26">
        <v>700</v>
      </c>
      <c r="Q2" s="26">
        <v>0</v>
      </c>
      <c r="R2" s="26">
        <v>0</v>
      </c>
      <c r="S2" s="26">
        <v>0</v>
      </c>
      <c r="T2" s="26">
        <v>0</v>
      </c>
      <c r="U2" s="26">
        <v>0</v>
      </c>
      <c r="V2" s="26">
        <v>0</v>
      </c>
      <c r="Y2" s="94">
        <v>45117</v>
      </c>
      <c r="Z2" s="94">
        <v>45117</v>
      </c>
      <c r="AA2" s="94"/>
      <c r="AB2" s="26">
        <v>39</v>
      </c>
      <c r="AC2" s="26">
        <v>0</v>
      </c>
      <c r="AE2" s="26">
        <v>0</v>
      </c>
      <c r="AN2" s="26" t="s">
        <v>232</v>
      </c>
      <c r="BA2" s="26">
        <v>0</v>
      </c>
      <c r="BB2" s="26">
        <v>0</v>
      </c>
      <c r="BE2" s="26" t="s">
        <v>239</v>
      </c>
      <c r="BF2" s="26" t="s">
        <v>240</v>
      </c>
      <c r="BG2" s="26" t="s">
        <v>230</v>
      </c>
      <c r="BH2" s="26">
        <v>0</v>
      </c>
      <c r="BK2" s="26" t="s">
        <v>119</v>
      </c>
      <c r="BL2" s="26" t="s">
        <v>310</v>
      </c>
      <c r="BM2" s="94">
        <v>45104</v>
      </c>
      <c r="BO2" s="26">
        <f>YEAR(Table_Query_from_Mac106[[#This Row],[request_dt]])</f>
        <v>2023</v>
      </c>
      <c r="BP2" s="26">
        <f>MONTH(Table_Query_from_Mac106[[#This Row],[request_dt]])</f>
        <v>7</v>
      </c>
      <c r="BQ2" s="26">
        <f>DAY(Table_Query_from_Mac106[[#This Row],[request_dt]])</f>
        <v>10</v>
      </c>
      <c r="BR2" s="93">
        <f>DATE(Table_Query_from_Mac106[[#This Row],[Year]],Table_Query_from_Mac106[[#This Row],[Month]],Table_Query_from_Mac106[[#This Row],[Date]])</f>
        <v>45117</v>
      </c>
      <c r="BS2" s="26">
        <f>YEAR(Table_Query_from_Mac106[[#This Row],[promise_dt]])</f>
        <v>2023</v>
      </c>
      <c r="BT2" s="26">
        <f>MONTH(Table_Query_from_Mac106[[#This Row],[promise_dt]])</f>
        <v>7</v>
      </c>
      <c r="BU2" s="26">
        <f>DAY(Table_Query_from_Mac106[[#This Row],[promise_dt]])</f>
        <v>10</v>
      </c>
      <c r="BV2" s="93">
        <f>IFERROR(DATE(Table_Query_from_Mac106[[#This Row],[Pyear]],Table_Query_from_Mac106[[#This Row],[Pmonth]],Table_Query_from_Mac106[[#This Row],[Pdate]]),"Confirm")</f>
        <v>45117</v>
      </c>
      <c r="BW2" s="93">
        <f>YEAR(Table_Query_from_Mac106[[#This Row],[ord_dt]])</f>
        <v>2023</v>
      </c>
      <c r="BZ2" s="93">
        <f>Table_Query_from_Mac106[[#This Row],[ord_dt]]</f>
        <v>45104</v>
      </c>
    </row>
    <row r="3" spans="1:78" x14ac:dyDescent="0.25">
      <c r="A3" s="26">
        <v>6001</v>
      </c>
      <c r="B3" s="26">
        <v>2</v>
      </c>
      <c r="C3" s="26">
        <v>7854</v>
      </c>
      <c r="D3" s="26" t="s">
        <v>16</v>
      </c>
      <c r="E3" s="26" t="s">
        <v>283</v>
      </c>
      <c r="F3" s="26" t="s">
        <v>299</v>
      </c>
      <c r="N3" s="26" t="s">
        <v>285</v>
      </c>
      <c r="O3" s="26">
        <v>250</v>
      </c>
      <c r="P3" s="26">
        <v>250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Y3" s="94">
        <v>45117</v>
      </c>
      <c r="Z3" s="94">
        <v>45117</v>
      </c>
      <c r="AA3" s="94"/>
      <c r="AB3" s="26">
        <v>39</v>
      </c>
      <c r="AC3" s="26">
        <v>0</v>
      </c>
      <c r="AE3" s="26">
        <v>0</v>
      </c>
      <c r="AN3" s="26" t="s">
        <v>233</v>
      </c>
      <c r="BA3" s="26">
        <v>0</v>
      </c>
      <c r="BB3" s="26">
        <v>0</v>
      </c>
      <c r="BE3" s="26" t="s">
        <v>239</v>
      </c>
      <c r="BF3" s="26" t="s">
        <v>240</v>
      </c>
      <c r="BG3" s="26" t="s">
        <v>230</v>
      </c>
      <c r="BH3" s="26">
        <v>0</v>
      </c>
      <c r="BK3" s="26" t="s">
        <v>119</v>
      </c>
      <c r="BL3" s="26" t="s">
        <v>310</v>
      </c>
      <c r="BM3" s="94">
        <v>45104</v>
      </c>
      <c r="BO3" s="26">
        <f>YEAR(Table_Query_from_Mac106[[#This Row],[request_dt]])</f>
        <v>2023</v>
      </c>
      <c r="BP3" s="26">
        <f>MONTH(Table_Query_from_Mac106[[#This Row],[request_dt]])</f>
        <v>7</v>
      </c>
      <c r="BQ3" s="26">
        <f>DAY(Table_Query_from_Mac106[[#This Row],[request_dt]])</f>
        <v>10</v>
      </c>
      <c r="BR3" s="93">
        <f>DATE(Table_Query_from_Mac106[[#This Row],[Year]],Table_Query_from_Mac106[[#This Row],[Month]],Table_Query_from_Mac106[[#This Row],[Date]])</f>
        <v>45117</v>
      </c>
      <c r="BS3" s="26">
        <f>YEAR(Table_Query_from_Mac106[[#This Row],[promise_dt]])</f>
        <v>2023</v>
      </c>
      <c r="BT3" s="26">
        <f>MONTH(Table_Query_from_Mac106[[#This Row],[promise_dt]])</f>
        <v>7</v>
      </c>
      <c r="BU3" s="26">
        <f>DAY(Table_Query_from_Mac106[[#This Row],[promise_dt]])</f>
        <v>10</v>
      </c>
      <c r="BV3" s="93">
        <f>IFERROR(DATE(Table_Query_from_Mac106[[#This Row],[Pyear]],Table_Query_from_Mac106[[#This Row],[Pmonth]],Table_Query_from_Mac106[[#This Row],[Pdate]]),"Confirm")</f>
        <v>45117</v>
      </c>
      <c r="BW3" s="93">
        <f>YEAR(Table_Query_from_Mac106[[#This Row],[ord_dt]])</f>
        <v>2023</v>
      </c>
      <c r="BZ3" s="93">
        <f>Table_Query_from_Mac106[[#This Row],[ord_dt]]</f>
        <v>45104</v>
      </c>
    </row>
    <row r="4" spans="1:78" x14ac:dyDescent="0.25">
      <c r="A4" s="26">
        <v>6001</v>
      </c>
      <c r="B4" s="26">
        <v>3</v>
      </c>
      <c r="C4" s="26">
        <v>7854</v>
      </c>
      <c r="D4" s="26" t="s">
        <v>16</v>
      </c>
      <c r="E4" s="26" t="s">
        <v>277</v>
      </c>
      <c r="F4" s="26" t="s">
        <v>300</v>
      </c>
      <c r="N4" s="26" t="s">
        <v>285</v>
      </c>
      <c r="O4" s="26">
        <v>1500</v>
      </c>
      <c r="P4" s="26">
        <v>1500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Y4" s="94">
        <v>45117</v>
      </c>
      <c r="Z4" s="94">
        <v>45117</v>
      </c>
      <c r="AA4" s="94"/>
      <c r="AB4" s="26">
        <v>39</v>
      </c>
      <c r="AC4" s="26">
        <v>0</v>
      </c>
      <c r="AE4" s="26">
        <v>0</v>
      </c>
      <c r="AN4" s="26" t="s">
        <v>234</v>
      </c>
      <c r="BA4" s="26">
        <v>0</v>
      </c>
      <c r="BB4" s="26">
        <v>0</v>
      </c>
      <c r="BE4" s="26" t="s">
        <v>239</v>
      </c>
      <c r="BF4" s="26" t="s">
        <v>240</v>
      </c>
      <c r="BG4" s="26" t="s">
        <v>230</v>
      </c>
      <c r="BH4" s="26">
        <v>0</v>
      </c>
      <c r="BK4" s="26" t="s">
        <v>119</v>
      </c>
      <c r="BL4" s="26" t="s">
        <v>310</v>
      </c>
      <c r="BM4" s="94">
        <v>45104</v>
      </c>
      <c r="BO4" s="26">
        <f>YEAR(Table_Query_from_Mac106[[#This Row],[request_dt]])</f>
        <v>2023</v>
      </c>
      <c r="BP4" s="26">
        <f>MONTH(Table_Query_from_Mac106[[#This Row],[request_dt]])</f>
        <v>7</v>
      </c>
      <c r="BQ4" s="26">
        <f>DAY(Table_Query_from_Mac106[[#This Row],[request_dt]])</f>
        <v>10</v>
      </c>
      <c r="BR4" s="93">
        <f>DATE(Table_Query_from_Mac106[[#This Row],[Year]],Table_Query_from_Mac106[[#This Row],[Month]],Table_Query_from_Mac106[[#This Row],[Date]])</f>
        <v>45117</v>
      </c>
      <c r="BS4" s="26">
        <f>YEAR(Table_Query_from_Mac106[[#This Row],[promise_dt]])</f>
        <v>2023</v>
      </c>
      <c r="BT4" s="26">
        <f>MONTH(Table_Query_from_Mac106[[#This Row],[promise_dt]])</f>
        <v>7</v>
      </c>
      <c r="BU4" s="26">
        <f>DAY(Table_Query_from_Mac106[[#This Row],[promise_dt]])</f>
        <v>10</v>
      </c>
      <c r="BV4" s="93">
        <f>IFERROR(DATE(Table_Query_from_Mac106[[#This Row],[Pyear]],Table_Query_from_Mac106[[#This Row],[Pmonth]],Table_Query_from_Mac106[[#This Row],[Pdate]]),"Confirm")</f>
        <v>45117</v>
      </c>
      <c r="BW4" s="93">
        <f>YEAR(Table_Query_from_Mac106[[#This Row],[ord_dt]])</f>
        <v>2023</v>
      </c>
      <c r="BZ4" s="93">
        <f>Table_Query_from_Mac106[[#This Row],[ord_dt]]</f>
        <v>45104</v>
      </c>
    </row>
    <row r="5" spans="1:78" x14ac:dyDescent="0.25">
      <c r="A5" s="26">
        <v>6001</v>
      </c>
      <c r="B5" s="26">
        <v>4</v>
      </c>
      <c r="C5" s="26">
        <v>7854</v>
      </c>
      <c r="D5" s="26" t="s">
        <v>16</v>
      </c>
      <c r="E5" s="26" t="s">
        <v>278</v>
      </c>
      <c r="F5" s="26" t="s">
        <v>301</v>
      </c>
      <c r="N5" s="26" t="s">
        <v>285</v>
      </c>
      <c r="O5" s="26">
        <v>80</v>
      </c>
      <c r="P5" s="26">
        <v>80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Y5" s="94">
        <v>45117</v>
      </c>
      <c r="Z5" s="94">
        <v>45117</v>
      </c>
      <c r="AA5" s="94"/>
      <c r="AB5" s="26">
        <v>39</v>
      </c>
      <c r="AC5" s="26">
        <v>0</v>
      </c>
      <c r="AE5" s="26">
        <v>0</v>
      </c>
      <c r="AN5" s="26" t="s">
        <v>235</v>
      </c>
      <c r="BA5" s="26">
        <v>0</v>
      </c>
      <c r="BB5" s="26">
        <v>0</v>
      </c>
      <c r="BE5" s="26" t="s">
        <v>239</v>
      </c>
      <c r="BF5" s="26" t="s">
        <v>240</v>
      </c>
      <c r="BG5" s="26" t="s">
        <v>230</v>
      </c>
      <c r="BH5" s="26">
        <v>0</v>
      </c>
      <c r="BK5" s="26" t="s">
        <v>119</v>
      </c>
      <c r="BL5" s="26" t="s">
        <v>310</v>
      </c>
      <c r="BM5" s="94">
        <v>45104</v>
      </c>
      <c r="BO5" s="26">
        <f>YEAR(Table_Query_from_Mac106[[#This Row],[request_dt]])</f>
        <v>2023</v>
      </c>
      <c r="BP5" s="26">
        <f>MONTH(Table_Query_from_Mac106[[#This Row],[request_dt]])</f>
        <v>7</v>
      </c>
      <c r="BQ5" s="26">
        <f>DAY(Table_Query_from_Mac106[[#This Row],[request_dt]])</f>
        <v>10</v>
      </c>
      <c r="BR5" s="93">
        <f>DATE(Table_Query_from_Mac106[[#This Row],[Year]],Table_Query_from_Mac106[[#This Row],[Month]],Table_Query_from_Mac106[[#This Row],[Date]])</f>
        <v>45117</v>
      </c>
      <c r="BS5" s="26">
        <f>YEAR(Table_Query_from_Mac106[[#This Row],[promise_dt]])</f>
        <v>2023</v>
      </c>
      <c r="BT5" s="26">
        <f>MONTH(Table_Query_from_Mac106[[#This Row],[promise_dt]])</f>
        <v>7</v>
      </c>
      <c r="BU5" s="26">
        <f>DAY(Table_Query_from_Mac106[[#This Row],[promise_dt]])</f>
        <v>10</v>
      </c>
      <c r="BV5" s="93">
        <f>IFERROR(DATE(Table_Query_from_Mac106[[#This Row],[Pyear]],Table_Query_from_Mac106[[#This Row],[Pmonth]],Table_Query_from_Mac106[[#This Row],[Pdate]]),"Confirm")</f>
        <v>45117</v>
      </c>
      <c r="BW5" s="93">
        <f>YEAR(Table_Query_from_Mac106[[#This Row],[ord_dt]])</f>
        <v>2023</v>
      </c>
      <c r="BZ5" s="93">
        <f>Table_Query_from_Mac106[[#This Row],[ord_dt]]</f>
        <v>45104</v>
      </c>
    </row>
    <row r="6" spans="1:78" x14ac:dyDescent="0.25">
      <c r="A6" s="26">
        <v>6001</v>
      </c>
      <c r="B6" s="26">
        <v>5</v>
      </c>
      <c r="C6" s="26">
        <v>7854</v>
      </c>
      <c r="D6" s="26" t="s">
        <v>16</v>
      </c>
      <c r="E6" s="26" t="s">
        <v>279</v>
      </c>
      <c r="F6" s="26" t="s">
        <v>302</v>
      </c>
      <c r="N6" s="26" t="s">
        <v>285</v>
      </c>
      <c r="O6" s="26">
        <v>1600</v>
      </c>
      <c r="P6" s="26">
        <v>1600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Y6" s="94">
        <v>45117</v>
      </c>
      <c r="Z6" s="94">
        <v>45117</v>
      </c>
      <c r="AA6" s="94"/>
      <c r="AB6" s="26">
        <v>39</v>
      </c>
      <c r="AC6" s="26">
        <v>0</v>
      </c>
      <c r="AE6" s="26">
        <v>0</v>
      </c>
      <c r="AN6" s="26" t="s">
        <v>236</v>
      </c>
      <c r="BA6" s="26">
        <v>0</v>
      </c>
      <c r="BB6" s="26">
        <v>0</v>
      </c>
      <c r="BE6" s="26" t="s">
        <v>239</v>
      </c>
      <c r="BF6" s="26" t="s">
        <v>240</v>
      </c>
      <c r="BG6" s="26" t="s">
        <v>230</v>
      </c>
      <c r="BH6" s="26">
        <v>0</v>
      </c>
      <c r="BK6" s="26" t="s">
        <v>119</v>
      </c>
      <c r="BL6" s="26" t="s">
        <v>310</v>
      </c>
      <c r="BM6" s="94">
        <v>45104</v>
      </c>
      <c r="BO6" s="26">
        <f>YEAR(Table_Query_from_Mac106[[#This Row],[request_dt]])</f>
        <v>2023</v>
      </c>
      <c r="BP6" s="26">
        <f>MONTH(Table_Query_from_Mac106[[#This Row],[request_dt]])</f>
        <v>7</v>
      </c>
      <c r="BQ6" s="26">
        <f>DAY(Table_Query_from_Mac106[[#This Row],[request_dt]])</f>
        <v>10</v>
      </c>
      <c r="BR6" s="93">
        <f>DATE(Table_Query_from_Mac106[[#This Row],[Year]],Table_Query_from_Mac106[[#This Row],[Month]],Table_Query_from_Mac106[[#This Row],[Date]])</f>
        <v>45117</v>
      </c>
      <c r="BS6" s="26">
        <f>YEAR(Table_Query_from_Mac106[[#This Row],[promise_dt]])</f>
        <v>2023</v>
      </c>
      <c r="BT6" s="26">
        <f>MONTH(Table_Query_from_Mac106[[#This Row],[promise_dt]])</f>
        <v>7</v>
      </c>
      <c r="BU6" s="26">
        <f>DAY(Table_Query_from_Mac106[[#This Row],[promise_dt]])</f>
        <v>10</v>
      </c>
      <c r="BV6" s="93">
        <f>IFERROR(DATE(Table_Query_from_Mac106[[#This Row],[Pyear]],Table_Query_from_Mac106[[#This Row],[Pmonth]],Table_Query_from_Mac106[[#This Row],[Pdate]]),"Confirm")</f>
        <v>45117</v>
      </c>
      <c r="BW6" s="93">
        <f>YEAR(Table_Query_from_Mac106[[#This Row],[ord_dt]])</f>
        <v>2023</v>
      </c>
      <c r="BZ6" s="93">
        <f>Table_Query_from_Mac106[[#This Row],[ord_dt]]</f>
        <v>45104</v>
      </c>
    </row>
    <row r="7" spans="1:78" x14ac:dyDescent="0.25">
      <c r="A7" s="26">
        <v>6001</v>
      </c>
      <c r="B7" s="26">
        <v>6</v>
      </c>
      <c r="C7" s="26">
        <v>7854</v>
      </c>
      <c r="D7" s="26" t="s">
        <v>16</v>
      </c>
      <c r="E7" s="26" t="s">
        <v>280</v>
      </c>
      <c r="F7" s="26" t="s">
        <v>303</v>
      </c>
      <c r="N7" s="26" t="s">
        <v>285</v>
      </c>
      <c r="O7" s="26">
        <v>28</v>
      </c>
      <c r="P7" s="26">
        <v>28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Y7" s="94">
        <v>45117</v>
      </c>
      <c r="Z7" s="94">
        <v>45117</v>
      </c>
      <c r="AA7" s="94"/>
      <c r="AB7" s="26">
        <v>39</v>
      </c>
      <c r="AC7" s="26">
        <v>0</v>
      </c>
      <c r="AE7" s="26">
        <v>0</v>
      </c>
      <c r="AN7" s="26" t="s">
        <v>237</v>
      </c>
      <c r="BA7" s="26">
        <v>0</v>
      </c>
      <c r="BB7" s="26">
        <v>0</v>
      </c>
      <c r="BE7" s="26" t="s">
        <v>239</v>
      </c>
      <c r="BF7" s="26" t="s">
        <v>240</v>
      </c>
      <c r="BG7" s="26" t="s">
        <v>230</v>
      </c>
      <c r="BH7" s="26">
        <v>0</v>
      </c>
      <c r="BK7" s="26" t="s">
        <v>119</v>
      </c>
      <c r="BL7" s="26" t="s">
        <v>310</v>
      </c>
      <c r="BM7" s="94">
        <v>45104</v>
      </c>
      <c r="BO7" s="26">
        <f>YEAR(Table_Query_from_Mac106[[#This Row],[request_dt]])</f>
        <v>2023</v>
      </c>
      <c r="BP7" s="26">
        <f>MONTH(Table_Query_from_Mac106[[#This Row],[request_dt]])</f>
        <v>7</v>
      </c>
      <c r="BQ7" s="26">
        <f>DAY(Table_Query_from_Mac106[[#This Row],[request_dt]])</f>
        <v>10</v>
      </c>
      <c r="BR7" s="93">
        <f>DATE(Table_Query_from_Mac106[[#This Row],[Year]],Table_Query_from_Mac106[[#This Row],[Month]],Table_Query_from_Mac106[[#This Row],[Date]])</f>
        <v>45117</v>
      </c>
      <c r="BS7" s="26">
        <f>YEAR(Table_Query_from_Mac106[[#This Row],[promise_dt]])</f>
        <v>2023</v>
      </c>
      <c r="BT7" s="26">
        <f>MONTH(Table_Query_from_Mac106[[#This Row],[promise_dt]])</f>
        <v>7</v>
      </c>
      <c r="BU7" s="26">
        <f>DAY(Table_Query_from_Mac106[[#This Row],[promise_dt]])</f>
        <v>10</v>
      </c>
      <c r="BV7" s="93">
        <f>IFERROR(DATE(Table_Query_from_Mac106[[#This Row],[Pyear]],Table_Query_from_Mac106[[#This Row],[Pmonth]],Table_Query_from_Mac106[[#This Row],[Pdate]]),"Confirm")</f>
        <v>45117</v>
      </c>
      <c r="BW7" s="93">
        <f>YEAR(Table_Query_from_Mac106[[#This Row],[ord_dt]])</f>
        <v>2023</v>
      </c>
      <c r="BZ7" s="93">
        <f>Table_Query_from_Mac106[[#This Row],[ord_dt]]</f>
        <v>45104</v>
      </c>
    </row>
    <row r="8" spans="1:78" x14ac:dyDescent="0.25">
      <c r="A8" s="26">
        <v>6001</v>
      </c>
      <c r="B8" s="26">
        <v>7</v>
      </c>
      <c r="C8" s="26">
        <v>7854</v>
      </c>
      <c r="D8" s="26" t="s">
        <v>16</v>
      </c>
      <c r="E8" s="26" t="s">
        <v>274</v>
      </c>
      <c r="F8" s="26" t="s">
        <v>304</v>
      </c>
      <c r="N8" s="26" t="s">
        <v>285</v>
      </c>
      <c r="O8" s="26">
        <v>480</v>
      </c>
      <c r="P8" s="26">
        <v>480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Y8" s="94">
        <v>45117</v>
      </c>
      <c r="Z8" s="94">
        <v>45117</v>
      </c>
      <c r="AA8" s="94"/>
      <c r="AB8" s="26">
        <v>39</v>
      </c>
      <c r="AC8" s="26">
        <v>0</v>
      </c>
      <c r="AE8" s="26">
        <v>0</v>
      </c>
      <c r="AN8" s="26" t="s">
        <v>238</v>
      </c>
      <c r="BA8" s="26">
        <v>0</v>
      </c>
      <c r="BB8" s="26">
        <v>0</v>
      </c>
      <c r="BE8" s="26" t="s">
        <v>239</v>
      </c>
      <c r="BF8" s="26" t="s">
        <v>240</v>
      </c>
      <c r="BG8" s="26" t="s">
        <v>230</v>
      </c>
      <c r="BH8" s="26">
        <v>0</v>
      </c>
      <c r="BK8" s="26" t="s">
        <v>119</v>
      </c>
      <c r="BL8" s="26" t="s">
        <v>310</v>
      </c>
      <c r="BM8" s="94">
        <v>45104</v>
      </c>
      <c r="BO8" s="26">
        <f>YEAR(Table_Query_from_Mac106[[#This Row],[request_dt]])</f>
        <v>2023</v>
      </c>
      <c r="BP8" s="26">
        <f>MONTH(Table_Query_from_Mac106[[#This Row],[request_dt]])</f>
        <v>7</v>
      </c>
      <c r="BQ8" s="26">
        <f>DAY(Table_Query_from_Mac106[[#This Row],[request_dt]])</f>
        <v>10</v>
      </c>
      <c r="BR8" s="93">
        <f>DATE(Table_Query_from_Mac106[[#This Row],[Year]],Table_Query_from_Mac106[[#This Row],[Month]],Table_Query_from_Mac106[[#This Row],[Date]])</f>
        <v>45117</v>
      </c>
      <c r="BS8" s="26">
        <f>YEAR(Table_Query_from_Mac106[[#This Row],[promise_dt]])</f>
        <v>2023</v>
      </c>
      <c r="BT8" s="26">
        <f>MONTH(Table_Query_from_Mac106[[#This Row],[promise_dt]])</f>
        <v>7</v>
      </c>
      <c r="BU8" s="26">
        <f>DAY(Table_Query_from_Mac106[[#This Row],[promise_dt]])</f>
        <v>10</v>
      </c>
      <c r="BV8" s="93">
        <f>IFERROR(DATE(Table_Query_from_Mac106[[#This Row],[Pyear]],Table_Query_from_Mac106[[#This Row],[Pmonth]],Table_Query_from_Mac106[[#This Row],[Pdate]]),"Confirm")</f>
        <v>45117</v>
      </c>
      <c r="BW8" s="93">
        <f>YEAR(Table_Query_from_Mac106[[#This Row],[ord_dt]])</f>
        <v>2023</v>
      </c>
      <c r="BZ8" s="93">
        <f>Table_Query_from_Mac106[[#This Row],[ord_dt]]</f>
        <v>45104</v>
      </c>
    </row>
    <row r="9" spans="1:78" x14ac:dyDescent="0.25">
      <c r="A9" s="26">
        <v>6001</v>
      </c>
      <c r="B9" s="26">
        <v>8</v>
      </c>
      <c r="C9" s="26">
        <v>7854</v>
      </c>
      <c r="D9" s="26" t="s">
        <v>16</v>
      </c>
      <c r="E9" s="26" t="s">
        <v>282</v>
      </c>
      <c r="F9" s="26" t="s">
        <v>305</v>
      </c>
      <c r="N9" s="26" t="s">
        <v>285</v>
      </c>
      <c r="O9" s="26">
        <v>2000</v>
      </c>
      <c r="P9" s="26">
        <v>2000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Y9" s="94">
        <v>45117</v>
      </c>
      <c r="Z9" s="94">
        <v>45117</v>
      </c>
      <c r="AA9" s="94"/>
      <c r="AB9" s="26">
        <v>39</v>
      </c>
      <c r="AC9" s="26">
        <v>0</v>
      </c>
      <c r="AE9" s="26">
        <v>0</v>
      </c>
      <c r="AN9" s="26" t="s">
        <v>273</v>
      </c>
      <c r="BA9" s="26">
        <v>0</v>
      </c>
      <c r="BB9" s="26">
        <v>0</v>
      </c>
      <c r="BE9" s="26" t="s">
        <v>239</v>
      </c>
      <c r="BF9" s="26" t="s">
        <v>240</v>
      </c>
      <c r="BG9" s="26" t="s">
        <v>230</v>
      </c>
      <c r="BH9" s="26">
        <v>0</v>
      </c>
      <c r="BK9" s="26" t="s">
        <v>119</v>
      </c>
      <c r="BL9" s="26" t="s">
        <v>310</v>
      </c>
      <c r="BM9" s="94">
        <v>45104</v>
      </c>
      <c r="BO9" s="26">
        <f>YEAR(Table_Query_from_Mac106[[#This Row],[request_dt]])</f>
        <v>2023</v>
      </c>
      <c r="BP9" s="26">
        <f>MONTH(Table_Query_from_Mac106[[#This Row],[request_dt]])</f>
        <v>7</v>
      </c>
      <c r="BQ9" s="26">
        <f>DAY(Table_Query_from_Mac106[[#This Row],[request_dt]])</f>
        <v>10</v>
      </c>
      <c r="BR9" s="93">
        <f>DATE(Table_Query_from_Mac106[[#This Row],[Year]],Table_Query_from_Mac106[[#This Row],[Month]],Table_Query_from_Mac106[[#This Row],[Date]])</f>
        <v>45117</v>
      </c>
      <c r="BS9" s="26">
        <f>YEAR(Table_Query_from_Mac106[[#This Row],[promise_dt]])</f>
        <v>2023</v>
      </c>
      <c r="BT9" s="26">
        <f>MONTH(Table_Query_from_Mac106[[#This Row],[promise_dt]])</f>
        <v>7</v>
      </c>
      <c r="BU9" s="26">
        <f>DAY(Table_Query_from_Mac106[[#This Row],[promise_dt]])</f>
        <v>10</v>
      </c>
      <c r="BV9" s="93">
        <f>IFERROR(DATE(Table_Query_from_Mac106[[#This Row],[Pyear]],Table_Query_from_Mac106[[#This Row],[Pmonth]],Table_Query_from_Mac106[[#This Row],[Pdate]]),"Confirm")</f>
        <v>45117</v>
      </c>
      <c r="BW9" s="93">
        <f>YEAR(Table_Query_from_Mac106[[#This Row],[ord_dt]])</f>
        <v>2023</v>
      </c>
      <c r="BZ9" s="93">
        <f>Table_Query_from_Mac106[[#This Row],[ord_dt]]</f>
        <v>45104</v>
      </c>
    </row>
  </sheetData>
  <sheetProtection algorithmName="SHA-512" hashValue="ixX9sX6j/trofr/tBMMSBQSRdq0Pw7CkL132IW4XevD61zKaXD8tUNmpZf0Dxk5T7MBjEwOwZ0vQc9y1cVm0jA==" saltValue="FcvfXPU5s57xsEjX3fiTbQ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4B0F-F073-4D2C-A837-C21E0A4471F4}">
  <sheetPr codeName="Sheet1">
    <tabColor rgb="FFFFFF00"/>
  </sheetPr>
  <dimension ref="A1:T12"/>
  <sheetViews>
    <sheetView workbookViewId="0">
      <selection activeCell="F20" sqref="F20"/>
    </sheetView>
  </sheetViews>
  <sheetFormatPr defaultRowHeight="15" x14ac:dyDescent="0.25"/>
  <cols>
    <col min="1" max="1" width="15.140625" style="26" bestFit="1" customWidth="1"/>
    <col min="2" max="2" width="5.85546875" style="26" bestFit="1" customWidth="1"/>
    <col min="3" max="5" width="13.7109375" style="26" bestFit="1" customWidth="1"/>
    <col min="6" max="7" width="12" style="26" bestFit="1" customWidth="1"/>
    <col min="8" max="10" width="11" style="26" bestFit="1" customWidth="1"/>
    <col min="11" max="12" width="11.140625" style="26" bestFit="1" customWidth="1"/>
    <col min="13" max="16384" width="9.140625" style="26"/>
  </cols>
  <sheetData>
    <row r="1" spans="1:20" x14ac:dyDescent="0.25">
      <c r="A1" s="26" t="s">
        <v>0</v>
      </c>
      <c r="B1" s="26" t="s">
        <v>12</v>
      </c>
      <c r="C1" s="26" t="s">
        <v>241</v>
      </c>
      <c r="D1" s="26" t="s">
        <v>242</v>
      </c>
      <c r="E1" s="26" t="s">
        <v>243</v>
      </c>
      <c r="F1" s="26" t="s">
        <v>244</v>
      </c>
      <c r="G1" s="26" t="s">
        <v>258</v>
      </c>
      <c r="H1" s="26" t="s">
        <v>257</v>
      </c>
      <c r="I1" s="26" t="s">
        <v>259</v>
      </c>
      <c r="J1" s="26" t="s">
        <v>260</v>
      </c>
      <c r="K1" s="26" t="s">
        <v>255</v>
      </c>
      <c r="L1" s="26" t="s">
        <v>256</v>
      </c>
      <c r="Q1" s="26" t="s">
        <v>285</v>
      </c>
      <c r="R1" s="26">
        <f>'Dashboard Control'!K11</f>
        <v>1</v>
      </c>
    </row>
    <row r="2" spans="1:20" x14ac:dyDescent="0.25">
      <c r="A2" s="26" t="s">
        <v>275</v>
      </c>
      <c r="B2" s="26" t="s">
        <v>285</v>
      </c>
      <c r="C2" s="26">
        <v>65</v>
      </c>
      <c r="D2" s="26">
        <f>Table_Query_from_Mac105[[#This Row],[Avg_Qty_60]]+C3/3</f>
        <v>105</v>
      </c>
      <c r="E2" s="26">
        <f>Table_Query_from_Mac105[[#This Row],[Avg_Qty_30]]-D3/5</f>
        <v>63.666666666666664</v>
      </c>
      <c r="F2" s="26">
        <f>IFERROR(IF(VLOOKUP(Table_Query_from_Mac105[[#This Row],[loc]],$Q$1:$R$4,2,FALSE)=1,AVERAGE(Table_Query_from_Mac105[[#This Row],[Avg_Qty_60]:[Avg_Qty_14]]),IF(VLOOKUP(Table_Query_from_Mac105[[#This Row],[loc]],$Q$1:$R$4,2,FALSE)=2,Table_Query_from_Mac105[[#This Row],[30/14]],IF(VLOOKUP(Table_Query_from_Mac105[[#This Row],[loc]],$Q$1:$R$4,2,FALSE)=3,Table_Query_from_Mac105[[#This Row],[60/14]],IF(VLOOKUP(Table_Query_from_Mac105[[#This Row],[loc]],$Q$1:$R$4,2,FALSE)=4,MAX(Table_Query_from_Mac105[[#This Row],[all]:[60/30]]),IF(VLOOKUP(Table_Query_from_Mac105[[#This Row],[loc]],$Q$1:$R$4,2,FALSE)=5,MIN(Table_Query_from_Mac105[[#This Row],[all]:[60/30]]),"broken"))))),0)</f>
        <v>77.888888888888886</v>
      </c>
      <c r="G2" s="26">
        <f>IFERROR(AVERAGE(Table_Query_from_Mac105[[#This Row],[Avg_Qty_60]:[Avg_Qty_14]]),0)</f>
        <v>77.888888888888886</v>
      </c>
      <c r="H2" s="26">
        <f>IFERROR(AVERAGE(Table_Query_from_Mac105[[#This Row],[Avg_Qty_30]:[Avg_Qty_14]]),0)</f>
        <v>84.333333333333329</v>
      </c>
      <c r="I2" s="26">
        <f>IFERROR(AVERAGE(Table_Query_from_Mac105[[#This Row],[Avg_Qty_60]],Table_Query_from_Mac105[[#This Row],[Avg_Qty_14]]),0)</f>
        <v>64.333333333333329</v>
      </c>
      <c r="J2" s="26">
        <f>IFERROR(AVERAGE(Table_Query_from_Mac105[[#This Row],[Avg_Qty_60]],Table_Query_from_Mac105[[#This Row],[Avg_Qty_30]]),0)</f>
        <v>85</v>
      </c>
    </row>
    <row r="3" spans="1:20" x14ac:dyDescent="0.25">
      <c r="A3" s="26" t="s">
        <v>276</v>
      </c>
      <c r="B3" s="26" t="s">
        <v>285</v>
      </c>
      <c r="C3" s="26">
        <v>120</v>
      </c>
      <c r="D3" s="26">
        <f>Table_Query_from_Mac105[[#This Row],[Avg_Qty_60]]+C4/3</f>
        <v>206.66666666666669</v>
      </c>
      <c r="E3" s="26">
        <f>Table_Query_from_Mac105[[#This Row],[Avg_Qty_30]]-D4/5</f>
        <v>153.66666666666669</v>
      </c>
      <c r="F3" s="26">
        <f>IFERROR(IF(VLOOKUP(Table_Query_from_Mac105[[#This Row],[loc]],$Q$1:$R$4,2,FALSE)=1,AVERAGE(Table_Query_from_Mac105[[#This Row],[Avg_Qty_60]:[Avg_Qty_14]]),IF(VLOOKUP(Table_Query_from_Mac105[[#This Row],[loc]],$Q$1:$R$4,2,FALSE)=2,Table_Query_from_Mac105[[#This Row],[30/14]],IF(VLOOKUP(Table_Query_from_Mac105[[#This Row],[loc]],$Q$1:$R$4,2,FALSE)=3,Table_Query_from_Mac105[[#This Row],[60/14]],IF(VLOOKUP(Table_Query_from_Mac105[[#This Row],[loc]],$Q$1:$R$4,2,FALSE)=4,MAX(Table_Query_from_Mac105[[#This Row],[all]:[60/30]]),IF(VLOOKUP(Table_Query_from_Mac105[[#This Row],[loc]],$Q$1:$R$4,2,FALSE)=5,MIN(Table_Query_from_Mac105[[#This Row],[all]:[60/30]]),"broken"))))),0)</f>
        <v>160.11111111111111</v>
      </c>
      <c r="G3" s="26">
        <f>IFERROR(AVERAGE(Table_Query_from_Mac105[[#This Row],[Avg_Qty_60]:[Avg_Qty_14]]),0)</f>
        <v>160.11111111111111</v>
      </c>
      <c r="H3" s="26">
        <f>IFERROR(AVERAGE(Table_Query_from_Mac105[[#This Row],[Avg_Qty_30]:[Avg_Qty_14]]),0)</f>
        <v>180.16666666666669</v>
      </c>
      <c r="I3" s="26">
        <f>IFERROR(AVERAGE(Table_Query_from_Mac105[[#This Row],[Avg_Qty_60]],Table_Query_from_Mac105[[#This Row],[Avg_Qty_14]]),0)</f>
        <v>136.83333333333334</v>
      </c>
      <c r="J3" s="26">
        <f>IFERROR(AVERAGE(Table_Query_from_Mac105[[#This Row],[Avg_Qty_60]],Table_Query_from_Mac105[[#This Row],[Avg_Qty_30]]),0)</f>
        <v>163.33333333333334</v>
      </c>
      <c r="Q3" s="25"/>
      <c r="S3" s="25"/>
      <c r="T3" s="25"/>
    </row>
    <row r="4" spans="1:20" x14ac:dyDescent="0.25">
      <c r="A4" s="26" t="s">
        <v>277</v>
      </c>
      <c r="B4" s="26" t="s">
        <v>285</v>
      </c>
      <c r="C4" s="26">
        <v>260</v>
      </c>
      <c r="D4" s="26">
        <f>Table_Query_from_Mac105[[#This Row],[Avg_Qty_60]]+C5/3</f>
        <v>265</v>
      </c>
      <c r="E4" s="26">
        <f>Table_Query_from_Mac105[[#This Row],[Avg_Qty_30]]-D5/5</f>
        <v>261.8</v>
      </c>
      <c r="F4" s="26">
        <f>IFERROR(IF(VLOOKUP(Table_Query_from_Mac105[[#This Row],[loc]],$Q$1:$R$4,2,FALSE)=1,AVERAGE(Table_Query_from_Mac105[[#This Row],[Avg_Qty_60]:[Avg_Qty_14]]),IF(VLOOKUP(Table_Query_from_Mac105[[#This Row],[loc]],$Q$1:$R$4,2,FALSE)=2,Table_Query_from_Mac105[[#This Row],[30/14]],IF(VLOOKUP(Table_Query_from_Mac105[[#This Row],[loc]],$Q$1:$R$4,2,FALSE)=3,Table_Query_from_Mac105[[#This Row],[60/14]],IF(VLOOKUP(Table_Query_from_Mac105[[#This Row],[loc]],$Q$1:$R$4,2,FALSE)=4,MAX(Table_Query_from_Mac105[[#This Row],[all]:[60/30]]),IF(VLOOKUP(Table_Query_from_Mac105[[#This Row],[loc]],$Q$1:$R$4,2,FALSE)=5,MIN(Table_Query_from_Mac105[[#This Row],[all]:[60/30]]),"broken"))))),0)</f>
        <v>262.26666666666665</v>
      </c>
      <c r="G4" s="26">
        <f>IFERROR(AVERAGE(Table_Query_from_Mac105[[#This Row],[Avg_Qty_60]:[Avg_Qty_14]]),0)</f>
        <v>262.26666666666665</v>
      </c>
      <c r="H4" s="26">
        <f>IFERROR(AVERAGE(Table_Query_from_Mac105[[#This Row],[Avg_Qty_30]:[Avg_Qty_14]]),0)</f>
        <v>263.39999999999998</v>
      </c>
      <c r="I4" s="26">
        <f>IFERROR(AVERAGE(Table_Query_from_Mac105[[#This Row],[Avg_Qty_60]],Table_Query_from_Mac105[[#This Row],[Avg_Qty_14]]),0)</f>
        <v>260.89999999999998</v>
      </c>
      <c r="J4" s="26">
        <f>IFERROR(AVERAGE(Table_Query_from_Mac105[[#This Row],[Avg_Qty_60]],Table_Query_from_Mac105[[#This Row],[Avg_Qty_30]]),0)</f>
        <v>262.5</v>
      </c>
      <c r="S4" s="25"/>
      <c r="T4" s="25"/>
    </row>
    <row r="5" spans="1:20" x14ac:dyDescent="0.25">
      <c r="A5" s="26" t="s">
        <v>278</v>
      </c>
      <c r="B5" s="26" t="s">
        <v>285</v>
      </c>
      <c r="C5" s="26">
        <v>15</v>
      </c>
      <c r="D5" s="26">
        <v>16</v>
      </c>
      <c r="E5" s="26">
        <v>18</v>
      </c>
      <c r="F5" s="26">
        <f>IFERROR(IF(VLOOKUP(Table_Query_from_Mac105[[#This Row],[loc]],$Q$1:$R$4,2,FALSE)=1,AVERAGE(Table_Query_from_Mac105[[#This Row],[Avg_Qty_60]:[Avg_Qty_14]]),IF(VLOOKUP(Table_Query_from_Mac105[[#This Row],[loc]],$Q$1:$R$4,2,FALSE)=2,Table_Query_from_Mac105[[#This Row],[30/14]],IF(VLOOKUP(Table_Query_from_Mac105[[#This Row],[loc]],$Q$1:$R$4,2,FALSE)=3,Table_Query_from_Mac105[[#This Row],[60/14]],IF(VLOOKUP(Table_Query_from_Mac105[[#This Row],[loc]],$Q$1:$R$4,2,FALSE)=4,MAX(Table_Query_from_Mac105[[#This Row],[all]:[60/30]]),IF(VLOOKUP(Table_Query_from_Mac105[[#This Row],[loc]],$Q$1:$R$4,2,FALSE)=5,MIN(Table_Query_from_Mac105[[#This Row],[all]:[60/30]]),"broken"))))),0)</f>
        <v>16.333333333333332</v>
      </c>
      <c r="G5" s="26">
        <f>IFERROR(AVERAGE(Table_Query_from_Mac105[[#This Row],[Avg_Qty_60]:[Avg_Qty_14]]),0)</f>
        <v>16.333333333333332</v>
      </c>
      <c r="H5" s="26">
        <f>IFERROR(AVERAGE(Table_Query_from_Mac105[[#This Row],[Avg_Qty_30]:[Avg_Qty_14]]),0)</f>
        <v>17</v>
      </c>
      <c r="I5" s="26">
        <f>IFERROR(AVERAGE(Table_Query_from_Mac105[[#This Row],[Avg_Qty_60]],Table_Query_from_Mac105[[#This Row],[Avg_Qty_14]]),0)</f>
        <v>16.5</v>
      </c>
      <c r="J5" s="26">
        <f>IFERROR(AVERAGE(Table_Query_from_Mac105[[#This Row],[Avg_Qty_60]],Table_Query_from_Mac105[[#This Row],[Avg_Qty_30]]),0)</f>
        <v>15.5</v>
      </c>
      <c r="Q5" s="25"/>
      <c r="R5" s="25"/>
      <c r="S5" s="25"/>
      <c r="T5" s="25"/>
    </row>
    <row r="6" spans="1:20" x14ac:dyDescent="0.25">
      <c r="A6" s="26" t="s">
        <v>279</v>
      </c>
      <c r="B6" s="26" t="s">
        <v>285</v>
      </c>
      <c r="C6" s="26">
        <v>320</v>
      </c>
      <c r="D6" s="26">
        <f>Table_Query_from_Mac105[[#This Row],[Avg_Qty_60]]+C7/3</f>
        <v>413.33333333333331</v>
      </c>
      <c r="E6" s="26">
        <f>Table_Query_from_Mac105[[#This Row],[Avg_Qty_30]]-D7/5</f>
        <v>355.93333333333334</v>
      </c>
      <c r="F6" s="26">
        <f>IFERROR(IF(VLOOKUP(Table_Query_from_Mac105[[#This Row],[loc]],$Q$1:$R$4,2,FALSE)=1,AVERAGE(Table_Query_from_Mac105[[#This Row],[Avg_Qty_60]:[Avg_Qty_14]]),IF(VLOOKUP(Table_Query_from_Mac105[[#This Row],[loc]],$Q$1:$R$4,2,FALSE)=2,Table_Query_from_Mac105[[#This Row],[30/14]],IF(VLOOKUP(Table_Query_from_Mac105[[#This Row],[loc]],$Q$1:$R$4,2,FALSE)=3,Table_Query_from_Mac105[[#This Row],[60/14]],IF(VLOOKUP(Table_Query_from_Mac105[[#This Row],[loc]],$Q$1:$R$4,2,FALSE)=4,MAX(Table_Query_from_Mac105[[#This Row],[all]:[60/30]]),IF(VLOOKUP(Table_Query_from_Mac105[[#This Row],[loc]],$Q$1:$R$4,2,FALSE)=5,MIN(Table_Query_from_Mac105[[#This Row],[all]:[60/30]]),"broken"))))),0)</f>
        <v>363.0888888888889</v>
      </c>
      <c r="G6" s="26">
        <f>IFERROR(AVERAGE(Table_Query_from_Mac105[[#This Row],[Avg_Qty_60]:[Avg_Qty_14]]),0)</f>
        <v>363.0888888888889</v>
      </c>
      <c r="H6" s="26">
        <f>IFERROR(AVERAGE(Table_Query_from_Mac105[[#This Row],[Avg_Qty_30]:[Avg_Qty_14]]),0)</f>
        <v>384.63333333333333</v>
      </c>
      <c r="I6" s="26">
        <f>IFERROR(AVERAGE(Table_Query_from_Mac105[[#This Row],[Avg_Qty_60]],Table_Query_from_Mac105[[#This Row],[Avg_Qty_14]]),0)</f>
        <v>337.9666666666667</v>
      </c>
      <c r="J6" s="26">
        <f>IFERROR(AVERAGE(Table_Query_from_Mac105[[#This Row],[Avg_Qty_60]],Table_Query_from_Mac105[[#This Row],[Avg_Qty_30]]),0)</f>
        <v>366.66666666666663</v>
      </c>
      <c r="Q6" s="25"/>
      <c r="R6" s="25"/>
      <c r="S6" s="25"/>
      <c r="T6" s="25"/>
    </row>
    <row r="7" spans="1:20" x14ac:dyDescent="0.25">
      <c r="A7" s="26" t="s">
        <v>280</v>
      </c>
      <c r="B7" s="26" t="s">
        <v>285</v>
      </c>
      <c r="C7" s="26">
        <v>280</v>
      </c>
      <c r="D7" s="26">
        <f>Table_Query_from_Mac105[[#This Row],[Avg_Qty_60]]+C8/3</f>
        <v>287</v>
      </c>
      <c r="E7" s="26">
        <f>Table_Query_from_Mac105[[#This Row],[Avg_Qty_30]]-D8/5</f>
        <v>280.39999999999998</v>
      </c>
      <c r="F7" s="26">
        <f>IFERROR(IF(VLOOKUP(Table_Query_from_Mac105[[#This Row],[loc]],$Q$1:$R$4,2,FALSE)=1,AVERAGE(Table_Query_from_Mac105[[#This Row],[Avg_Qty_60]:[Avg_Qty_14]]),IF(VLOOKUP(Table_Query_from_Mac105[[#This Row],[loc]],$Q$1:$R$4,2,FALSE)=2,Table_Query_from_Mac105[[#This Row],[30/14]],IF(VLOOKUP(Table_Query_from_Mac105[[#This Row],[loc]],$Q$1:$R$4,2,FALSE)=3,Table_Query_from_Mac105[[#This Row],[60/14]],IF(VLOOKUP(Table_Query_from_Mac105[[#This Row],[loc]],$Q$1:$R$4,2,FALSE)=4,MAX(Table_Query_from_Mac105[[#This Row],[all]:[60/30]]),IF(VLOOKUP(Table_Query_from_Mac105[[#This Row],[loc]],$Q$1:$R$4,2,FALSE)=5,MIN(Table_Query_from_Mac105[[#This Row],[all]:[60/30]]),"broken"))))),0)</f>
        <v>282.46666666666664</v>
      </c>
      <c r="G7" s="26">
        <f>IFERROR(AVERAGE(Table_Query_from_Mac105[[#This Row],[Avg_Qty_60]:[Avg_Qty_14]]),0)</f>
        <v>282.46666666666664</v>
      </c>
      <c r="H7" s="26">
        <f>IFERROR(AVERAGE(Table_Query_from_Mac105[[#This Row],[Avg_Qty_30]:[Avg_Qty_14]]),0)</f>
        <v>283.7</v>
      </c>
      <c r="I7" s="26">
        <f>IFERROR(AVERAGE(Table_Query_from_Mac105[[#This Row],[Avg_Qty_60]],Table_Query_from_Mac105[[#This Row],[Avg_Qty_14]]),0)</f>
        <v>280.2</v>
      </c>
      <c r="J7" s="26">
        <f>IFERROR(AVERAGE(Table_Query_from_Mac105[[#This Row],[Avg_Qty_60]],Table_Query_from_Mac105[[#This Row],[Avg_Qty_30]]),0)</f>
        <v>283.5</v>
      </c>
      <c r="Q7" s="25"/>
      <c r="R7" s="25"/>
    </row>
    <row r="8" spans="1:20" x14ac:dyDescent="0.25">
      <c r="A8" s="26" t="s">
        <v>281</v>
      </c>
      <c r="B8" s="26" t="s">
        <v>285</v>
      </c>
      <c r="C8" s="26">
        <v>21</v>
      </c>
      <c r="D8" s="26">
        <f>Table_Query_from_Mac105[[#This Row],[Avg_Qty_60]]+C9/3</f>
        <v>33</v>
      </c>
      <c r="E8" s="26">
        <f>Table_Query_from_Mac105[[#This Row],[Avg_Qty_30]]-D9/5</f>
        <v>24.866666666666667</v>
      </c>
      <c r="F8" s="26">
        <f>IFERROR(IF(VLOOKUP(Table_Query_from_Mac105[[#This Row],[loc]],$Q$1:$R$4,2,FALSE)=1,AVERAGE(Table_Query_from_Mac105[[#This Row],[Avg_Qty_60]:[Avg_Qty_14]]),IF(VLOOKUP(Table_Query_from_Mac105[[#This Row],[loc]],$Q$1:$R$4,2,FALSE)=2,Table_Query_from_Mac105[[#This Row],[30/14]],IF(VLOOKUP(Table_Query_from_Mac105[[#This Row],[loc]],$Q$1:$R$4,2,FALSE)=3,Table_Query_from_Mac105[[#This Row],[60/14]],IF(VLOOKUP(Table_Query_from_Mac105[[#This Row],[loc]],$Q$1:$R$4,2,FALSE)=4,MAX(Table_Query_from_Mac105[[#This Row],[all]:[60/30]]),IF(VLOOKUP(Table_Query_from_Mac105[[#This Row],[loc]],$Q$1:$R$4,2,FALSE)=5,MIN(Table_Query_from_Mac105[[#This Row],[all]:[60/30]]),"broken"))))),0)</f>
        <v>26.288888888888891</v>
      </c>
      <c r="G8" s="26">
        <f>IFERROR(AVERAGE(Table_Query_from_Mac105[[#This Row],[Avg_Qty_60]:[Avg_Qty_14]]),0)</f>
        <v>26.288888888888891</v>
      </c>
      <c r="H8" s="26">
        <f>IFERROR(AVERAGE(Table_Query_from_Mac105[[#This Row],[Avg_Qty_30]:[Avg_Qty_14]]),0)</f>
        <v>28.933333333333334</v>
      </c>
      <c r="I8" s="26">
        <f>IFERROR(AVERAGE(Table_Query_from_Mac105[[#This Row],[Avg_Qty_60]],Table_Query_from_Mac105[[#This Row],[Avg_Qty_14]]),0)</f>
        <v>22.933333333333334</v>
      </c>
      <c r="J8" s="26">
        <f>IFERROR(AVERAGE(Table_Query_from_Mac105[[#This Row],[Avg_Qty_60]],Table_Query_from_Mac105[[#This Row],[Avg_Qty_30]]),0)</f>
        <v>27</v>
      </c>
      <c r="Q8" s="25"/>
      <c r="R8" s="25"/>
    </row>
    <row r="9" spans="1:20" x14ac:dyDescent="0.25">
      <c r="A9" s="26" t="s">
        <v>282</v>
      </c>
      <c r="B9" s="26" t="s">
        <v>285</v>
      </c>
      <c r="C9" s="26">
        <v>36</v>
      </c>
      <c r="D9" s="26">
        <f>Table_Query_from_Mac105[[#This Row],[Avg_Qty_60]]+C10/3</f>
        <v>40.666666666666664</v>
      </c>
      <c r="E9" s="26">
        <f>Table_Query_from_Mac105[[#This Row],[Avg_Qty_30]]-D10/5</f>
        <v>36.799999999999997</v>
      </c>
      <c r="F9" s="26">
        <f>IFERROR(IF(VLOOKUP(Table_Query_from_Mac105[[#This Row],[loc]],$Q$1:$R$4,2,FALSE)=1,AVERAGE(Table_Query_from_Mac105[[#This Row],[Avg_Qty_60]:[Avg_Qty_14]]),IF(VLOOKUP(Table_Query_from_Mac105[[#This Row],[loc]],$Q$1:$R$4,2,FALSE)=2,Table_Query_from_Mac105[[#This Row],[30/14]],IF(VLOOKUP(Table_Query_from_Mac105[[#This Row],[loc]],$Q$1:$R$4,2,FALSE)=3,Table_Query_from_Mac105[[#This Row],[60/14]],IF(VLOOKUP(Table_Query_from_Mac105[[#This Row],[loc]],$Q$1:$R$4,2,FALSE)=4,MAX(Table_Query_from_Mac105[[#This Row],[all]:[60/30]]),IF(VLOOKUP(Table_Query_from_Mac105[[#This Row],[loc]],$Q$1:$R$4,2,FALSE)=5,MIN(Table_Query_from_Mac105[[#This Row],[all]:[60/30]]),"broken"))))),0)</f>
        <v>37.822222222222216</v>
      </c>
      <c r="G9" s="26">
        <f>IFERROR(AVERAGE(Table_Query_from_Mac105[[#This Row],[Avg_Qty_60]:[Avg_Qty_14]]),0)</f>
        <v>37.822222222222216</v>
      </c>
      <c r="H9" s="26">
        <f>IFERROR(AVERAGE(Table_Query_from_Mac105[[#This Row],[Avg_Qty_30]:[Avg_Qty_14]]),0)</f>
        <v>38.733333333333334</v>
      </c>
      <c r="I9" s="26">
        <f>IFERROR(AVERAGE(Table_Query_from_Mac105[[#This Row],[Avg_Qty_60]],Table_Query_from_Mac105[[#This Row],[Avg_Qty_14]]),0)</f>
        <v>36.4</v>
      </c>
      <c r="J9" s="26">
        <f>IFERROR(AVERAGE(Table_Query_from_Mac105[[#This Row],[Avg_Qty_60]],Table_Query_from_Mac105[[#This Row],[Avg_Qty_30]]),0)</f>
        <v>38.333333333333329</v>
      </c>
      <c r="Q9" s="25"/>
      <c r="R9" s="25"/>
    </row>
    <row r="10" spans="1:20" x14ac:dyDescent="0.25">
      <c r="A10" s="26" t="s">
        <v>283</v>
      </c>
      <c r="B10" s="26" t="s">
        <v>285</v>
      </c>
      <c r="C10" s="26">
        <v>14</v>
      </c>
      <c r="D10" s="26">
        <f>Table_Query_from_Mac105[[#This Row],[Avg_Qty_60]]+C11/3</f>
        <v>19.333333333333332</v>
      </c>
      <c r="E10" s="26">
        <f>Table_Query_from_Mac105[[#This Row],[Avg_Qty_30]]-D11/5</f>
        <v>14</v>
      </c>
      <c r="F10" s="26">
        <f>IFERROR(IF(VLOOKUP(Table_Query_from_Mac105[[#This Row],[loc]],$Q$1:$R$4,2,FALSE)=1,AVERAGE(Table_Query_from_Mac105[[#This Row],[Avg_Qty_60]:[Avg_Qty_14]]),IF(VLOOKUP(Table_Query_from_Mac105[[#This Row],[loc]],$Q$1:$R$4,2,FALSE)=2,Table_Query_from_Mac105[[#This Row],[30/14]],IF(VLOOKUP(Table_Query_from_Mac105[[#This Row],[loc]],$Q$1:$R$4,2,FALSE)=3,Table_Query_from_Mac105[[#This Row],[60/14]],IF(VLOOKUP(Table_Query_from_Mac105[[#This Row],[loc]],$Q$1:$R$4,2,FALSE)=4,MAX(Table_Query_from_Mac105[[#This Row],[all]:[60/30]]),IF(VLOOKUP(Table_Query_from_Mac105[[#This Row],[loc]],$Q$1:$R$4,2,FALSE)=5,MIN(Table_Query_from_Mac105[[#This Row],[all]:[60/30]]),"broken"))))),0)</f>
        <v>15.777777777777777</v>
      </c>
      <c r="G10" s="26">
        <f>IFERROR(AVERAGE(Table_Query_from_Mac105[[#This Row],[Avg_Qty_60]:[Avg_Qty_14]]),0)</f>
        <v>15.777777777777777</v>
      </c>
      <c r="H10" s="26">
        <f>IFERROR(AVERAGE(Table_Query_from_Mac105[[#This Row],[Avg_Qty_30]:[Avg_Qty_14]]),0)</f>
        <v>16.666666666666664</v>
      </c>
      <c r="I10" s="26">
        <f>IFERROR(AVERAGE(Table_Query_from_Mac105[[#This Row],[Avg_Qty_60]],Table_Query_from_Mac105[[#This Row],[Avg_Qty_14]]),0)</f>
        <v>14</v>
      </c>
      <c r="J10" s="26">
        <f>IFERROR(AVERAGE(Table_Query_from_Mac105[[#This Row],[Avg_Qty_60]],Table_Query_from_Mac105[[#This Row],[Avg_Qty_30]]),0)</f>
        <v>16.666666666666664</v>
      </c>
    </row>
    <row r="11" spans="1:20" x14ac:dyDescent="0.25">
      <c r="A11" s="26" t="s">
        <v>274</v>
      </c>
      <c r="B11" s="26" t="s">
        <v>285</v>
      </c>
      <c r="C11" s="26">
        <v>16</v>
      </c>
      <c r="D11" s="26">
        <f>Table_Query_from_Mac105[[#This Row],[Avg_Qty_60]]+C12/3</f>
        <v>26.666666666666664</v>
      </c>
      <c r="E11" s="26">
        <f>Table_Query_from_Mac105[[#This Row],[Avg_Qty_30]]-D12/5</f>
        <v>20.266666666666666</v>
      </c>
      <c r="F11" s="26">
        <f>IFERROR(IF(VLOOKUP(Table_Query_from_Mac105[[#This Row],[loc]],$Q$1:$R$4,2,FALSE)=1,AVERAGE(Table_Query_from_Mac105[[#This Row],[Avg_Qty_60]:[Avg_Qty_14]]),IF(VLOOKUP(Table_Query_from_Mac105[[#This Row],[loc]],$Q$1:$R$4,2,FALSE)=2,Table_Query_from_Mac105[[#This Row],[30/14]],IF(VLOOKUP(Table_Query_from_Mac105[[#This Row],[loc]],$Q$1:$R$4,2,FALSE)=3,Table_Query_from_Mac105[[#This Row],[60/14]],IF(VLOOKUP(Table_Query_from_Mac105[[#This Row],[loc]],$Q$1:$R$4,2,FALSE)=4,MAX(Table_Query_from_Mac105[[#This Row],[all]:[60/30]]),IF(VLOOKUP(Table_Query_from_Mac105[[#This Row],[loc]],$Q$1:$R$4,2,FALSE)=5,MIN(Table_Query_from_Mac105[[#This Row],[all]:[60/30]]),"broken"))))),0)</f>
        <v>20.977777777777778</v>
      </c>
      <c r="G11" s="26">
        <f>IFERROR(AVERAGE(Table_Query_from_Mac105[[#This Row],[Avg_Qty_60]:[Avg_Qty_14]]),0)</f>
        <v>20.977777777777778</v>
      </c>
      <c r="H11" s="26">
        <f>IFERROR(AVERAGE(Table_Query_from_Mac105[[#This Row],[Avg_Qty_30]:[Avg_Qty_14]]),0)</f>
        <v>23.466666666666665</v>
      </c>
      <c r="I11" s="26">
        <f>IFERROR(AVERAGE(Table_Query_from_Mac105[[#This Row],[Avg_Qty_60]],Table_Query_from_Mac105[[#This Row],[Avg_Qty_14]]),0)</f>
        <v>18.133333333333333</v>
      </c>
      <c r="J11" s="26">
        <f>IFERROR(AVERAGE(Table_Query_from_Mac105[[#This Row],[Avg_Qty_60]],Table_Query_from_Mac105[[#This Row],[Avg_Qty_30]]),0)</f>
        <v>21.333333333333332</v>
      </c>
    </row>
    <row r="12" spans="1:20" x14ac:dyDescent="0.25">
      <c r="A12" s="26" t="s">
        <v>284</v>
      </c>
      <c r="B12" s="26" t="s">
        <v>285</v>
      </c>
      <c r="C12" s="26">
        <v>32</v>
      </c>
      <c r="D12" s="26">
        <f>Table_Query_from_Mac105[[#This Row],[Avg_Qty_60]]+C13/3</f>
        <v>32</v>
      </c>
      <c r="E12" s="26">
        <f>Table_Query_from_Mac105[[#This Row],[Avg_Qty_30]]-D13/5</f>
        <v>32</v>
      </c>
      <c r="F12" s="26">
        <f>IFERROR(IF(VLOOKUP(Table_Query_from_Mac105[[#This Row],[loc]],$Q$1:$R$4,2,FALSE)=1,AVERAGE(Table_Query_from_Mac105[[#This Row],[Avg_Qty_60]:[Avg_Qty_14]]),IF(VLOOKUP(Table_Query_from_Mac105[[#This Row],[loc]],$Q$1:$R$4,2,FALSE)=2,Table_Query_from_Mac105[[#This Row],[30/14]],IF(VLOOKUP(Table_Query_from_Mac105[[#This Row],[loc]],$Q$1:$R$4,2,FALSE)=3,Table_Query_from_Mac105[[#This Row],[60/14]],IF(VLOOKUP(Table_Query_from_Mac105[[#This Row],[loc]],$Q$1:$R$4,2,FALSE)=4,MAX(Table_Query_from_Mac105[[#This Row],[all]:[60/30]]),IF(VLOOKUP(Table_Query_from_Mac105[[#This Row],[loc]],$Q$1:$R$4,2,FALSE)=5,MIN(Table_Query_from_Mac105[[#This Row],[all]:[60/30]]),"broken"))))),0)</f>
        <v>32</v>
      </c>
      <c r="G12" s="26">
        <f>IFERROR(AVERAGE(Table_Query_from_Mac105[[#This Row],[Avg_Qty_60]:[Avg_Qty_14]]),0)</f>
        <v>32</v>
      </c>
      <c r="H12" s="26">
        <f>IFERROR(AVERAGE(Table_Query_from_Mac105[[#This Row],[Avg_Qty_30]:[Avg_Qty_14]]),0)</f>
        <v>32</v>
      </c>
      <c r="I12" s="26">
        <f>IFERROR(AVERAGE(Table_Query_from_Mac105[[#This Row],[Avg_Qty_60]],Table_Query_from_Mac105[[#This Row],[Avg_Qty_14]]),0)</f>
        <v>32</v>
      </c>
      <c r="J12" s="26">
        <f>IFERROR(AVERAGE(Table_Query_from_Mac105[[#This Row],[Avg_Qty_60]],Table_Query_from_Mac105[[#This Row],[Avg_Qty_30]]),0)</f>
        <v>32</v>
      </c>
    </row>
  </sheetData>
  <sheetProtection algorithmName="SHA-512" hashValue="9mn9mFDSI5TwqLW5Nq6kFnVIOdSaVHIQuPkJXWOipnd5qYxAzmY2NnsYPh30aBPOWOMqDQtoSqg2pQIuEN/AyQ==" saltValue="4iWrDTH1HfHcVhmZQnB3uQ==" spinCount="100000" sheet="1" objects="1" scenarios="1"/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C120EAF5F8A4AABCBC2B901ADA70C" ma:contentTypeVersion="12" ma:contentTypeDescription="Create a new document." ma:contentTypeScope="" ma:versionID="ce9dd5772c61064a9ebbf210de658aba">
  <xsd:schema xmlns:xsd="http://www.w3.org/2001/XMLSchema" xmlns:xs="http://www.w3.org/2001/XMLSchema" xmlns:p="http://schemas.microsoft.com/office/2006/metadata/properties" xmlns:ns2="6b7a4050-f60d-4624-a478-98791ac1a8cc" xmlns:ns3="7f9a009d-9dbc-4526-b104-1f30d54e8ae5" targetNamespace="http://schemas.microsoft.com/office/2006/metadata/properties" ma:root="true" ma:fieldsID="cb962960b7d0f3e5e55f8572705a9317" ns2:_="" ns3:_="">
    <xsd:import namespace="6b7a4050-f60d-4624-a478-98791ac1a8cc"/>
    <xsd:import namespace="7f9a009d-9dbc-4526-b104-1f30d54e8ae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a4050-f60d-4624-a478-98791ac1a8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91096fb-f486-4cad-a9b4-738ad8c1332c}" ma:internalName="TaxCatchAll" ma:showField="CatchAllData" ma:web="6b7a4050-f60d-4624-a478-98791ac1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a009d-9dbc-4526-b104-1f30d54e8a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2fbe1d-74b4-4c13-9406-3a5dc48f19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9a009d-9dbc-4526-b104-1f30d54e8ae5">
      <Terms xmlns="http://schemas.microsoft.com/office/infopath/2007/PartnerControls"/>
    </lcf76f155ced4ddcb4097134ff3c332f>
    <TaxCatchAll xmlns="6b7a4050-f60d-4624-a478-98791ac1a8cc" xsi:nil="true"/>
    <SharedWithUsers xmlns="6b7a4050-f60d-4624-a478-98791ac1a8cc">
      <UserInfo>
        <DisplayName>Joe Kaczmarek</DisplayName>
        <AccountId>19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AE9CDAF-8FB0-4F04-A1EC-A7A1AE877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7a4050-f60d-4624-a478-98791ac1a8cc"/>
    <ds:schemaRef ds:uri="7f9a009d-9dbc-4526-b104-1f30d54e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437AC-98CE-4190-9840-6E2D02150B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04136-BDEE-4D15-B6EF-A3EA5BFB0A1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2A54C47-DA10-4653-B1D6-E738FB344A64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f9a009d-9dbc-4526-b104-1f30d54e8ae5"/>
    <ds:schemaRef ds:uri="6b7a4050-f60d-4624-a478-98791ac1a8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Summary</vt:lpstr>
      <vt:lpstr>Dashboard Control</vt:lpstr>
      <vt:lpstr>SummaryBottles</vt:lpstr>
      <vt:lpstr>BOM</vt:lpstr>
      <vt:lpstr>Sales</vt:lpstr>
      <vt:lpstr>Raw-Inventory</vt:lpstr>
      <vt:lpstr>FG-Inventory</vt:lpstr>
      <vt:lpstr>OpenPOs</vt:lpstr>
      <vt:lpstr>Forecast</vt:lpstr>
      <vt:lpstr>BOM!Print_Area</vt:lpstr>
      <vt:lpstr>'Dashboard Control'!Print_Area</vt:lpstr>
      <vt:lpstr>'FG-Inventory'!Print_Area</vt:lpstr>
      <vt:lpstr>Forecast!Print_Area</vt:lpstr>
      <vt:lpstr>OpenPOs!Print_Area</vt:lpstr>
      <vt:lpstr>'Raw-Inventory'!Print_Area</vt:lpstr>
      <vt:lpstr>Sales!Print_Area</vt:lpstr>
      <vt:lpstr>Summary!Print_Area</vt:lpstr>
      <vt:lpstr>SummaryBottles!Print_Area</vt:lpstr>
      <vt:lpstr>Summary!Print_Titles</vt:lpstr>
      <vt:lpstr>SummaryBottles!Print_Titles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Kaczmarek</dc:creator>
  <cp:lastModifiedBy>Joe Kaczmarek</cp:lastModifiedBy>
  <cp:lastPrinted>2023-08-02T16:20:23Z</cp:lastPrinted>
  <dcterms:created xsi:type="dcterms:W3CDTF">2014-07-24T16:51:00Z</dcterms:created>
  <dcterms:modified xsi:type="dcterms:W3CDTF">2024-01-19T21:47:29Z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0x010100CA4C120EAF5F8A4AABCBC2B901ADA70C</vt:lpwstr>
  </property>
  <property fmtid="{D5CDD505-2E9C-101B-9397-08002B2CF9AE}" pid="3" name="MediaServiceImageTags">
    <vt:lpwstr/>
  </property>
</Properties>
</file>