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Lloyd Marks\Documents\Current\PEMBA\DE1\Behn\"/>
    </mc:Choice>
  </mc:AlternateContent>
  <xr:revisionPtr revIDLastSave="0" documentId="8_{B0B5B666-7D7A-48C3-8D2C-D1291734FD5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Sheet1!$A$1:$Z$148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3" i="1" l="1"/>
  <c r="N73" i="1"/>
  <c r="O73" i="1"/>
  <c r="P73" i="1"/>
  <c r="L73" i="1"/>
  <c r="L28" i="1" s="1"/>
  <c r="M28" i="1" s="1"/>
  <c r="N28" i="1" s="1"/>
  <c r="O28" i="1" s="1"/>
  <c r="P28" i="1" s="1"/>
  <c r="N95" i="1" l="1"/>
  <c r="P95" i="1"/>
  <c r="K90" i="1"/>
  <c r="J90" i="1"/>
  <c r="O25" i="1"/>
  <c r="P25" i="1" s="1"/>
  <c r="L63" i="1" l="1"/>
  <c r="M63" i="1" s="1"/>
  <c r="N63" i="1" s="1"/>
  <c r="O63" i="1" s="1"/>
  <c r="P63" i="1" s="1"/>
  <c r="L22" i="1"/>
  <c r="L21" i="1"/>
  <c r="M21" i="1" s="1"/>
  <c r="N21" i="1" s="1"/>
  <c r="O21" i="1" s="1"/>
  <c r="P21" i="1" s="1"/>
  <c r="L23" i="1"/>
  <c r="M23" i="1" s="1"/>
  <c r="N23" i="1" s="1"/>
  <c r="O23" i="1" s="1"/>
  <c r="P23" i="1" s="1"/>
  <c r="L24" i="1"/>
  <c r="M24" i="1" s="1"/>
  <c r="N24" i="1" s="1"/>
  <c r="O24" i="1" s="1"/>
  <c r="P24" i="1" s="1"/>
  <c r="L25" i="1"/>
  <c r="M25" i="1" s="1"/>
  <c r="N25" i="1" s="1"/>
  <c r="L26" i="1"/>
  <c r="M26" i="1" s="1"/>
  <c r="N26" i="1" s="1"/>
  <c r="O26" i="1" s="1"/>
  <c r="P26" i="1" s="1"/>
  <c r="L27" i="1"/>
  <c r="M27" i="1" s="1"/>
  <c r="N27" i="1" s="1"/>
  <c r="O27" i="1" s="1"/>
  <c r="P27" i="1" s="1"/>
  <c r="L20" i="1"/>
  <c r="M20" i="1" s="1"/>
  <c r="N20" i="1" s="1"/>
  <c r="O20" i="1" s="1"/>
  <c r="P20" i="1" s="1"/>
  <c r="L12" i="1"/>
  <c r="M12" i="1" s="1"/>
  <c r="N12" i="1" s="1"/>
  <c r="O12" i="1" s="1"/>
  <c r="P12" i="1" s="1"/>
  <c r="L13" i="1"/>
  <c r="M13" i="1" s="1"/>
  <c r="N13" i="1" s="1"/>
  <c r="O13" i="1" s="1"/>
  <c r="P13" i="1" s="1"/>
  <c r="L14" i="1"/>
  <c r="M14" i="1" s="1"/>
  <c r="N14" i="1" s="1"/>
  <c r="O14" i="1" s="1"/>
  <c r="P14" i="1" s="1"/>
  <c r="L15" i="1"/>
  <c r="M15" i="1" s="1"/>
  <c r="N15" i="1" s="1"/>
  <c r="O15" i="1" s="1"/>
  <c r="P15" i="1" s="1"/>
  <c r="L16" i="1"/>
  <c r="M16" i="1" s="1"/>
  <c r="N16" i="1" s="1"/>
  <c r="O16" i="1" s="1"/>
  <c r="P16" i="1" s="1"/>
  <c r="L17" i="1"/>
  <c r="M17" i="1" s="1"/>
  <c r="N17" i="1" s="1"/>
  <c r="O17" i="1" s="1"/>
  <c r="P17" i="1" s="1"/>
  <c r="L11" i="1"/>
  <c r="M11" i="1" s="1"/>
  <c r="N11" i="1" s="1"/>
  <c r="O11" i="1" s="1"/>
  <c r="P11" i="1" s="1"/>
  <c r="L68" i="1"/>
  <c r="M68" i="1" s="1"/>
  <c r="N68" i="1" s="1"/>
  <c r="O68" i="1" s="1"/>
  <c r="P68" i="1" s="1"/>
  <c r="M69" i="1"/>
  <c r="N69" i="1" s="1"/>
  <c r="O69" i="1" s="1"/>
  <c r="P69" i="1" s="1"/>
  <c r="L70" i="1"/>
  <c r="M70" i="1" s="1"/>
  <c r="L67" i="1"/>
  <c r="M67" i="1" s="1"/>
  <c r="N67" i="1" s="1"/>
  <c r="O67" i="1" s="1"/>
  <c r="P67" i="1" s="1"/>
  <c r="L64" i="1"/>
  <c r="M64" i="1" s="1"/>
  <c r="N64" i="1" s="1"/>
  <c r="O64" i="1" s="1"/>
  <c r="P64" i="1" s="1"/>
  <c r="L65" i="1"/>
  <c r="M65" i="1" s="1"/>
  <c r="N65" i="1" s="1"/>
  <c r="O65" i="1" s="1"/>
  <c r="P65" i="1" s="1"/>
  <c r="L61" i="1"/>
  <c r="M61" i="1" s="1"/>
  <c r="N61" i="1" s="1"/>
  <c r="O61" i="1" s="1"/>
  <c r="P61" i="1" s="1"/>
  <c r="L60" i="1"/>
  <c r="M60" i="1" s="1"/>
  <c r="N60" i="1" s="1"/>
  <c r="O60" i="1" s="1"/>
  <c r="P60" i="1" s="1"/>
  <c r="L50" i="1"/>
  <c r="M50" i="1" s="1"/>
  <c r="N50" i="1" s="1"/>
  <c r="O50" i="1" s="1"/>
  <c r="P50" i="1" s="1"/>
  <c r="L49" i="1"/>
  <c r="M49" i="1" s="1"/>
  <c r="N49" i="1" s="1"/>
  <c r="O49" i="1" s="1"/>
  <c r="P49" i="1" s="1"/>
  <c r="L47" i="1"/>
  <c r="M47" i="1" s="1"/>
  <c r="N47" i="1" s="1"/>
  <c r="O47" i="1" s="1"/>
  <c r="P47" i="1" s="1"/>
  <c r="L46" i="1"/>
  <c r="M46" i="1" s="1"/>
  <c r="N46" i="1" s="1"/>
  <c r="O46" i="1" s="1"/>
  <c r="P46" i="1" s="1"/>
  <c r="L40" i="1"/>
  <c r="M40" i="1" s="1"/>
  <c r="N40" i="1" s="1"/>
  <c r="O40" i="1" s="1"/>
  <c r="P40" i="1" s="1"/>
  <c r="L41" i="1"/>
  <c r="M41" i="1" s="1"/>
  <c r="N41" i="1" s="1"/>
  <c r="O41" i="1" s="1"/>
  <c r="P41" i="1" s="1"/>
  <c r="L39" i="1"/>
  <c r="M39" i="1" s="1"/>
  <c r="N39" i="1" s="1"/>
  <c r="O39" i="1" s="1"/>
  <c r="P39" i="1" s="1"/>
  <c r="L36" i="1"/>
  <c r="M36" i="1" s="1"/>
  <c r="N36" i="1" s="1"/>
  <c r="O36" i="1" s="1"/>
  <c r="P36" i="1" s="1"/>
  <c r="L35" i="1"/>
  <c r="M35" i="1" s="1"/>
  <c r="M22" i="1" l="1"/>
  <c r="L90" i="1"/>
  <c r="M37" i="1"/>
  <c r="M42" i="1" s="1"/>
  <c r="N35" i="1"/>
  <c r="L37" i="1"/>
  <c r="L42" i="1" s="1"/>
  <c r="L62" i="1"/>
  <c r="L66" i="1" s="1"/>
  <c r="L71" i="1" s="1"/>
  <c r="N70" i="1"/>
  <c r="O70" i="1" s="1"/>
  <c r="P70" i="1" s="1"/>
  <c r="M62" i="1"/>
  <c r="M66" i="1" s="1"/>
  <c r="M71" i="1" s="1"/>
  <c r="L86" i="1"/>
  <c r="L94" i="1"/>
  <c r="L96" i="1" s="1"/>
  <c r="L91" i="1"/>
  <c r="L119" i="1"/>
  <c r="L83" i="1"/>
  <c r="L84" i="1"/>
  <c r="M85" i="1"/>
  <c r="K51" i="1"/>
  <c r="J51" i="1"/>
  <c r="I51" i="1"/>
  <c r="K94" i="1"/>
  <c r="K96" i="1" s="1"/>
  <c r="J94" i="1"/>
  <c r="J96" i="1" s="1"/>
  <c r="K91" i="1"/>
  <c r="J91" i="1"/>
  <c r="K82" i="1"/>
  <c r="K83" i="1"/>
  <c r="K84" i="1"/>
  <c r="K85" i="1"/>
  <c r="K86" i="1"/>
  <c r="K87" i="1"/>
  <c r="J87" i="1"/>
  <c r="J86" i="1"/>
  <c r="J85" i="1"/>
  <c r="J84" i="1"/>
  <c r="J83" i="1"/>
  <c r="J82" i="1"/>
  <c r="M72" i="1" l="1"/>
  <c r="M74" i="1"/>
  <c r="L72" i="1"/>
  <c r="L74" i="1"/>
  <c r="N22" i="1"/>
  <c r="M90" i="1"/>
  <c r="O35" i="1"/>
  <c r="N37" i="1"/>
  <c r="N42" i="1" s="1"/>
  <c r="O62" i="1"/>
  <c r="O66" i="1" s="1"/>
  <c r="O71" i="1" s="1"/>
  <c r="P62" i="1"/>
  <c r="P66" i="1" s="1"/>
  <c r="P71" i="1" s="1"/>
  <c r="N62" i="1"/>
  <c r="N66" i="1" s="1"/>
  <c r="N71" i="1" s="1"/>
  <c r="M82" i="1"/>
  <c r="L92" i="1"/>
  <c r="L82" i="1"/>
  <c r="O87" i="1"/>
  <c r="L85" i="1"/>
  <c r="L87" i="1"/>
  <c r="M94" i="1"/>
  <c r="M96" i="1" s="1"/>
  <c r="M83" i="1"/>
  <c r="N94" i="1"/>
  <c r="N96" i="1" s="1"/>
  <c r="O85" i="1"/>
  <c r="N85" i="1"/>
  <c r="N82" i="1"/>
  <c r="N83" i="1"/>
  <c r="M116" i="1"/>
  <c r="M110" i="1"/>
  <c r="L110" i="1"/>
  <c r="M109" i="1"/>
  <c r="L109" i="1"/>
  <c r="L117" i="1"/>
  <c r="L116" i="1"/>
  <c r="L118" i="1"/>
  <c r="L111" i="1"/>
  <c r="K92" i="1"/>
  <c r="J92" i="1"/>
  <c r="N72" i="1" l="1"/>
  <c r="N74" i="1"/>
  <c r="O72" i="1"/>
  <c r="O74" i="1" s="1"/>
  <c r="O22" i="1"/>
  <c r="N90" i="1"/>
  <c r="P72" i="1"/>
  <c r="P74" i="1" s="1"/>
  <c r="O37" i="1"/>
  <c r="O42" i="1" s="1"/>
  <c r="P35" i="1"/>
  <c r="P37" i="1" s="1"/>
  <c r="P42" i="1" s="1"/>
  <c r="L81" i="1"/>
  <c r="L88" i="1" s="1"/>
  <c r="L97" i="1" s="1"/>
  <c r="L48" i="1"/>
  <c r="M48" i="1" s="1"/>
  <c r="N48" i="1" s="1"/>
  <c r="M87" i="1"/>
  <c r="N87" i="1"/>
  <c r="M84" i="1"/>
  <c r="M117" i="1"/>
  <c r="M118" i="1"/>
  <c r="M86" i="1"/>
  <c r="M111" i="1"/>
  <c r="M112" i="1" s="1"/>
  <c r="M91" i="1"/>
  <c r="O83" i="1"/>
  <c r="P83" i="1"/>
  <c r="O82" i="1"/>
  <c r="P82" i="1"/>
  <c r="P85" i="1"/>
  <c r="O94" i="1"/>
  <c r="O96" i="1" s="1"/>
  <c r="P94" i="1"/>
  <c r="P96" i="1" s="1"/>
  <c r="P87" i="1"/>
  <c r="L132" i="1"/>
  <c r="L112" i="1"/>
  <c r="L131" i="1"/>
  <c r="L126" i="1"/>
  <c r="M119" i="1"/>
  <c r="N110" i="1"/>
  <c r="N111" i="1"/>
  <c r="N109" i="1"/>
  <c r="N116" i="1"/>
  <c r="N119" i="1"/>
  <c r="P22" i="1" l="1"/>
  <c r="P90" i="1" s="1"/>
  <c r="O90" i="1"/>
  <c r="L51" i="1"/>
  <c r="L55" i="1"/>
  <c r="L30" i="1" s="1"/>
  <c r="L10" i="1" s="1"/>
  <c r="N86" i="1"/>
  <c r="N84" i="1"/>
  <c r="N117" i="1"/>
  <c r="N91" i="1"/>
  <c r="M81" i="1"/>
  <c r="M92" i="1"/>
  <c r="M131" i="1"/>
  <c r="N118" i="1"/>
  <c r="O119" i="1"/>
  <c r="N112" i="1"/>
  <c r="O110" i="1"/>
  <c r="O116" i="1"/>
  <c r="O109" i="1"/>
  <c r="M126" i="1"/>
  <c r="M132" i="1"/>
  <c r="L120" i="1" l="1"/>
  <c r="L146" i="1" s="1"/>
  <c r="L123" i="1"/>
  <c r="L18" i="1"/>
  <c r="L108" i="1"/>
  <c r="L128" i="1"/>
  <c r="L147" i="1" s="1"/>
  <c r="L124" i="1"/>
  <c r="L125" i="1"/>
  <c r="M88" i="1"/>
  <c r="M97" i="1" s="1"/>
  <c r="N81" i="1"/>
  <c r="N88" i="1" s="1"/>
  <c r="P91" i="1"/>
  <c r="O91" i="1"/>
  <c r="P81" i="1"/>
  <c r="N131" i="1"/>
  <c r="O117" i="1"/>
  <c r="O111" i="1"/>
  <c r="O112" i="1" s="1"/>
  <c r="N92" i="1"/>
  <c r="O86" i="1"/>
  <c r="O118" i="1"/>
  <c r="O84" i="1"/>
  <c r="N132" i="1"/>
  <c r="N126" i="1"/>
  <c r="P116" i="1"/>
  <c r="P109" i="1"/>
  <c r="M51" i="1" l="1"/>
  <c r="L107" i="1"/>
  <c r="L106" i="1"/>
  <c r="P119" i="1"/>
  <c r="O131" i="1"/>
  <c r="P117" i="1"/>
  <c r="M55" i="1"/>
  <c r="M30" i="1" s="1"/>
  <c r="M10" i="1" s="1"/>
  <c r="N97" i="1"/>
  <c r="P86" i="1"/>
  <c r="O81" i="1"/>
  <c r="P118" i="1"/>
  <c r="P111" i="1"/>
  <c r="P92" i="1"/>
  <c r="P110" i="1"/>
  <c r="P84" i="1"/>
  <c r="P88" i="1" s="1"/>
  <c r="O92" i="1"/>
  <c r="P131" i="1"/>
  <c r="O126" i="1"/>
  <c r="O132" i="1"/>
  <c r="O48" i="1" l="1"/>
  <c r="P48" i="1" s="1"/>
  <c r="N51" i="1"/>
  <c r="M123" i="1"/>
  <c r="M120" i="1"/>
  <c r="M146" i="1" s="1"/>
  <c r="P112" i="1"/>
  <c r="P97" i="1"/>
  <c r="O88" i="1"/>
  <c r="O97" i="1" s="1"/>
  <c r="M124" i="1"/>
  <c r="M125" i="1"/>
  <c r="M128" i="1"/>
  <c r="M147" i="1" s="1"/>
  <c r="N55" i="1"/>
  <c r="N30" i="1" s="1"/>
  <c r="N10" i="1" s="1"/>
  <c r="P132" i="1"/>
  <c r="P126" i="1"/>
  <c r="J62" i="1"/>
  <c r="J66" i="1" s="1"/>
  <c r="J132" i="1" s="1"/>
  <c r="J37" i="1"/>
  <c r="J18" i="1"/>
  <c r="J30" i="1" s="1"/>
  <c r="I62" i="1"/>
  <c r="I66" i="1" s="1"/>
  <c r="I37" i="1"/>
  <c r="I42" i="1" s="1"/>
  <c r="I125" i="1" s="1"/>
  <c r="I18" i="1"/>
  <c r="I30" i="1" s="1"/>
  <c r="I128" i="1" s="1"/>
  <c r="I147" i="1" s="1"/>
  <c r="J124" i="1"/>
  <c r="J119" i="1"/>
  <c r="J118" i="1"/>
  <c r="J117" i="1"/>
  <c r="J116" i="1"/>
  <c r="J111" i="1"/>
  <c r="J110" i="1"/>
  <c r="J109" i="1"/>
  <c r="I124" i="1"/>
  <c r="I119" i="1"/>
  <c r="I118" i="1"/>
  <c r="I117" i="1"/>
  <c r="I116" i="1"/>
  <c r="I111" i="1"/>
  <c r="I110" i="1"/>
  <c r="I109" i="1"/>
  <c r="O51" i="1" l="1"/>
  <c r="N18" i="1"/>
  <c r="N108" i="1"/>
  <c r="M18" i="1"/>
  <c r="M108" i="1"/>
  <c r="N123" i="1"/>
  <c r="N120" i="1"/>
  <c r="N146" i="1" s="1"/>
  <c r="O55" i="1"/>
  <c r="O30" i="1" s="1"/>
  <c r="O10" i="1" s="1"/>
  <c r="N124" i="1"/>
  <c r="N128" i="1"/>
  <c r="N147" i="1" s="1"/>
  <c r="N125" i="1"/>
  <c r="I108" i="1"/>
  <c r="J131" i="1"/>
  <c r="I112" i="1"/>
  <c r="J106" i="1"/>
  <c r="J120" i="1"/>
  <c r="J146" i="1" s="1"/>
  <c r="J128" i="1"/>
  <c r="J147" i="1" s="1"/>
  <c r="J107" i="1"/>
  <c r="I131" i="1"/>
  <c r="I106" i="1"/>
  <c r="J108" i="1"/>
  <c r="J126" i="1"/>
  <c r="J42" i="1"/>
  <c r="J71" i="1"/>
  <c r="J74" i="1" s="1"/>
  <c r="J112" i="1"/>
  <c r="I132" i="1"/>
  <c r="I126" i="1"/>
  <c r="I71" i="1"/>
  <c r="I74" i="1" s="1"/>
  <c r="I123" i="1"/>
  <c r="I120" i="1"/>
  <c r="I146" i="1" s="1"/>
  <c r="I107" i="1"/>
  <c r="I55" i="1"/>
  <c r="K62" i="1"/>
  <c r="O18" i="1" l="1"/>
  <c r="P51" i="1"/>
  <c r="P124" i="1" s="1"/>
  <c r="N106" i="1"/>
  <c r="N107" i="1"/>
  <c r="M107" i="1"/>
  <c r="M106" i="1"/>
  <c r="P55" i="1"/>
  <c r="O124" i="1"/>
  <c r="O125" i="1"/>
  <c r="K66" i="1"/>
  <c r="J81" i="1"/>
  <c r="J125" i="1"/>
  <c r="J55" i="1"/>
  <c r="J123" i="1"/>
  <c r="J136" i="1"/>
  <c r="J134" i="1"/>
  <c r="J133" i="1"/>
  <c r="J145" i="1" s="1"/>
  <c r="J148" i="1" s="1"/>
  <c r="J135" i="1"/>
  <c r="I134" i="1"/>
  <c r="I136" i="1"/>
  <c r="I133" i="1"/>
  <c r="I145" i="1" s="1"/>
  <c r="I148" i="1" s="1"/>
  <c r="I135" i="1"/>
  <c r="K124" i="1"/>
  <c r="K119" i="1"/>
  <c r="K118" i="1"/>
  <c r="K117" i="1"/>
  <c r="K116" i="1"/>
  <c r="K111" i="1"/>
  <c r="K110" i="1"/>
  <c r="K109" i="1"/>
  <c r="K37" i="1"/>
  <c r="K18" i="1"/>
  <c r="P30" i="1" l="1"/>
  <c r="P125" i="1"/>
  <c r="K42" i="1"/>
  <c r="K71" i="1"/>
  <c r="K74" i="1" s="1"/>
  <c r="J88" i="1"/>
  <c r="K106" i="1"/>
  <c r="K30" i="1"/>
  <c r="K120" i="1" s="1"/>
  <c r="K146" i="1" s="1"/>
  <c r="K107" i="1"/>
  <c r="K108" i="1"/>
  <c r="K112" i="1"/>
  <c r="K55" i="1"/>
  <c r="K131" i="1"/>
  <c r="P10" i="1" l="1"/>
  <c r="P18" i="1" s="1"/>
  <c r="L133" i="1"/>
  <c r="K125" i="1"/>
  <c r="K128" i="1"/>
  <c r="K147" i="1" s="1"/>
  <c r="K134" i="1"/>
  <c r="J97" i="1"/>
  <c r="J127" i="1"/>
  <c r="K123" i="1"/>
  <c r="K126" i="1"/>
  <c r="K132" i="1"/>
  <c r="L135" i="1" l="1"/>
  <c r="L145" i="1"/>
  <c r="L148" i="1" s="1"/>
  <c r="L134" i="1"/>
  <c r="L136" i="1"/>
  <c r="K136" i="1"/>
  <c r="K81" i="1"/>
  <c r="K135" i="1"/>
  <c r="K133" i="1"/>
  <c r="K145" i="1" s="1"/>
  <c r="K148" i="1" s="1"/>
  <c r="M134" i="1" l="1"/>
  <c r="M133" i="1"/>
  <c r="M135" i="1"/>
  <c r="M136" i="1"/>
  <c r="L127" i="1"/>
  <c r="K88" i="1"/>
  <c r="M145" i="1" l="1"/>
  <c r="M148" i="1" s="1"/>
  <c r="N135" i="1"/>
  <c r="N133" i="1"/>
  <c r="N145" i="1" s="1"/>
  <c r="N148" i="1" s="1"/>
  <c r="N134" i="1"/>
  <c r="N136" i="1"/>
  <c r="M127" i="1"/>
  <c r="K127" i="1"/>
  <c r="K97" i="1"/>
  <c r="N127" i="1" l="1"/>
  <c r="P135" i="1"/>
  <c r="P133" i="1"/>
  <c r="P145" i="1" s="1"/>
  <c r="O135" i="1"/>
  <c r="O133" i="1"/>
  <c r="O145" i="1" s="1"/>
  <c r="P127" i="1" l="1"/>
  <c r="O127" i="1"/>
  <c r="O108" i="1"/>
  <c r="O107" i="1"/>
  <c r="O136" i="1" l="1"/>
  <c r="O106" i="1"/>
  <c r="P106" i="1"/>
  <c r="P107" i="1"/>
  <c r="P108" i="1"/>
  <c r="O123" i="1" l="1"/>
  <c r="O128" i="1"/>
  <c r="O147" i="1" s="1"/>
  <c r="O120" i="1"/>
  <c r="O146" i="1" s="1"/>
  <c r="O134" i="1"/>
  <c r="P134" i="1"/>
  <c r="P128" i="1"/>
  <c r="P147" i="1" s="1"/>
  <c r="P136" i="1"/>
  <c r="P120" i="1"/>
  <c r="P146" i="1" s="1"/>
  <c r="P123" i="1"/>
  <c r="O148" i="1" l="1"/>
  <c r="P148" i="1"/>
</calcChain>
</file>

<file path=xl/sharedStrings.xml><?xml version="1.0" encoding="utf-8"?>
<sst xmlns="http://schemas.openxmlformats.org/spreadsheetml/2006/main" count="150" uniqueCount="134">
  <si>
    <t>Dr. Behn Assignnment</t>
  </si>
  <si>
    <t>ASSETS</t>
  </si>
  <si>
    <t>Current Assets</t>
  </si>
  <si>
    <t>Cash &amp; Cash Equivalents</t>
  </si>
  <si>
    <t>Short Term Investments</t>
  </si>
  <si>
    <t>Accounts Receivable</t>
  </si>
  <si>
    <t>Other Receivables</t>
  </si>
  <si>
    <t>Deferred Income Taxes</t>
  </si>
  <si>
    <t>Prepaid Expenses</t>
  </si>
  <si>
    <t>Other Current Assets</t>
  </si>
  <si>
    <t>Total Current Assets</t>
  </si>
  <si>
    <t>Inventories</t>
  </si>
  <si>
    <t>Long Term Accounts Receivable</t>
  </si>
  <si>
    <t>Long Term Investments</t>
  </si>
  <si>
    <t>Property, Plant and Equipment, Net</t>
  </si>
  <si>
    <t>Goodwill</t>
  </si>
  <si>
    <t>Intangible Assets</t>
  </si>
  <si>
    <t>Other Assets</t>
  </si>
  <si>
    <t>TOTAL ASSETS</t>
  </si>
  <si>
    <t>LIABILITIES &amp; STOCKHOLDERS' EQUITY</t>
  </si>
  <si>
    <t>Current Liabilities</t>
  </si>
  <si>
    <t>Accounts Payable</t>
  </si>
  <si>
    <t>Accrued and Other Liabilities</t>
  </si>
  <si>
    <t>Uncertain Tax Positions</t>
  </si>
  <si>
    <t>Total Current Liabilities</t>
  </si>
  <si>
    <t>Long Term Debt</t>
  </si>
  <si>
    <t>Other (Long Term) Liabilities</t>
  </si>
  <si>
    <t>Shareholder's Equity</t>
  </si>
  <si>
    <t>Preferred stock</t>
  </si>
  <si>
    <t>Common Stock</t>
  </si>
  <si>
    <t>Additional Paid-in Capital</t>
  </si>
  <si>
    <t>Retained Earnings</t>
  </si>
  <si>
    <t>Acumulated other comprehensive loss</t>
  </si>
  <si>
    <t>Treasury Stock</t>
  </si>
  <si>
    <t>Total Shareholder's Equity Before Noncontrolling interest</t>
  </si>
  <si>
    <t>Non-Controlling Interest</t>
  </si>
  <si>
    <t>TOTAL LIABILITIES AND STOCKHOLDER'S EQUITY</t>
  </si>
  <si>
    <t>Total Stockholder's Equity</t>
  </si>
  <si>
    <t>BALANCE SHEET</t>
  </si>
  <si>
    <t>INCOME STATEMENT</t>
  </si>
  <si>
    <t>Net Sales</t>
  </si>
  <si>
    <t>Cost of Sales</t>
  </si>
  <si>
    <t>Gross Profit</t>
  </si>
  <si>
    <t>Selling, General and Administrative</t>
  </si>
  <si>
    <t>Research and Development</t>
  </si>
  <si>
    <t>Special Charges</t>
  </si>
  <si>
    <t>Operating Profit</t>
  </si>
  <si>
    <t>Interest Income</t>
  </si>
  <si>
    <t>Interest Expense</t>
  </si>
  <si>
    <t>Other Expense, Net</t>
  </si>
  <si>
    <t>Income Before Provision for  Income Taxes</t>
  </si>
  <si>
    <t>Provision for Income Taxes</t>
  </si>
  <si>
    <t>Net income (earnings)</t>
  </si>
  <si>
    <t>Total Liabilities</t>
  </si>
  <si>
    <t>Investments in uncosolidated affiliates</t>
  </si>
  <si>
    <t>Liquidity Ratios</t>
  </si>
  <si>
    <t>Current</t>
  </si>
  <si>
    <t>Quick</t>
  </si>
  <si>
    <t>CASH FLOWS</t>
  </si>
  <si>
    <t>Net Cash Provided by Operating Activities</t>
  </si>
  <si>
    <t>Net Cash Used in Investing Activities</t>
  </si>
  <si>
    <t>Net Cash Used in Financing Activities</t>
  </si>
  <si>
    <t>Net Increase in Cash &amp; Cash Equivalents</t>
  </si>
  <si>
    <t>Cash Flow</t>
  </si>
  <si>
    <t>Days Inventory Held</t>
  </si>
  <si>
    <t>Average Collection Period (Days)</t>
  </si>
  <si>
    <t>Cash Conversion Cycle</t>
  </si>
  <si>
    <t>Days Payable Outstanding</t>
  </si>
  <si>
    <t>Activity Ratios</t>
  </si>
  <si>
    <t>Accounts Receivable Turnover</t>
  </si>
  <si>
    <t>Inventory Turnover</t>
  </si>
  <si>
    <t>Accounts Payable Turnover</t>
  </si>
  <si>
    <t>Fixed Asset Turnover</t>
  </si>
  <si>
    <t>Total Asset Turnover</t>
  </si>
  <si>
    <t>Leverage Ratios</t>
  </si>
  <si>
    <t>Debt Ratio</t>
  </si>
  <si>
    <t>Long Term Debt to Total Capitalization</t>
  </si>
  <si>
    <t>Debt to Equity</t>
  </si>
  <si>
    <t>Times Interest Earned</t>
  </si>
  <si>
    <t>Cash Instant Coverage</t>
  </si>
  <si>
    <t>Profitability Ratios</t>
  </si>
  <si>
    <t>Gross Profit Margin</t>
  </si>
  <si>
    <t>Operating Profit Margin</t>
  </si>
  <si>
    <t>Net Profit Margin</t>
  </si>
  <si>
    <t>Return on Investment</t>
  </si>
  <si>
    <t>Return on Equity</t>
  </si>
  <si>
    <t>Financial Leverage</t>
  </si>
  <si>
    <t>Total Asset Turnover x</t>
  </si>
  <si>
    <t>Financial Leverage =</t>
  </si>
  <si>
    <t>DU PONT ANALYSIS</t>
  </si>
  <si>
    <t>Net Profit Margin (Return On Sales)  x</t>
  </si>
  <si>
    <t>Return on Net Worth</t>
  </si>
  <si>
    <t>IP Litigation</t>
  </si>
  <si>
    <t xml:space="preserve">Edwards Lifesciences </t>
  </si>
  <si>
    <t>Net Income</t>
  </si>
  <si>
    <t>Plus Increase in Deferred Tax Liability</t>
  </si>
  <si>
    <t>Minus Increase in Accounts Receivable</t>
  </si>
  <si>
    <t>Minus Increase in Inventory</t>
  </si>
  <si>
    <t>Plus Decrease in Prepaid Expenses</t>
  </si>
  <si>
    <t>Plus Increase in Accounts Payable</t>
  </si>
  <si>
    <t>Minus Decrease in Accrued Liabilities</t>
  </si>
  <si>
    <t>Change in Property, Plant &amp; Equipment</t>
  </si>
  <si>
    <t>Long Term  Debt</t>
  </si>
  <si>
    <t>Net Cash Used for Financing Activities</t>
  </si>
  <si>
    <t>RATIOS</t>
  </si>
  <si>
    <t>Large IP settlement in 2014 - no longer after that date</t>
  </si>
  <si>
    <t>Annual Growth</t>
  </si>
  <si>
    <t>Tax Rate</t>
  </si>
  <si>
    <t>Factory  Purchase in 2015</t>
  </si>
  <si>
    <t>Factory Purchase in 2015 reduces cash</t>
  </si>
  <si>
    <t>New CEO "tightens belt " in 2016</t>
  </si>
  <si>
    <t>Factory purchase in 2015 increases P, P &amp; E</t>
  </si>
  <si>
    <t>Dividend in 2017</t>
  </si>
  <si>
    <t>Dividend in 2017 reduces cash</t>
  </si>
  <si>
    <t>Dividend in 2017 reduces retained earnings</t>
  </si>
  <si>
    <t>New CEO reduces S,G &amp; A in 2016</t>
  </si>
  <si>
    <t>Boost in sales in 2018</t>
  </si>
  <si>
    <t>Boost in sales &amp; COG in 2018</t>
  </si>
  <si>
    <t>Boost in COG in 2018</t>
  </si>
  <si>
    <t>Decrease Accounts receivable in 2019</t>
  </si>
  <si>
    <t>Decrease Accts receivable in 2019</t>
  </si>
  <si>
    <t>Boost in sales and COG in 2019</t>
  </si>
  <si>
    <t>Boost in sales in 2019</t>
  </si>
  <si>
    <t>Boost in COG in 2019</t>
  </si>
  <si>
    <t>Investment in unconsolidated affiliate in 2018</t>
  </si>
  <si>
    <t>Dividend in 2019</t>
  </si>
  <si>
    <t>Dividend in 2019 reduces retined earnings</t>
  </si>
  <si>
    <t>Dividend in 2019 reduces cash</t>
  </si>
  <si>
    <t>ADJUSTABLE PARAMETERS</t>
  </si>
  <si>
    <t>Dividends</t>
  </si>
  <si>
    <t xml:space="preserve">default </t>
  </si>
  <si>
    <t>Depreciation</t>
  </si>
  <si>
    <t>Accumulated Depreciation</t>
  </si>
  <si>
    <t>Half of the factory cost is equipment that is depreciated over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</si>
</sst>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2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3" borderId="1" xfId="2" applyFont="1" applyBorder="1"/>
    <xf numFmtId="2" fontId="4" fillId="3" borderId="1" xfId="2" applyNumberFormat="1" applyFont="1" applyBorder="1"/>
    <xf numFmtId="1" fontId="4" fillId="3" borderId="1" xfId="2" applyNumberFormat="1" applyFont="1" applyBorder="1"/>
    <xf numFmtId="0" fontId="4" fillId="2" borderId="1" xfId="1" applyFont="1" applyBorder="1"/>
    <xf numFmtId="165" fontId="4" fillId="2" borderId="1" xfId="1" applyNumberFormat="1" applyFont="1" applyBorder="1"/>
    <xf numFmtId="164" fontId="4" fillId="2" borderId="1" xfId="1" applyNumberFormat="1" applyFont="1" applyBorder="1"/>
    <xf numFmtId="0" fontId="0" fillId="4" borderId="1" xfId="0" applyFill="1" applyBorder="1"/>
    <xf numFmtId="2" fontId="0" fillId="4" borderId="1" xfId="0" applyNumberFormat="1" applyFill="1" applyBorder="1"/>
    <xf numFmtId="0" fontId="4" fillId="3" borderId="2" xfId="2" applyFont="1" applyBorder="1"/>
    <xf numFmtId="0" fontId="0" fillId="4" borderId="2" xfId="0" applyFill="1" applyBorder="1"/>
    <xf numFmtId="165" fontId="4" fillId="5" borderId="1" xfId="1" applyNumberFormat="1" applyFont="1" applyFill="1" applyBorder="1"/>
    <xf numFmtId="164" fontId="4" fillId="6" borderId="1" xfId="1" applyNumberFormat="1" applyFont="1" applyFill="1" applyBorder="1"/>
    <xf numFmtId="0" fontId="4" fillId="2" borderId="3" xfId="1" applyFont="1" applyBorder="1"/>
    <xf numFmtId="0" fontId="4" fillId="2" borderId="4" xfId="1" applyFont="1" applyBorder="1"/>
    <xf numFmtId="165" fontId="4" fillId="2" borderId="4" xfId="1" applyNumberFormat="1" applyFont="1" applyBorder="1"/>
    <xf numFmtId="0" fontId="4" fillId="2" borderId="5" xfId="1" applyFont="1" applyBorder="1"/>
    <xf numFmtId="0" fontId="4" fillId="2" borderId="6" xfId="1" applyFont="1" applyBorder="1"/>
    <xf numFmtId="0" fontId="4" fillId="2" borderId="7" xfId="1" applyFont="1" applyBorder="1"/>
    <xf numFmtId="0" fontId="4" fillId="2" borderId="8" xfId="1" applyFont="1" applyBorder="1"/>
    <xf numFmtId="0" fontId="4" fillId="2" borderId="9" xfId="1" applyFont="1" applyBorder="1"/>
    <xf numFmtId="165" fontId="4" fillId="2" borderId="9" xfId="1" applyNumberFormat="1" applyFont="1" applyBorder="1"/>
    <xf numFmtId="0" fontId="4" fillId="2" borderId="10" xfId="1" applyFont="1" applyBorder="1"/>
    <xf numFmtId="0" fontId="4" fillId="2" borderId="11" xfId="1" applyFont="1" applyBorder="1"/>
    <xf numFmtId="165" fontId="4" fillId="6" borderId="11" xfId="1" applyNumberFormat="1" applyFont="1" applyFill="1" applyBorder="1"/>
    <xf numFmtId="165" fontId="4" fillId="6" borderId="12" xfId="1" applyNumberFormat="1" applyFont="1" applyFill="1" applyBorder="1"/>
    <xf numFmtId="165" fontId="4" fillId="2" borderId="3" xfId="1" applyNumberFormat="1" applyFont="1" applyBorder="1"/>
    <xf numFmtId="165" fontId="4" fillId="2" borderId="6" xfId="1" applyNumberFormat="1" applyFont="1" applyBorder="1"/>
    <xf numFmtId="165" fontId="4" fillId="2" borderId="7" xfId="1" applyNumberFormat="1" applyFont="1" applyBorder="1"/>
    <xf numFmtId="164" fontId="4" fillId="2" borderId="9" xfId="1" applyNumberFormat="1" applyFont="1" applyBorder="1"/>
    <xf numFmtId="164" fontId="4" fillId="6" borderId="9" xfId="1" applyNumberFormat="1" applyFont="1" applyFill="1" applyBorder="1"/>
    <xf numFmtId="0" fontId="4" fillId="2" borderId="12" xfId="1" applyFont="1" applyBorder="1"/>
    <xf numFmtId="0" fontId="4" fillId="3" borderId="5" xfId="2" applyFont="1" applyBorder="1"/>
    <xf numFmtId="0" fontId="4" fillId="3" borderId="6" xfId="2" applyFont="1" applyBorder="1"/>
    <xf numFmtId="0" fontId="4" fillId="3" borderId="7" xfId="2" applyFont="1" applyBorder="1"/>
    <xf numFmtId="0" fontId="4" fillId="3" borderId="8" xfId="2" applyFont="1" applyBorder="1"/>
    <xf numFmtId="0" fontId="4" fillId="3" borderId="9" xfId="2" applyFont="1" applyBorder="1"/>
    <xf numFmtId="0" fontId="4" fillId="3" borderId="13" xfId="2" applyFont="1" applyBorder="1"/>
    <xf numFmtId="2" fontId="4" fillId="3" borderId="9" xfId="2" applyNumberFormat="1" applyFont="1" applyBorder="1"/>
    <xf numFmtId="1" fontId="4" fillId="3" borderId="9" xfId="2" applyNumberFormat="1" applyFont="1" applyBorder="1"/>
    <xf numFmtId="0" fontId="4" fillId="3" borderId="10" xfId="2" applyFont="1" applyBorder="1"/>
    <xf numFmtId="0" fontId="4" fillId="3" borderId="11" xfId="2" applyFont="1" applyBorder="1"/>
    <xf numFmtId="2" fontId="4" fillId="3" borderId="11" xfId="2" applyNumberFormat="1" applyFont="1" applyBorder="1"/>
    <xf numFmtId="2" fontId="4" fillId="3" borderId="12" xfId="2" applyNumberFormat="1" applyFont="1" applyBorder="1"/>
    <xf numFmtId="0" fontId="3" fillId="4" borderId="5" xfId="0" applyFont="1" applyFill="1" applyBorder="1"/>
    <xf numFmtId="0" fontId="0" fillId="4" borderId="6" xfId="0" applyFill="1" applyBorder="1"/>
    <xf numFmtId="2" fontId="0" fillId="4" borderId="6" xfId="0" applyNumberFormat="1" applyFill="1" applyBorder="1"/>
    <xf numFmtId="2" fontId="0" fillId="4" borderId="7" xfId="0" applyNumberForma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3" xfId="0" applyFill="1" applyBorder="1"/>
    <xf numFmtId="2" fontId="0" fillId="4" borderId="9" xfId="0" applyNumberFormat="1" applyFill="1" applyBorder="1"/>
    <xf numFmtId="0" fontId="0" fillId="4" borderId="10" xfId="0" applyFill="1" applyBorder="1"/>
    <xf numFmtId="0" fontId="0" fillId="4" borderId="11" xfId="0" applyFill="1" applyBorder="1"/>
    <xf numFmtId="2" fontId="0" fillId="4" borderId="11" xfId="0" applyNumberFormat="1" applyFill="1" applyBorder="1"/>
    <xf numFmtId="2" fontId="0" fillId="4" borderId="12" xfId="0" applyNumberFormat="1" applyFill="1" applyBorder="1"/>
    <xf numFmtId="0" fontId="0" fillId="8" borderId="1" xfId="0" applyFill="1" applyBorder="1"/>
    <xf numFmtId="0" fontId="0" fillId="9" borderId="14" xfId="0" applyFill="1" applyBorder="1"/>
    <xf numFmtId="0" fontId="0" fillId="9" borderId="15" xfId="0" applyFill="1" applyBorder="1"/>
    <xf numFmtId="0" fontId="0" fillId="9" borderId="16" xfId="0" applyFill="1" applyBorder="1"/>
    <xf numFmtId="0" fontId="0" fillId="8" borderId="8" xfId="0" applyFill="1" applyBorder="1"/>
    <xf numFmtId="9" fontId="0" fillId="7" borderId="9" xfId="0" applyNumberFormat="1" applyFill="1" applyBorder="1"/>
    <xf numFmtId="0" fontId="0" fillId="7" borderId="9" xfId="0" applyFill="1" applyBorder="1"/>
    <xf numFmtId="1" fontId="0" fillId="7" borderId="9" xfId="0" applyNumberFormat="1" applyFill="1" applyBorder="1"/>
    <xf numFmtId="0" fontId="0" fillId="8" borderId="10" xfId="0" applyFill="1" applyBorder="1"/>
    <xf numFmtId="0" fontId="0" fillId="8" borderId="11" xfId="0" applyFill="1" applyBorder="1"/>
    <xf numFmtId="1" fontId="0" fillId="7" borderId="12" xfId="0" applyNumberFormat="1" applyFill="1" applyBorder="1"/>
    <xf numFmtId="9" fontId="0" fillId="0" borderId="0" xfId="0" applyNumberFormat="1"/>
    <xf numFmtId="0" fontId="4" fillId="2" borderId="17" xfId="1" applyFont="1" applyBorder="1"/>
    <xf numFmtId="164" fontId="4" fillId="5" borderId="3" xfId="1" applyNumberFormat="1" applyFont="1" applyFill="1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8"/>
  <sheetViews>
    <sheetView tabSelected="1" zoomScale="64" zoomScaleNormal="64" workbookViewId="0">
      <selection activeCell="A4" sqref="A4:P148"/>
    </sheetView>
  </sheetViews>
  <sheetFormatPr defaultRowHeight="15" x14ac:dyDescent="0.25"/>
  <cols>
    <col min="1" max="1" width="21.5703125" customWidth="1"/>
    <col min="14" max="14" width="11.140625" customWidth="1"/>
    <col min="15" max="15" width="12.42578125" customWidth="1"/>
    <col min="16" max="16" width="10" bestFit="1" customWidth="1"/>
    <col min="20" max="20" width="11.5703125" customWidth="1"/>
    <col min="21" max="23" width="16.140625" customWidth="1"/>
    <col min="27" max="27" width="12.140625" customWidth="1"/>
  </cols>
  <sheetData>
    <row r="1" spans="1:24" x14ac:dyDescent="0.25">
      <c r="A1" t="s">
        <v>0</v>
      </c>
    </row>
    <row r="2" spans="1:24" x14ac:dyDescent="0.25">
      <c r="A2" s="1">
        <v>42424</v>
      </c>
    </row>
    <row r="3" spans="1:2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4" x14ac:dyDescent="0.25">
      <c r="A4" s="6" t="s">
        <v>93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4" x14ac:dyDescent="0.25">
      <c r="A5" s="6"/>
      <c r="B5" s="6"/>
      <c r="C5" s="6"/>
      <c r="D5" s="6"/>
      <c r="E5" s="6"/>
      <c r="F5" s="6"/>
      <c r="G5" s="6"/>
      <c r="H5" s="6"/>
      <c r="I5" s="6">
        <v>2012</v>
      </c>
      <c r="J5" s="6">
        <v>2013</v>
      </c>
      <c r="K5" s="6">
        <v>2014</v>
      </c>
      <c r="L5" s="6">
        <v>2015</v>
      </c>
      <c r="M5" s="6">
        <v>2016</v>
      </c>
      <c r="N5" s="6">
        <v>2017</v>
      </c>
      <c r="O5" s="6">
        <v>2018</v>
      </c>
      <c r="P5" s="6">
        <v>2019</v>
      </c>
    </row>
    <row r="6" spans="1:24" x14ac:dyDescent="0.25">
      <c r="A6" s="6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4" ht="15.75" thickBo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4" x14ac:dyDescent="0.25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</row>
    <row r="9" spans="1:24" x14ac:dyDescent="0.25">
      <c r="A9" s="21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2"/>
    </row>
    <row r="10" spans="1:24" x14ac:dyDescent="0.25">
      <c r="A10" s="21"/>
      <c r="B10" s="6" t="s">
        <v>3</v>
      </c>
      <c r="C10" s="6"/>
      <c r="D10" s="6"/>
      <c r="E10" s="6"/>
      <c r="F10" s="6"/>
      <c r="G10" s="6"/>
      <c r="H10" s="6"/>
      <c r="I10" s="7">
        <v>310.89999999999998</v>
      </c>
      <c r="J10" s="7">
        <v>420.4</v>
      </c>
      <c r="K10" s="7">
        <v>653.79999999999995</v>
      </c>
      <c r="L10" s="13">
        <f>L30-L27-L26-L24-L23-L22-L21-L20-L17-L16-L15-L14-L13-L12-L11+L28</f>
        <v>662.55400000000031</v>
      </c>
      <c r="M10" s="13">
        <f>M30-M27-M26-M24-M23-M22-M21-M20-M17-M16-M15-M14-M13-M12-M11+M28</f>
        <v>1077.9076900000014</v>
      </c>
      <c r="N10" s="7">
        <f>N30-N27-N26-N24-N23-N22-N21-N20-N17-N16-N15-N14-N13-N12-N11+N28</f>
        <v>501.56845380000073</v>
      </c>
      <c r="O10" s="7">
        <f>O30-O27-O26-O24-O23-O22-O21-O20-O17-O16-O15-O14-O13-O12-O11-O25+O28</f>
        <v>640.3887947074013</v>
      </c>
      <c r="P10" s="13">
        <f>P30-P27-P26-P24-P23-P22-P21-P20-P17-P16-P15-P14-P13-P12-P11-P25+P28</f>
        <v>525.61427738510451</v>
      </c>
      <c r="R10" t="s">
        <v>113</v>
      </c>
      <c r="U10" t="s">
        <v>109</v>
      </c>
      <c r="X10" t="s">
        <v>127</v>
      </c>
    </row>
    <row r="11" spans="1:24" x14ac:dyDescent="0.25">
      <c r="A11" s="21"/>
      <c r="B11" s="6" t="s">
        <v>4</v>
      </c>
      <c r="C11" s="6"/>
      <c r="D11" s="6"/>
      <c r="E11" s="6"/>
      <c r="F11" s="6"/>
      <c r="G11" s="6"/>
      <c r="H11" s="6"/>
      <c r="I11" s="7">
        <v>210.5</v>
      </c>
      <c r="J11" s="7">
        <v>516.5</v>
      </c>
      <c r="K11" s="7">
        <v>785</v>
      </c>
      <c r="L11" s="7">
        <f>K11</f>
        <v>785</v>
      </c>
      <c r="M11" s="7">
        <f t="shared" ref="M11:P11" si="0">L11</f>
        <v>785</v>
      </c>
      <c r="N11" s="7">
        <f t="shared" si="0"/>
        <v>785</v>
      </c>
      <c r="O11" s="7">
        <f t="shared" si="0"/>
        <v>785</v>
      </c>
      <c r="P11" s="7">
        <f t="shared" si="0"/>
        <v>785</v>
      </c>
    </row>
    <row r="12" spans="1:24" x14ac:dyDescent="0.25">
      <c r="A12" s="21"/>
      <c r="B12" s="6" t="s">
        <v>5</v>
      </c>
      <c r="C12" s="6"/>
      <c r="D12" s="6"/>
      <c r="E12" s="6"/>
      <c r="F12" s="6"/>
      <c r="G12" s="6"/>
      <c r="H12" s="6"/>
      <c r="I12" s="7">
        <v>321.10000000000002</v>
      </c>
      <c r="J12" s="7">
        <v>302.5</v>
      </c>
      <c r="K12" s="7">
        <v>288</v>
      </c>
      <c r="L12" s="7">
        <f t="shared" ref="L12:O12" si="1">K12</f>
        <v>288</v>
      </c>
      <c r="M12" s="7">
        <f t="shared" si="1"/>
        <v>288</v>
      </c>
      <c r="N12" s="7">
        <f t="shared" si="1"/>
        <v>288</v>
      </c>
      <c r="O12" s="7">
        <f t="shared" si="1"/>
        <v>288</v>
      </c>
      <c r="P12" s="13">
        <f>O12*(1-W37)</f>
        <v>216</v>
      </c>
      <c r="R12" t="s">
        <v>120</v>
      </c>
    </row>
    <row r="13" spans="1:24" x14ac:dyDescent="0.25">
      <c r="A13" s="21"/>
      <c r="B13" s="6" t="s">
        <v>11</v>
      </c>
      <c r="C13" s="6"/>
      <c r="D13" s="6"/>
      <c r="E13" s="6"/>
      <c r="F13" s="6"/>
      <c r="G13" s="6"/>
      <c r="H13" s="6"/>
      <c r="I13" s="7">
        <v>281</v>
      </c>
      <c r="J13" s="7">
        <v>308.89999999999998</v>
      </c>
      <c r="K13" s="7">
        <v>296.8</v>
      </c>
      <c r="L13" s="7">
        <f t="shared" ref="L13:P13" si="2">K13</f>
        <v>296.8</v>
      </c>
      <c r="M13" s="7">
        <f t="shared" si="2"/>
        <v>296.8</v>
      </c>
      <c r="N13" s="7">
        <f t="shared" si="2"/>
        <v>296.8</v>
      </c>
      <c r="O13" s="7">
        <f t="shared" si="2"/>
        <v>296.8</v>
      </c>
      <c r="P13" s="7">
        <f t="shared" si="2"/>
        <v>296.8</v>
      </c>
    </row>
    <row r="14" spans="1:24" x14ac:dyDescent="0.25">
      <c r="A14" s="21"/>
      <c r="B14" s="6" t="s">
        <v>6</v>
      </c>
      <c r="C14" s="6"/>
      <c r="D14" s="6"/>
      <c r="E14" s="6"/>
      <c r="F14" s="6"/>
      <c r="G14" s="6"/>
      <c r="H14" s="6"/>
      <c r="I14" s="7">
        <v>26.4</v>
      </c>
      <c r="J14" s="7">
        <v>25.5</v>
      </c>
      <c r="K14" s="7">
        <v>37</v>
      </c>
      <c r="L14" s="7">
        <f t="shared" ref="L14:P14" si="3">K14</f>
        <v>37</v>
      </c>
      <c r="M14" s="7">
        <f t="shared" si="3"/>
        <v>37</v>
      </c>
      <c r="N14" s="7">
        <f t="shared" si="3"/>
        <v>37</v>
      </c>
      <c r="O14" s="7">
        <f t="shared" si="3"/>
        <v>37</v>
      </c>
      <c r="P14" s="7">
        <f t="shared" si="3"/>
        <v>37</v>
      </c>
    </row>
    <row r="15" spans="1:24" x14ac:dyDescent="0.25">
      <c r="A15" s="21"/>
      <c r="B15" s="6" t="s">
        <v>7</v>
      </c>
      <c r="C15" s="6"/>
      <c r="D15" s="6"/>
      <c r="E15" s="6"/>
      <c r="F15" s="6"/>
      <c r="G15" s="6"/>
      <c r="H15" s="6"/>
      <c r="I15" s="7">
        <v>43.4</v>
      </c>
      <c r="J15" s="7">
        <v>33.4</v>
      </c>
      <c r="K15" s="7">
        <v>63.5</v>
      </c>
      <c r="L15" s="7">
        <f t="shared" ref="L15:P15" si="4">K15</f>
        <v>63.5</v>
      </c>
      <c r="M15" s="7">
        <f t="shared" si="4"/>
        <v>63.5</v>
      </c>
      <c r="N15" s="7">
        <f t="shared" si="4"/>
        <v>63.5</v>
      </c>
      <c r="O15" s="7">
        <f t="shared" si="4"/>
        <v>63.5</v>
      </c>
      <c r="P15" s="7">
        <f t="shared" si="4"/>
        <v>63.5</v>
      </c>
    </row>
    <row r="16" spans="1:24" x14ac:dyDescent="0.25">
      <c r="A16" s="21"/>
      <c r="B16" s="6" t="s">
        <v>8</v>
      </c>
      <c r="C16" s="6"/>
      <c r="D16" s="6"/>
      <c r="E16" s="6"/>
      <c r="F16" s="6"/>
      <c r="G16" s="6"/>
      <c r="H16" s="6"/>
      <c r="I16" s="7">
        <v>41.6</v>
      </c>
      <c r="J16" s="7">
        <v>46.8</v>
      </c>
      <c r="K16" s="7">
        <v>48.8</v>
      </c>
      <c r="L16" s="7">
        <f t="shared" ref="L16:P16" si="5">K16</f>
        <v>48.8</v>
      </c>
      <c r="M16" s="7">
        <f t="shared" si="5"/>
        <v>48.8</v>
      </c>
      <c r="N16" s="7">
        <f t="shared" si="5"/>
        <v>48.8</v>
      </c>
      <c r="O16" s="7">
        <f t="shared" si="5"/>
        <v>48.8</v>
      </c>
      <c r="P16" s="7">
        <f t="shared" si="5"/>
        <v>48.8</v>
      </c>
    </row>
    <row r="17" spans="1:26" x14ac:dyDescent="0.25">
      <c r="A17" s="21"/>
      <c r="B17" s="6" t="s">
        <v>9</v>
      </c>
      <c r="C17" s="6"/>
      <c r="D17" s="6"/>
      <c r="E17" s="6"/>
      <c r="F17" s="6"/>
      <c r="G17" s="6"/>
      <c r="H17" s="6"/>
      <c r="I17" s="7">
        <v>57</v>
      </c>
      <c r="J17" s="7">
        <v>71.8</v>
      </c>
      <c r="K17" s="7">
        <v>121.7</v>
      </c>
      <c r="L17" s="7">
        <f t="shared" ref="L17:P17" si="6">K17</f>
        <v>121.7</v>
      </c>
      <c r="M17" s="7">
        <f t="shared" si="6"/>
        <v>121.7</v>
      </c>
      <c r="N17" s="7">
        <f t="shared" si="6"/>
        <v>121.7</v>
      </c>
      <c r="O17" s="7">
        <f t="shared" si="6"/>
        <v>121.7</v>
      </c>
      <c r="P17" s="7">
        <f t="shared" si="6"/>
        <v>121.7</v>
      </c>
    </row>
    <row r="18" spans="1:26" x14ac:dyDescent="0.25">
      <c r="A18" s="21" t="s">
        <v>10</v>
      </c>
      <c r="B18" s="6"/>
      <c r="C18" s="6"/>
      <c r="D18" s="6"/>
      <c r="E18" s="6"/>
      <c r="F18" s="6"/>
      <c r="G18" s="6"/>
      <c r="H18" s="6"/>
      <c r="I18" s="7">
        <f t="shared" ref="I18:J18" si="7">SUM(I10:I17)</f>
        <v>1291.9000000000001</v>
      </c>
      <c r="J18" s="7">
        <f t="shared" si="7"/>
        <v>1725.8000000000002</v>
      </c>
      <c r="K18" s="7">
        <f>SUM(K10:K17)</f>
        <v>2294.6</v>
      </c>
      <c r="L18" s="7">
        <f>SUM(L10:L17)</f>
        <v>2303.3540000000003</v>
      </c>
      <c r="M18" s="7">
        <f>SUM(M10:M17)</f>
        <v>2718.7076900000015</v>
      </c>
      <c r="N18" s="7">
        <f t="shared" ref="N18:P18" si="8">SUM(N10:N17)</f>
        <v>2142.3684538000007</v>
      </c>
      <c r="O18" s="7">
        <f t="shared" si="8"/>
        <v>2281.188794707401</v>
      </c>
      <c r="P18" s="7">
        <f t="shared" si="8"/>
        <v>2094.4142773851045</v>
      </c>
    </row>
    <row r="19" spans="1:26" x14ac:dyDescent="0.25">
      <c r="A19" s="21"/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</row>
    <row r="20" spans="1:26" x14ac:dyDescent="0.25">
      <c r="A20" s="21" t="s">
        <v>12</v>
      </c>
      <c r="B20" s="6"/>
      <c r="C20" s="6"/>
      <c r="D20" s="6"/>
      <c r="E20" s="6"/>
      <c r="F20" s="6"/>
      <c r="G20" s="6"/>
      <c r="H20" s="6"/>
      <c r="I20" s="7">
        <v>9.9</v>
      </c>
      <c r="J20" s="7">
        <v>7.3</v>
      </c>
      <c r="K20" s="7">
        <v>5.8</v>
      </c>
      <c r="L20" s="7">
        <f>K20</f>
        <v>5.8</v>
      </c>
      <c r="M20" s="7">
        <f t="shared" ref="M20:P20" si="9">L20</f>
        <v>5.8</v>
      </c>
      <c r="N20" s="7">
        <f t="shared" si="9"/>
        <v>5.8</v>
      </c>
      <c r="O20" s="7">
        <f t="shared" si="9"/>
        <v>5.8</v>
      </c>
      <c r="P20" s="7">
        <f t="shared" si="9"/>
        <v>5.8</v>
      </c>
    </row>
    <row r="21" spans="1:26" x14ac:dyDescent="0.25">
      <c r="A21" s="21" t="s">
        <v>13</v>
      </c>
      <c r="B21" s="6"/>
      <c r="C21" s="6"/>
      <c r="D21" s="6"/>
      <c r="E21" s="6"/>
      <c r="F21" s="6"/>
      <c r="G21" s="6"/>
      <c r="H21" s="6"/>
      <c r="I21" s="7"/>
      <c r="J21" s="7">
        <v>21.9</v>
      </c>
      <c r="K21" s="7">
        <v>240.9</v>
      </c>
      <c r="L21" s="7">
        <f t="shared" ref="L21:P21" si="10">K21</f>
        <v>240.9</v>
      </c>
      <c r="M21" s="7">
        <f t="shared" si="10"/>
        <v>240.9</v>
      </c>
      <c r="N21" s="7">
        <f t="shared" si="10"/>
        <v>240.9</v>
      </c>
      <c r="O21" s="7">
        <f t="shared" si="10"/>
        <v>240.9</v>
      </c>
      <c r="P21" s="7">
        <f t="shared" si="10"/>
        <v>240.9</v>
      </c>
    </row>
    <row r="22" spans="1:26" x14ac:dyDescent="0.25">
      <c r="A22" s="21" t="s">
        <v>14</v>
      </c>
      <c r="B22" s="6"/>
      <c r="C22" s="6"/>
      <c r="D22" s="6"/>
      <c r="E22" s="6"/>
      <c r="F22" s="6"/>
      <c r="G22" s="6"/>
      <c r="H22" s="6"/>
      <c r="I22" s="7">
        <v>373.3</v>
      </c>
      <c r="J22" s="7">
        <v>421.6</v>
      </c>
      <c r="K22" s="7">
        <v>442.9</v>
      </c>
      <c r="L22" s="13">
        <f>K22+W34</f>
        <v>742.9</v>
      </c>
      <c r="M22" s="7">
        <f t="shared" ref="M22:P22" si="11">L22</f>
        <v>742.9</v>
      </c>
      <c r="N22" s="7">
        <f t="shared" si="11"/>
        <v>742.9</v>
      </c>
      <c r="O22" s="7">
        <f t="shared" si="11"/>
        <v>742.9</v>
      </c>
      <c r="P22" s="7">
        <f t="shared" si="11"/>
        <v>742.9</v>
      </c>
      <c r="R22" t="s">
        <v>111</v>
      </c>
    </row>
    <row r="23" spans="1:26" x14ac:dyDescent="0.25">
      <c r="A23" s="21" t="s">
        <v>15</v>
      </c>
      <c r="B23" s="6"/>
      <c r="C23" s="6"/>
      <c r="D23" s="6"/>
      <c r="E23" s="6"/>
      <c r="F23" s="6"/>
      <c r="G23" s="6"/>
      <c r="H23" s="6"/>
      <c r="I23" s="7">
        <v>384.7</v>
      </c>
      <c r="J23" s="7">
        <v>385.4</v>
      </c>
      <c r="K23" s="7">
        <v>376</v>
      </c>
      <c r="L23" s="7">
        <f t="shared" ref="L23:P23" si="12">K23</f>
        <v>376</v>
      </c>
      <c r="M23" s="7">
        <f t="shared" si="12"/>
        <v>376</v>
      </c>
      <c r="N23" s="7">
        <f t="shared" si="12"/>
        <v>376</v>
      </c>
      <c r="O23" s="7">
        <f t="shared" si="12"/>
        <v>376</v>
      </c>
      <c r="P23" s="7">
        <f t="shared" si="12"/>
        <v>376</v>
      </c>
    </row>
    <row r="24" spans="1:26" x14ac:dyDescent="0.25">
      <c r="A24" s="21" t="s">
        <v>16</v>
      </c>
      <c r="B24" s="6"/>
      <c r="C24" s="6"/>
      <c r="D24" s="6"/>
      <c r="E24" s="6"/>
      <c r="F24" s="6"/>
      <c r="G24" s="6"/>
      <c r="H24" s="6"/>
      <c r="I24" s="7">
        <v>67</v>
      </c>
      <c r="J24" s="7">
        <v>33.5</v>
      </c>
      <c r="K24" s="7">
        <v>23.4</v>
      </c>
      <c r="L24" s="7">
        <f t="shared" ref="L24:P24" si="13">K24</f>
        <v>23.4</v>
      </c>
      <c r="M24" s="7">
        <f t="shared" si="13"/>
        <v>23.4</v>
      </c>
      <c r="N24" s="7">
        <f t="shared" si="13"/>
        <v>23.4</v>
      </c>
      <c r="O24" s="7">
        <f t="shared" si="13"/>
        <v>23.4</v>
      </c>
      <c r="P24" s="7">
        <f t="shared" si="13"/>
        <v>23.4</v>
      </c>
    </row>
    <row r="25" spans="1:26" x14ac:dyDescent="0.25">
      <c r="A25" s="21" t="s">
        <v>54</v>
      </c>
      <c r="B25" s="6"/>
      <c r="C25" s="6"/>
      <c r="D25" s="6"/>
      <c r="E25" s="6"/>
      <c r="F25" s="6"/>
      <c r="G25" s="6"/>
      <c r="H25" s="6"/>
      <c r="I25" s="7">
        <v>21.1</v>
      </c>
      <c r="J25" s="7">
        <v>0</v>
      </c>
      <c r="K25" s="7">
        <v>0</v>
      </c>
      <c r="L25" s="7">
        <f t="shared" ref="L25:N25" si="14">K25</f>
        <v>0</v>
      </c>
      <c r="M25" s="7">
        <f t="shared" si="14"/>
        <v>0</v>
      </c>
      <c r="N25" s="7">
        <f t="shared" si="14"/>
        <v>0</v>
      </c>
      <c r="O25" s="13">
        <f>W39</f>
        <v>500</v>
      </c>
      <c r="P25" s="7">
        <f>O25</f>
        <v>500</v>
      </c>
      <c r="R25" t="s">
        <v>124</v>
      </c>
    </row>
    <row r="26" spans="1:26" x14ac:dyDescent="0.25">
      <c r="A26" s="21" t="s">
        <v>7</v>
      </c>
      <c r="B26" s="6"/>
      <c r="C26" s="6"/>
      <c r="D26" s="6"/>
      <c r="E26" s="6"/>
      <c r="F26" s="6"/>
      <c r="G26" s="6"/>
      <c r="H26" s="6"/>
      <c r="I26" s="7">
        <v>47.3</v>
      </c>
      <c r="J26" s="7">
        <v>79</v>
      </c>
      <c r="K26" s="7">
        <v>91.5</v>
      </c>
      <c r="L26" s="7">
        <f t="shared" ref="L26:P26" si="15">K26</f>
        <v>91.5</v>
      </c>
      <c r="M26" s="7">
        <f t="shared" si="15"/>
        <v>91.5</v>
      </c>
      <c r="N26" s="7">
        <f t="shared" si="15"/>
        <v>91.5</v>
      </c>
      <c r="O26" s="7">
        <f t="shared" si="15"/>
        <v>91.5</v>
      </c>
      <c r="P26" s="7">
        <f t="shared" si="15"/>
        <v>91.5</v>
      </c>
    </row>
    <row r="27" spans="1:26" x14ac:dyDescent="0.25">
      <c r="A27" s="21" t="s">
        <v>17</v>
      </c>
      <c r="B27" s="6"/>
      <c r="C27" s="6"/>
      <c r="D27" s="6"/>
      <c r="E27" s="6"/>
      <c r="F27" s="6"/>
      <c r="G27" s="6"/>
      <c r="H27" s="6"/>
      <c r="I27" s="7">
        <v>26.3</v>
      </c>
      <c r="J27" s="7">
        <v>35.4</v>
      </c>
      <c r="K27" s="7">
        <v>49.2</v>
      </c>
      <c r="L27" s="7">
        <f t="shared" ref="L27:P27" si="16">K27</f>
        <v>49.2</v>
      </c>
      <c r="M27" s="7">
        <f t="shared" si="16"/>
        <v>49.2</v>
      </c>
      <c r="N27" s="7">
        <f t="shared" si="16"/>
        <v>49.2</v>
      </c>
      <c r="O27" s="7">
        <f t="shared" si="16"/>
        <v>49.2</v>
      </c>
      <c r="P27" s="7">
        <f t="shared" si="16"/>
        <v>49.2</v>
      </c>
    </row>
    <row r="28" spans="1:26" x14ac:dyDescent="0.25">
      <c r="A28" s="21" t="s">
        <v>132</v>
      </c>
      <c r="B28" s="6"/>
      <c r="C28" s="6"/>
      <c r="D28" s="6"/>
      <c r="E28" s="6"/>
      <c r="F28" s="6"/>
      <c r="G28" s="6"/>
      <c r="H28" s="6"/>
      <c r="I28" s="7"/>
      <c r="J28" s="7"/>
      <c r="K28" s="7"/>
      <c r="L28" s="13">
        <f t="shared" ref="L28" si="17">L73+K73</f>
        <v>15</v>
      </c>
      <c r="M28" s="13">
        <f>L28+L73</f>
        <v>30</v>
      </c>
      <c r="N28" s="13">
        <f t="shared" ref="N28:P28" si="18">M28+M73</f>
        <v>45</v>
      </c>
      <c r="O28" s="13">
        <f t="shared" si="18"/>
        <v>60</v>
      </c>
      <c r="P28" s="13">
        <f t="shared" si="18"/>
        <v>75</v>
      </c>
      <c r="R28" t="s">
        <v>133</v>
      </c>
    </row>
    <row r="29" spans="1:26" ht="15.75" thickBot="1" x14ac:dyDescent="0.3">
      <c r="A29" s="21"/>
      <c r="B29" s="6"/>
      <c r="C29" s="6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</row>
    <row r="30" spans="1:26" ht="15.75" thickBot="1" x14ac:dyDescent="0.3">
      <c r="A30" s="24" t="s">
        <v>18</v>
      </c>
      <c r="B30" s="25"/>
      <c r="C30" s="25"/>
      <c r="D30" s="25"/>
      <c r="E30" s="25"/>
      <c r="F30" s="25"/>
      <c r="G30" s="25"/>
      <c r="H30" s="25"/>
      <c r="I30" s="26">
        <f>SUM(I18:I27)</f>
        <v>2221.5000000000005</v>
      </c>
      <c r="J30" s="26">
        <f>SUM(J18:J27)</f>
        <v>2709.9000000000005</v>
      </c>
      <c r="K30" s="26">
        <f>SUM(K18:K27)</f>
        <v>3524.3</v>
      </c>
      <c r="L30" s="26">
        <f>L55</f>
        <v>3818.0540000000005</v>
      </c>
      <c r="M30" s="26">
        <f>M55</f>
        <v>4218.4076900000018</v>
      </c>
      <c r="N30" s="26">
        <f t="shared" ref="N30:O30" si="19">N55</f>
        <v>3627.068453800001</v>
      </c>
      <c r="O30" s="26">
        <f t="shared" si="19"/>
        <v>4250.8887947074018</v>
      </c>
      <c r="P30" s="26">
        <f>P55</f>
        <v>4049.1142773851047</v>
      </c>
      <c r="R30" s="59" t="s">
        <v>128</v>
      </c>
      <c r="S30" s="60"/>
      <c r="T30" s="60"/>
      <c r="U30" s="60"/>
      <c r="V30" s="60"/>
      <c r="W30" s="61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  <c r="R31" s="62" t="s">
        <v>106</v>
      </c>
      <c r="S31" s="58"/>
      <c r="T31" s="58"/>
      <c r="U31" s="58"/>
      <c r="V31" s="58"/>
      <c r="W31" s="63">
        <v>0.02</v>
      </c>
      <c r="Y31" t="s">
        <v>130</v>
      </c>
      <c r="Z31" s="69">
        <v>0.02</v>
      </c>
    </row>
    <row r="32" spans="1:26" ht="15.75" thickBot="1" x14ac:dyDescent="0.3">
      <c r="A32" s="15"/>
      <c r="B32" s="15"/>
      <c r="C32" s="15"/>
      <c r="D32" s="15"/>
      <c r="E32" s="15"/>
      <c r="F32" s="15"/>
      <c r="G32" s="15"/>
      <c r="H32" s="15"/>
      <c r="I32" s="28"/>
      <c r="J32" s="28"/>
      <c r="K32" s="28"/>
      <c r="L32" s="28"/>
      <c r="M32" s="28"/>
      <c r="N32" s="28"/>
      <c r="O32" s="28"/>
      <c r="P32" s="28"/>
      <c r="R32" s="62" t="s">
        <v>107</v>
      </c>
      <c r="S32" s="58"/>
      <c r="T32" s="58"/>
      <c r="U32" s="58"/>
      <c r="V32" s="58"/>
      <c r="W32" s="63">
        <v>0.25</v>
      </c>
      <c r="Y32" t="s">
        <v>130</v>
      </c>
      <c r="Z32" s="69">
        <v>0.25</v>
      </c>
    </row>
    <row r="33" spans="1:26" x14ac:dyDescent="0.25">
      <c r="A33" s="18" t="s">
        <v>19</v>
      </c>
      <c r="B33" s="19"/>
      <c r="C33" s="19"/>
      <c r="D33" s="19"/>
      <c r="E33" s="19"/>
      <c r="F33" s="19"/>
      <c r="G33" s="19"/>
      <c r="H33" s="19"/>
      <c r="I33" s="29"/>
      <c r="J33" s="29"/>
      <c r="K33" s="29"/>
      <c r="L33" s="29"/>
      <c r="M33" s="29"/>
      <c r="N33" s="29"/>
      <c r="O33" s="29"/>
      <c r="P33" s="29"/>
      <c r="R33" s="62" t="s">
        <v>112</v>
      </c>
      <c r="S33" s="58"/>
      <c r="T33" s="58"/>
      <c r="U33" s="58"/>
      <c r="V33" s="58"/>
      <c r="W33" s="64">
        <v>1000</v>
      </c>
      <c r="Y33" t="s">
        <v>130</v>
      </c>
      <c r="Z33">
        <v>1000</v>
      </c>
    </row>
    <row r="34" spans="1:26" x14ac:dyDescent="0.25">
      <c r="A34" s="21" t="s">
        <v>20</v>
      </c>
      <c r="B34" s="6"/>
      <c r="C34" s="6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R34" s="62" t="s">
        <v>108</v>
      </c>
      <c r="S34" s="58"/>
      <c r="T34" s="58"/>
      <c r="U34" s="58"/>
      <c r="V34" s="58"/>
      <c r="W34" s="64">
        <v>300</v>
      </c>
      <c r="Y34" t="s">
        <v>130</v>
      </c>
      <c r="Z34">
        <v>300</v>
      </c>
    </row>
    <row r="35" spans="1:26" x14ac:dyDescent="0.25">
      <c r="A35" s="21"/>
      <c r="B35" s="6" t="s">
        <v>21</v>
      </c>
      <c r="C35" s="6"/>
      <c r="D35" s="6"/>
      <c r="E35" s="6"/>
      <c r="F35" s="6"/>
      <c r="G35" s="6"/>
      <c r="H35" s="6"/>
      <c r="I35" s="7">
        <v>74.7</v>
      </c>
      <c r="J35" s="7">
        <v>48.4</v>
      </c>
      <c r="K35" s="7">
        <v>58.2</v>
      </c>
      <c r="L35" s="7">
        <f>K35</f>
        <v>58.2</v>
      </c>
      <c r="M35" s="7">
        <f>L35</f>
        <v>58.2</v>
      </c>
      <c r="N35" s="7">
        <f t="shared" ref="N35:P35" si="20">M35</f>
        <v>58.2</v>
      </c>
      <c r="O35" s="7">
        <f t="shared" si="20"/>
        <v>58.2</v>
      </c>
      <c r="P35" s="7">
        <f t="shared" si="20"/>
        <v>58.2</v>
      </c>
      <c r="R35" s="62" t="s">
        <v>110</v>
      </c>
      <c r="S35" s="58"/>
      <c r="T35" s="58"/>
      <c r="U35" s="58"/>
      <c r="V35" s="58"/>
      <c r="W35" s="63">
        <v>0.15</v>
      </c>
      <c r="Y35" t="s">
        <v>130</v>
      </c>
      <c r="Z35" s="69">
        <v>0.15</v>
      </c>
    </row>
    <row r="36" spans="1:26" x14ac:dyDescent="0.25">
      <c r="A36" s="21"/>
      <c r="B36" s="6" t="s">
        <v>22</v>
      </c>
      <c r="C36" s="6"/>
      <c r="D36" s="6"/>
      <c r="E36" s="6"/>
      <c r="F36" s="6"/>
      <c r="G36" s="6"/>
      <c r="H36" s="6"/>
      <c r="I36" s="7">
        <v>272.7</v>
      </c>
      <c r="J36" s="7">
        <v>297.2</v>
      </c>
      <c r="K36" s="7">
        <v>376.2</v>
      </c>
      <c r="L36" s="7">
        <f>K36</f>
        <v>376.2</v>
      </c>
      <c r="M36" s="7">
        <f>L36</f>
        <v>376.2</v>
      </c>
      <c r="N36" s="7">
        <f t="shared" ref="N36:P36" si="21">M36</f>
        <v>376.2</v>
      </c>
      <c r="O36" s="7">
        <f t="shared" si="21"/>
        <v>376.2</v>
      </c>
      <c r="P36" s="7">
        <f t="shared" si="21"/>
        <v>376.2</v>
      </c>
      <c r="R36" s="62" t="s">
        <v>117</v>
      </c>
      <c r="S36" s="58"/>
      <c r="T36" s="58"/>
      <c r="U36" s="58"/>
      <c r="V36" s="58"/>
      <c r="W36" s="63">
        <v>0.15</v>
      </c>
      <c r="Y36" t="s">
        <v>130</v>
      </c>
      <c r="Z36" s="69">
        <v>0.15</v>
      </c>
    </row>
    <row r="37" spans="1:26" x14ac:dyDescent="0.25">
      <c r="A37" s="21" t="s">
        <v>24</v>
      </c>
      <c r="B37" s="6"/>
      <c r="C37" s="6"/>
      <c r="D37" s="6"/>
      <c r="E37" s="6"/>
      <c r="F37" s="6"/>
      <c r="G37" s="6"/>
      <c r="H37" s="6"/>
      <c r="I37" s="7">
        <f>SUM(I35:I36)</f>
        <v>347.4</v>
      </c>
      <c r="J37" s="7">
        <f>SUM(J35:J36)</f>
        <v>345.59999999999997</v>
      </c>
      <c r="K37" s="7">
        <f>SUM(K35:K36)</f>
        <v>434.4</v>
      </c>
      <c r="L37" s="7">
        <f>SUM(L35:L36)</f>
        <v>434.4</v>
      </c>
      <c r="M37" s="7">
        <f>SUM(M35:M36)</f>
        <v>434.4</v>
      </c>
      <c r="N37" s="7">
        <f t="shared" ref="N37:P37" si="22">SUM(N35:N36)</f>
        <v>434.4</v>
      </c>
      <c r="O37" s="7">
        <f t="shared" si="22"/>
        <v>434.4</v>
      </c>
      <c r="P37" s="7">
        <f t="shared" si="22"/>
        <v>434.4</v>
      </c>
      <c r="R37" s="62" t="s">
        <v>119</v>
      </c>
      <c r="S37" s="58"/>
      <c r="T37" s="58"/>
      <c r="U37" s="58"/>
      <c r="V37" s="58"/>
      <c r="W37" s="63">
        <v>0.25</v>
      </c>
      <c r="Y37" t="s">
        <v>130</v>
      </c>
      <c r="Z37" s="69">
        <v>0.25</v>
      </c>
    </row>
    <row r="38" spans="1:26" x14ac:dyDescent="0.25">
      <c r="A38" s="21"/>
      <c r="B38" s="6"/>
      <c r="C38" s="6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R38" s="62" t="s">
        <v>121</v>
      </c>
      <c r="S38" s="58"/>
      <c r="T38" s="58"/>
      <c r="U38" s="58"/>
      <c r="V38" s="58"/>
      <c r="W38" s="63">
        <v>0.1</v>
      </c>
      <c r="Y38" t="s">
        <v>130</v>
      </c>
      <c r="Z38" s="69">
        <v>0.1</v>
      </c>
    </row>
    <row r="39" spans="1:26" x14ac:dyDescent="0.25">
      <c r="A39" s="21" t="s">
        <v>25</v>
      </c>
      <c r="B39" s="6"/>
      <c r="C39" s="6"/>
      <c r="D39" s="6"/>
      <c r="E39" s="6"/>
      <c r="F39" s="6"/>
      <c r="G39" s="6"/>
      <c r="H39" s="6"/>
      <c r="I39" s="7">
        <v>189.3</v>
      </c>
      <c r="J39" s="7">
        <v>593.1</v>
      </c>
      <c r="K39" s="7">
        <v>598.1</v>
      </c>
      <c r="L39" s="7">
        <f>K39</f>
        <v>598.1</v>
      </c>
      <c r="M39" s="7">
        <f>L39</f>
        <v>598.1</v>
      </c>
      <c r="N39" s="7">
        <f t="shared" ref="N39:P39" si="23">M39</f>
        <v>598.1</v>
      </c>
      <c r="O39" s="7">
        <f t="shared" si="23"/>
        <v>598.1</v>
      </c>
      <c r="P39" s="7">
        <f t="shared" si="23"/>
        <v>598.1</v>
      </c>
      <c r="R39" s="62" t="s">
        <v>124</v>
      </c>
      <c r="S39" s="58"/>
      <c r="T39" s="58"/>
      <c r="U39" s="58"/>
      <c r="V39" s="58"/>
      <c r="W39" s="65">
        <v>500</v>
      </c>
      <c r="Y39" t="s">
        <v>130</v>
      </c>
      <c r="Z39">
        <v>500</v>
      </c>
    </row>
    <row r="40" spans="1:26" ht="15.75" thickBot="1" x14ac:dyDescent="0.3">
      <c r="A40" s="21" t="s">
        <v>23</v>
      </c>
      <c r="B40" s="6"/>
      <c r="C40" s="6"/>
      <c r="D40" s="6"/>
      <c r="E40" s="6"/>
      <c r="F40" s="6"/>
      <c r="G40" s="6"/>
      <c r="H40" s="6"/>
      <c r="I40" s="7">
        <v>110.7</v>
      </c>
      <c r="J40" s="7">
        <v>126.4</v>
      </c>
      <c r="K40" s="7">
        <v>194.8</v>
      </c>
      <c r="L40" s="7">
        <f t="shared" ref="L40:M41" si="24">K40</f>
        <v>194.8</v>
      </c>
      <c r="M40" s="7">
        <f t="shared" si="24"/>
        <v>194.8</v>
      </c>
      <c r="N40" s="7">
        <f t="shared" ref="N40:P40" si="25">M40</f>
        <v>194.8</v>
      </c>
      <c r="O40" s="7">
        <f t="shared" si="25"/>
        <v>194.8</v>
      </c>
      <c r="P40" s="7">
        <f t="shared" si="25"/>
        <v>194.8</v>
      </c>
      <c r="R40" s="66" t="s">
        <v>125</v>
      </c>
      <c r="S40" s="67"/>
      <c r="T40" s="67"/>
      <c r="U40" s="67"/>
      <c r="V40" s="67"/>
      <c r="W40" s="68">
        <v>1000</v>
      </c>
      <c r="Y40" t="s">
        <v>130</v>
      </c>
      <c r="Z40">
        <v>1000</v>
      </c>
    </row>
    <row r="41" spans="1:26" x14ac:dyDescent="0.25">
      <c r="A41" s="21" t="s">
        <v>26</v>
      </c>
      <c r="B41" s="6"/>
      <c r="C41" s="6"/>
      <c r="D41" s="6"/>
      <c r="E41" s="6"/>
      <c r="F41" s="6"/>
      <c r="G41" s="6"/>
      <c r="H41" s="6"/>
      <c r="I41" s="7">
        <v>94.8</v>
      </c>
      <c r="J41" s="7">
        <v>100.4</v>
      </c>
      <c r="K41" s="7">
        <v>105.6</v>
      </c>
      <c r="L41" s="7">
        <f t="shared" si="24"/>
        <v>105.6</v>
      </c>
      <c r="M41" s="7">
        <f t="shared" si="24"/>
        <v>105.6</v>
      </c>
      <c r="N41" s="7">
        <f t="shared" ref="N41:P41" si="26">M41</f>
        <v>105.6</v>
      </c>
      <c r="O41" s="7">
        <f t="shared" si="26"/>
        <v>105.6</v>
      </c>
      <c r="P41" s="7">
        <f t="shared" si="26"/>
        <v>105.6</v>
      </c>
      <c r="Z41" s="2"/>
    </row>
    <row r="42" spans="1:26" x14ac:dyDescent="0.25">
      <c r="A42" s="21" t="s">
        <v>53</v>
      </c>
      <c r="B42" s="6"/>
      <c r="C42" s="6"/>
      <c r="D42" s="6"/>
      <c r="E42" s="6"/>
      <c r="F42" s="6"/>
      <c r="G42" s="6"/>
      <c r="H42" s="6"/>
      <c r="I42" s="7">
        <f>SUM(I37:I41)</f>
        <v>742.2</v>
      </c>
      <c r="J42" s="7">
        <f>SUM(J37:J41)</f>
        <v>1165.5000000000002</v>
      </c>
      <c r="K42" s="7">
        <f>SUM(K37:K41)</f>
        <v>1332.8999999999999</v>
      </c>
      <c r="L42" s="7">
        <f>SUM(L37:L41)</f>
        <v>1332.8999999999999</v>
      </c>
      <c r="M42" s="7">
        <f>SUM(M37:M41)</f>
        <v>1332.8999999999999</v>
      </c>
      <c r="N42" s="7">
        <f t="shared" ref="N42:P42" si="27">SUM(N37:N41)</f>
        <v>1332.8999999999999</v>
      </c>
      <c r="O42" s="7">
        <f t="shared" si="27"/>
        <v>1332.8999999999999</v>
      </c>
      <c r="P42" s="7">
        <f t="shared" si="27"/>
        <v>1332.8999999999999</v>
      </c>
    </row>
    <row r="43" spans="1:26" x14ac:dyDescent="0.25">
      <c r="A43" s="21"/>
      <c r="B43" s="6"/>
      <c r="C43" s="6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7"/>
      <c r="P43" s="7"/>
    </row>
    <row r="44" spans="1:26" x14ac:dyDescent="0.25">
      <c r="A44" s="21" t="s">
        <v>27</v>
      </c>
      <c r="B44" s="6"/>
      <c r="C44" s="6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7"/>
      <c r="P44" s="7"/>
    </row>
    <row r="45" spans="1:26" x14ac:dyDescent="0.25">
      <c r="A45" s="21"/>
      <c r="B45" s="6" t="s">
        <v>28</v>
      </c>
      <c r="C45" s="6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7"/>
      <c r="P45" s="7"/>
    </row>
    <row r="46" spans="1:26" x14ac:dyDescent="0.25">
      <c r="A46" s="21"/>
      <c r="B46" s="6" t="s">
        <v>29</v>
      </c>
      <c r="C46" s="6"/>
      <c r="D46" s="6"/>
      <c r="E46" s="6"/>
      <c r="F46" s="6"/>
      <c r="G46" s="6"/>
      <c r="H46" s="6"/>
      <c r="I46" s="7">
        <v>124.2</v>
      </c>
      <c r="J46" s="7">
        <v>126</v>
      </c>
      <c r="K46" s="7">
        <v>128.9</v>
      </c>
      <c r="L46" s="7">
        <f t="shared" ref="L46:M50" si="28">K46</f>
        <v>128.9</v>
      </c>
      <c r="M46" s="7">
        <f t="shared" si="28"/>
        <v>128.9</v>
      </c>
      <c r="N46" s="7">
        <f t="shared" ref="N46:P46" si="29">M46</f>
        <v>128.9</v>
      </c>
      <c r="O46" s="7">
        <f t="shared" si="29"/>
        <v>128.9</v>
      </c>
      <c r="P46" s="7">
        <f t="shared" si="29"/>
        <v>128.9</v>
      </c>
    </row>
    <row r="47" spans="1:26" x14ac:dyDescent="0.25">
      <c r="A47" s="21"/>
      <c r="B47" s="6" t="s">
        <v>30</v>
      </c>
      <c r="C47" s="6"/>
      <c r="D47" s="6"/>
      <c r="E47" s="6"/>
      <c r="F47" s="6"/>
      <c r="G47" s="6"/>
      <c r="H47" s="6"/>
      <c r="I47" s="7">
        <v>489</v>
      </c>
      <c r="J47" s="7">
        <v>671.2</v>
      </c>
      <c r="K47" s="7">
        <v>878.4</v>
      </c>
      <c r="L47" s="7">
        <f t="shared" si="28"/>
        <v>878.4</v>
      </c>
      <c r="M47" s="7">
        <f t="shared" si="28"/>
        <v>878.4</v>
      </c>
      <c r="N47" s="7">
        <f t="shared" ref="N47:P47" si="30">M47</f>
        <v>878.4</v>
      </c>
      <c r="O47" s="7">
        <f t="shared" si="30"/>
        <v>878.4</v>
      </c>
      <c r="P47" s="7">
        <f t="shared" si="30"/>
        <v>878.4</v>
      </c>
    </row>
    <row r="48" spans="1:26" x14ac:dyDescent="0.25">
      <c r="A48" s="21"/>
      <c r="B48" s="6" t="s">
        <v>31</v>
      </c>
      <c r="C48" s="6"/>
      <c r="D48" s="6"/>
      <c r="E48" s="6"/>
      <c r="F48" s="6"/>
      <c r="G48" s="6"/>
      <c r="H48" s="6"/>
      <c r="I48" s="7">
        <v>1653.9</v>
      </c>
      <c r="J48" s="7">
        <v>2030.8</v>
      </c>
      <c r="K48" s="7">
        <v>2841.9</v>
      </c>
      <c r="L48" s="7">
        <f>K48+L74</f>
        <v>3135.6540000000005</v>
      </c>
      <c r="M48" s="7">
        <f>L48+M74</f>
        <v>3536.0076900000008</v>
      </c>
      <c r="N48" s="13">
        <f>M48+N74-W33</f>
        <v>2944.6684538000009</v>
      </c>
      <c r="O48" s="7">
        <f>N48+O74</f>
        <v>3568.4887947074012</v>
      </c>
      <c r="P48" s="13">
        <f>O48+P74-W40</f>
        <v>3366.7142773851047</v>
      </c>
      <c r="R48" t="s">
        <v>114</v>
      </c>
      <c r="V48" t="s">
        <v>126</v>
      </c>
    </row>
    <row r="49" spans="1:21" x14ac:dyDescent="0.25">
      <c r="A49" s="21"/>
      <c r="B49" s="6" t="s">
        <v>32</v>
      </c>
      <c r="C49" s="6"/>
      <c r="D49" s="6"/>
      <c r="E49" s="6"/>
      <c r="F49" s="6"/>
      <c r="G49" s="6"/>
      <c r="H49" s="6"/>
      <c r="I49" s="7">
        <v>-37.9</v>
      </c>
      <c r="J49" s="7">
        <v>-27.6</v>
      </c>
      <c r="K49" s="7">
        <v>-100.9</v>
      </c>
      <c r="L49" s="7">
        <f t="shared" si="28"/>
        <v>-100.9</v>
      </c>
      <c r="M49" s="7">
        <f t="shared" si="28"/>
        <v>-100.9</v>
      </c>
      <c r="N49" s="7">
        <f t="shared" ref="N49:P49" si="31">M49</f>
        <v>-100.9</v>
      </c>
      <c r="O49" s="7">
        <f t="shared" si="31"/>
        <v>-100.9</v>
      </c>
      <c r="P49" s="7">
        <f t="shared" si="31"/>
        <v>-100.9</v>
      </c>
    </row>
    <row r="50" spans="1:21" x14ac:dyDescent="0.25">
      <c r="A50" s="21"/>
      <c r="B50" s="6" t="s">
        <v>33</v>
      </c>
      <c r="C50" s="6"/>
      <c r="D50" s="6"/>
      <c r="E50" s="6"/>
      <c r="F50" s="6"/>
      <c r="G50" s="6"/>
      <c r="H50" s="6"/>
      <c r="I50" s="7">
        <v>-749.9</v>
      </c>
      <c r="J50" s="7">
        <v>-1256</v>
      </c>
      <c r="K50" s="7">
        <v>-1556.9</v>
      </c>
      <c r="L50" s="7">
        <f t="shared" si="28"/>
        <v>-1556.9</v>
      </c>
      <c r="M50" s="7">
        <f t="shared" si="28"/>
        <v>-1556.9</v>
      </c>
      <c r="N50" s="7">
        <f t="shared" ref="N50:P50" si="32">M50</f>
        <v>-1556.9</v>
      </c>
      <c r="O50" s="7">
        <f t="shared" si="32"/>
        <v>-1556.9</v>
      </c>
      <c r="P50" s="7">
        <f t="shared" si="32"/>
        <v>-1556.9</v>
      </c>
    </row>
    <row r="51" spans="1:21" x14ac:dyDescent="0.25">
      <c r="A51" s="21" t="s">
        <v>37</v>
      </c>
      <c r="B51" s="6"/>
      <c r="C51" s="6"/>
      <c r="D51" s="6"/>
      <c r="E51" s="6"/>
      <c r="F51" s="6"/>
      <c r="G51" s="6"/>
      <c r="H51" s="6"/>
      <c r="I51" s="7">
        <f>SUM(I46:I50)</f>
        <v>1479.3000000000002</v>
      </c>
      <c r="J51" s="7">
        <f>SUM(J46:J50)</f>
        <v>1544.4</v>
      </c>
      <c r="K51" s="7">
        <f>SUM(K46:K50)</f>
        <v>2191.3999999999996</v>
      </c>
      <c r="L51" s="7">
        <f>SUM(L46:L50)</f>
        <v>2485.1540000000005</v>
      </c>
      <c r="M51" s="7">
        <f>SUM(M46:M50)</f>
        <v>2885.5076900000008</v>
      </c>
      <c r="N51" s="7">
        <f t="shared" ref="N51:P51" si="33">SUM(N46:N50)</f>
        <v>2294.1684538000009</v>
      </c>
      <c r="O51" s="7">
        <f t="shared" si="33"/>
        <v>2917.9887947074017</v>
      </c>
      <c r="P51" s="7">
        <f t="shared" si="33"/>
        <v>2716.2142773851051</v>
      </c>
    </row>
    <row r="52" spans="1:21" x14ac:dyDescent="0.25">
      <c r="A52" s="21" t="s">
        <v>34</v>
      </c>
      <c r="B52" s="6"/>
      <c r="C52" s="6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7"/>
      <c r="P52" s="23"/>
    </row>
    <row r="53" spans="1:21" x14ac:dyDescent="0.25">
      <c r="A53" s="21" t="s">
        <v>35</v>
      </c>
      <c r="B53" s="6"/>
      <c r="C53" s="6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7"/>
      <c r="P53" s="23"/>
    </row>
    <row r="54" spans="1:21" x14ac:dyDescent="0.25">
      <c r="A54" s="2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2"/>
    </row>
    <row r="55" spans="1:21" ht="15.75" thickBot="1" x14ac:dyDescent="0.3">
      <c r="A55" s="24" t="s">
        <v>36</v>
      </c>
      <c r="B55" s="25"/>
      <c r="C55" s="25"/>
      <c r="D55" s="25"/>
      <c r="E55" s="25"/>
      <c r="F55" s="25"/>
      <c r="G55" s="25"/>
      <c r="H55" s="25"/>
      <c r="I55" s="26">
        <f>(I42+I46+I47+I48+I49+I50)</f>
        <v>2221.5</v>
      </c>
      <c r="J55" s="26">
        <f>(J42+J46+J47+J48+J49+J50)</f>
        <v>2709.9</v>
      </c>
      <c r="K55" s="26">
        <f>(K42+K46+K47+K48+K49+K50)</f>
        <v>3524.3000000000006</v>
      </c>
      <c r="L55" s="26">
        <f>(L42+L46+L47+L48+L49+L50)</f>
        <v>3818.0540000000005</v>
      </c>
      <c r="M55" s="26">
        <f t="shared" ref="M55:P55" si="34">(M42+M46+M47+M48+M49+M50)</f>
        <v>4218.4076900000018</v>
      </c>
      <c r="N55" s="26">
        <f t="shared" si="34"/>
        <v>3627.068453800001</v>
      </c>
      <c r="O55" s="26">
        <f t="shared" si="34"/>
        <v>4250.8887947074018</v>
      </c>
      <c r="P55" s="27">
        <f t="shared" si="34"/>
        <v>4049.1142773851047</v>
      </c>
    </row>
    <row r="56" spans="1:2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21" ht="15.75" thickBot="1" x14ac:dyDescent="0.3">
      <c r="A57" s="15"/>
      <c r="B57" s="15"/>
      <c r="C57" s="15"/>
      <c r="D57" s="15"/>
      <c r="E57" s="15"/>
      <c r="F57" s="15"/>
      <c r="G57" s="15"/>
      <c r="H57" s="15"/>
      <c r="I57" s="28"/>
      <c r="J57" s="28"/>
      <c r="K57" s="28"/>
      <c r="L57" s="28"/>
      <c r="M57" s="28"/>
      <c r="N57" s="28"/>
      <c r="O57" s="28"/>
      <c r="P57" s="28"/>
    </row>
    <row r="58" spans="1:21" x14ac:dyDescent="0.25">
      <c r="A58" s="18" t="s">
        <v>39</v>
      </c>
      <c r="B58" s="19"/>
      <c r="C58" s="19"/>
      <c r="D58" s="19"/>
      <c r="E58" s="19"/>
      <c r="F58" s="19"/>
      <c r="G58" s="19"/>
      <c r="H58" s="19"/>
      <c r="I58" s="29"/>
      <c r="J58" s="29"/>
      <c r="K58" s="29"/>
      <c r="L58" s="29"/>
      <c r="M58" s="29"/>
      <c r="N58" s="29"/>
      <c r="O58" s="29"/>
      <c r="P58" s="30"/>
    </row>
    <row r="59" spans="1:21" x14ac:dyDescent="0.25">
      <c r="A59" s="21"/>
      <c r="B59" s="6"/>
      <c r="C59" s="6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7"/>
      <c r="P59" s="23"/>
    </row>
    <row r="60" spans="1:21" x14ac:dyDescent="0.25">
      <c r="A60" s="21"/>
      <c r="B60" s="6" t="s">
        <v>40</v>
      </c>
      <c r="C60" s="6"/>
      <c r="D60" s="6"/>
      <c r="E60" s="6"/>
      <c r="F60" s="6"/>
      <c r="G60" s="6"/>
      <c r="H60" s="6"/>
      <c r="I60" s="7">
        <v>1899.6</v>
      </c>
      <c r="J60" s="7">
        <v>2045.5</v>
      </c>
      <c r="K60" s="7">
        <v>2322.9</v>
      </c>
      <c r="L60" s="7">
        <f>K60*(1+$W$31)</f>
        <v>2369.3580000000002</v>
      </c>
      <c r="M60" s="7">
        <f>L60*(1+$W$31)</f>
        <v>2416.7451600000004</v>
      </c>
      <c r="N60" s="7">
        <f>(M60*(1+$W$31))</f>
        <v>2465.0800632000005</v>
      </c>
      <c r="O60" s="13">
        <f>(N60*(1+$W$31))*(1+W36)</f>
        <v>2891.5389141336004</v>
      </c>
      <c r="P60" s="13">
        <f>(O60*(1+$W$31))*(1+W38)</f>
        <v>3244.3066616578999</v>
      </c>
      <c r="R60" t="s">
        <v>116</v>
      </c>
      <c r="U60" t="s">
        <v>122</v>
      </c>
    </row>
    <row r="61" spans="1:21" x14ac:dyDescent="0.25">
      <c r="A61" s="21"/>
      <c r="B61" s="6" t="s">
        <v>41</v>
      </c>
      <c r="C61" s="6"/>
      <c r="D61" s="6"/>
      <c r="E61" s="6"/>
      <c r="F61" s="6"/>
      <c r="G61" s="6"/>
      <c r="H61" s="6"/>
      <c r="I61" s="7">
        <v>491</v>
      </c>
      <c r="J61" s="7">
        <v>516.6</v>
      </c>
      <c r="K61" s="7">
        <v>625.6</v>
      </c>
      <c r="L61" s="7">
        <f>K61*(1+$W$31)</f>
        <v>638.11200000000008</v>
      </c>
      <c r="M61" s="7">
        <f>L61*(1+$W$31)</f>
        <v>650.8742400000001</v>
      </c>
      <c r="N61" s="7">
        <f>M61*(1+$W$31)</f>
        <v>663.89172480000013</v>
      </c>
      <c r="O61" s="13">
        <f>(N61*(1+$W$31))*(1+W36)</f>
        <v>778.74499319040001</v>
      </c>
      <c r="P61" s="13">
        <f>(O61*(1+$W$31))*(1+W38)</f>
        <v>873.75188235962889</v>
      </c>
      <c r="R61" t="s">
        <v>118</v>
      </c>
      <c r="U61" t="s">
        <v>123</v>
      </c>
    </row>
    <row r="62" spans="1:21" x14ac:dyDescent="0.25">
      <c r="A62" s="21" t="s">
        <v>42</v>
      </c>
      <c r="B62" s="6"/>
      <c r="C62" s="6"/>
      <c r="D62" s="6"/>
      <c r="E62" s="6"/>
      <c r="F62" s="6"/>
      <c r="G62" s="6"/>
      <c r="H62" s="6"/>
      <c r="I62" s="7">
        <f t="shared" ref="I62:J62" si="35">I60-I61</f>
        <v>1408.6</v>
      </c>
      <c r="J62" s="7">
        <f t="shared" si="35"/>
        <v>1528.9</v>
      </c>
      <c r="K62" s="7">
        <f>K60-K61</f>
        <v>1697.3000000000002</v>
      </c>
      <c r="L62" s="7">
        <f>L60-L61</f>
        <v>1731.2460000000001</v>
      </c>
      <c r="M62" s="7">
        <f t="shared" ref="M62:P62" si="36">M60-M61</f>
        <v>1765.8709200000003</v>
      </c>
      <c r="N62" s="7">
        <f t="shared" si="36"/>
        <v>1801.1883384000002</v>
      </c>
      <c r="O62" s="7">
        <f t="shared" si="36"/>
        <v>2112.7939209432006</v>
      </c>
      <c r="P62" s="7">
        <f t="shared" si="36"/>
        <v>2370.5547792982711</v>
      </c>
    </row>
    <row r="63" spans="1:21" x14ac:dyDescent="0.25">
      <c r="A63" s="21"/>
      <c r="B63" s="6" t="s">
        <v>43</v>
      </c>
      <c r="C63" s="6"/>
      <c r="D63" s="6"/>
      <c r="E63" s="6"/>
      <c r="F63" s="6"/>
      <c r="G63" s="6"/>
      <c r="H63" s="6"/>
      <c r="I63" s="7">
        <v>697.4</v>
      </c>
      <c r="J63" s="7">
        <v>733.4</v>
      </c>
      <c r="K63" s="7">
        <v>858</v>
      </c>
      <c r="L63" s="7">
        <f>(K63*(1+$W$31))</f>
        <v>875.16</v>
      </c>
      <c r="M63" s="13">
        <f>(L63*(1+$W$31))*(1-W35)</f>
        <v>758.76371999999992</v>
      </c>
      <c r="N63" s="7">
        <f t="shared" ref="N63:P65" si="37">M63*(1+$W$31)</f>
        <v>773.93899439999996</v>
      </c>
      <c r="O63" s="7">
        <f t="shared" si="37"/>
        <v>789.41777428799992</v>
      </c>
      <c r="P63" s="7">
        <f t="shared" si="37"/>
        <v>805.20612977375993</v>
      </c>
      <c r="R63" t="s">
        <v>115</v>
      </c>
    </row>
    <row r="64" spans="1:21" x14ac:dyDescent="0.25">
      <c r="A64" s="21"/>
      <c r="B64" s="6" t="s">
        <v>44</v>
      </c>
      <c r="C64" s="6"/>
      <c r="D64" s="6"/>
      <c r="E64" s="6"/>
      <c r="F64" s="6"/>
      <c r="G64" s="6"/>
      <c r="H64" s="6"/>
      <c r="I64" s="7">
        <v>291.3</v>
      </c>
      <c r="J64" s="7">
        <v>323</v>
      </c>
      <c r="K64" s="7">
        <v>346.5</v>
      </c>
      <c r="L64" s="7">
        <f>K64*(1+$W$31)</f>
        <v>353.43</v>
      </c>
      <c r="M64" s="7">
        <f>L64*(1+$W$31)</f>
        <v>360.49860000000001</v>
      </c>
      <c r="N64" s="7">
        <f t="shared" si="37"/>
        <v>367.708572</v>
      </c>
      <c r="O64" s="7">
        <f t="shared" si="37"/>
        <v>375.06274344000002</v>
      </c>
      <c r="P64" s="7">
        <f t="shared" si="37"/>
        <v>382.56399830880002</v>
      </c>
    </row>
    <row r="65" spans="1:18" x14ac:dyDescent="0.25">
      <c r="A65" s="21"/>
      <c r="B65" s="6" t="s">
        <v>45</v>
      </c>
      <c r="C65" s="6"/>
      <c r="D65" s="6"/>
      <c r="E65" s="6"/>
      <c r="F65" s="6"/>
      <c r="G65" s="6"/>
      <c r="H65" s="6"/>
      <c r="I65" s="7">
        <v>16</v>
      </c>
      <c r="J65" s="7">
        <v>16.3</v>
      </c>
      <c r="K65" s="7">
        <v>70.7</v>
      </c>
      <c r="L65" s="7">
        <f>K65*(1+$W$31)</f>
        <v>72.114000000000004</v>
      </c>
      <c r="M65" s="7">
        <f>L65*(1+$W$31)</f>
        <v>73.556280000000001</v>
      </c>
      <c r="N65" s="7">
        <f t="shared" si="37"/>
        <v>75.027405600000009</v>
      </c>
      <c r="O65" s="7">
        <f t="shared" si="37"/>
        <v>76.527953712000013</v>
      </c>
      <c r="P65" s="7">
        <f t="shared" si="37"/>
        <v>78.058512786240016</v>
      </c>
    </row>
    <row r="66" spans="1:18" x14ac:dyDescent="0.25">
      <c r="A66" s="21" t="s">
        <v>46</v>
      </c>
      <c r="B66" s="6"/>
      <c r="C66" s="6"/>
      <c r="D66" s="6"/>
      <c r="E66" s="6"/>
      <c r="F66" s="6"/>
      <c r="G66" s="6"/>
      <c r="H66" s="6"/>
      <c r="I66" s="7">
        <f>I62-I63-I64-I65</f>
        <v>403.89999999999992</v>
      </c>
      <c r="J66" s="7">
        <f>J62-J63-J64-J65</f>
        <v>456.2000000000001</v>
      </c>
      <c r="K66" s="7">
        <f>K62-K63-K64-K65</f>
        <v>422.10000000000019</v>
      </c>
      <c r="L66" s="7">
        <f>L62-L63-L64-L65</f>
        <v>430.54200000000014</v>
      </c>
      <c r="M66" s="7">
        <f t="shared" ref="M66:P66" si="38">M62-M63-M64-M65</f>
        <v>573.05232000000035</v>
      </c>
      <c r="N66" s="7">
        <f t="shared" si="38"/>
        <v>584.51336640000022</v>
      </c>
      <c r="O66" s="7">
        <f t="shared" si="38"/>
        <v>871.78544950320065</v>
      </c>
      <c r="P66" s="7">
        <f t="shared" si="38"/>
        <v>1104.7261384294711</v>
      </c>
    </row>
    <row r="67" spans="1:18" x14ac:dyDescent="0.25">
      <c r="A67" s="21"/>
      <c r="B67" s="6" t="s">
        <v>47</v>
      </c>
      <c r="C67" s="6"/>
      <c r="D67" s="6"/>
      <c r="E67" s="6"/>
      <c r="F67" s="6"/>
      <c r="G67" s="6"/>
      <c r="H67" s="6"/>
      <c r="I67" s="7">
        <v>-4.8</v>
      </c>
      <c r="J67" s="7">
        <v>-4.5999999999999996</v>
      </c>
      <c r="K67" s="7">
        <v>-6.4</v>
      </c>
      <c r="L67" s="7">
        <f t="shared" ref="L67:P68" si="39">K67*(1+$W$31)</f>
        <v>-6.5280000000000005</v>
      </c>
      <c r="M67" s="7">
        <f t="shared" si="39"/>
        <v>-6.6585600000000005</v>
      </c>
      <c r="N67" s="7">
        <f t="shared" si="39"/>
        <v>-6.791731200000001</v>
      </c>
      <c r="O67" s="7">
        <f t="shared" si="39"/>
        <v>-6.9275658240000011</v>
      </c>
      <c r="P67" s="7">
        <f t="shared" si="39"/>
        <v>-7.0661171404800012</v>
      </c>
    </row>
    <row r="68" spans="1:18" x14ac:dyDescent="0.25">
      <c r="A68" s="21"/>
      <c r="B68" s="6" t="s">
        <v>48</v>
      </c>
      <c r="C68" s="6"/>
      <c r="D68" s="6"/>
      <c r="E68" s="6"/>
      <c r="F68" s="6"/>
      <c r="G68" s="6"/>
      <c r="H68" s="6"/>
      <c r="I68" s="7">
        <v>4.4000000000000004</v>
      </c>
      <c r="J68" s="7">
        <v>9.8000000000000007</v>
      </c>
      <c r="K68" s="7">
        <v>17.2</v>
      </c>
      <c r="L68" s="7">
        <f t="shared" si="39"/>
        <v>17.544</v>
      </c>
      <c r="M68" s="7">
        <f t="shared" si="39"/>
        <v>17.894880000000001</v>
      </c>
      <c r="N68" s="7">
        <f t="shared" si="39"/>
        <v>18.252777600000002</v>
      </c>
      <c r="O68" s="7">
        <f t="shared" si="39"/>
        <v>18.617833152000003</v>
      </c>
      <c r="P68" s="7">
        <f t="shared" si="39"/>
        <v>18.990189815040004</v>
      </c>
    </row>
    <row r="69" spans="1:18" x14ac:dyDescent="0.25">
      <c r="A69" s="21"/>
      <c r="B69" s="6" t="s">
        <v>92</v>
      </c>
      <c r="C69" s="6"/>
      <c r="D69" s="6"/>
      <c r="E69" s="6"/>
      <c r="F69" s="6"/>
      <c r="G69" s="6"/>
      <c r="H69" s="6"/>
      <c r="I69" s="7">
        <v>14.4</v>
      </c>
      <c r="J69" s="7">
        <v>-61.5</v>
      </c>
      <c r="K69" s="7">
        <v>-740.4</v>
      </c>
      <c r="L69" s="13">
        <v>0</v>
      </c>
      <c r="M69" s="13">
        <f t="shared" ref="M69:P70" si="40">L69*(1+$W$31)</f>
        <v>0</v>
      </c>
      <c r="N69" s="13">
        <f t="shared" si="40"/>
        <v>0</v>
      </c>
      <c r="O69" s="13">
        <f t="shared" si="40"/>
        <v>0</v>
      </c>
      <c r="P69" s="13">
        <f t="shared" si="40"/>
        <v>0</v>
      </c>
      <c r="R69" t="s">
        <v>105</v>
      </c>
    </row>
    <row r="70" spans="1:18" x14ac:dyDescent="0.25">
      <c r="A70" s="21"/>
      <c r="B70" s="6" t="s">
        <v>49</v>
      </c>
      <c r="C70" s="6"/>
      <c r="D70" s="6"/>
      <c r="E70" s="6"/>
      <c r="F70" s="6"/>
      <c r="G70" s="6"/>
      <c r="H70" s="6"/>
      <c r="I70" s="7">
        <v>1.7</v>
      </c>
      <c r="J70" s="7">
        <v>1.3</v>
      </c>
      <c r="K70" s="8">
        <v>7.7</v>
      </c>
      <c r="L70" s="7">
        <f>K70*(1+$W$31)</f>
        <v>7.8540000000000001</v>
      </c>
      <c r="M70" s="7">
        <f t="shared" si="40"/>
        <v>8.0110799999999998</v>
      </c>
      <c r="N70" s="7">
        <f t="shared" si="40"/>
        <v>8.1713015999999996</v>
      </c>
      <c r="O70" s="7">
        <f t="shared" si="40"/>
        <v>8.3347276319999999</v>
      </c>
      <c r="P70" s="7">
        <f t="shared" si="40"/>
        <v>8.5014221846400009</v>
      </c>
    </row>
    <row r="71" spans="1:18" x14ac:dyDescent="0.25">
      <c r="A71" s="21"/>
      <c r="B71" s="6" t="s">
        <v>50</v>
      </c>
      <c r="C71" s="6"/>
      <c r="D71" s="6"/>
      <c r="E71" s="6"/>
      <c r="F71" s="6"/>
      <c r="G71" s="6"/>
      <c r="H71" s="6"/>
      <c r="I71" s="7">
        <f t="shared" ref="I71:P71" si="41">I66-I67-I68-I69-I70</f>
        <v>388.2</v>
      </c>
      <c r="J71" s="7">
        <f t="shared" si="41"/>
        <v>511.2000000000001</v>
      </c>
      <c r="K71" s="7">
        <f t="shared" si="41"/>
        <v>1144.0000000000002</v>
      </c>
      <c r="L71" s="7">
        <f t="shared" si="41"/>
        <v>411.6720000000002</v>
      </c>
      <c r="M71" s="7">
        <f t="shared" si="41"/>
        <v>553.80492000000027</v>
      </c>
      <c r="N71" s="7">
        <f t="shared" si="41"/>
        <v>564.88101840000024</v>
      </c>
      <c r="O71" s="7">
        <f t="shared" si="41"/>
        <v>851.76045454320069</v>
      </c>
      <c r="P71" s="7">
        <f t="shared" si="41"/>
        <v>1084.3006435702712</v>
      </c>
    </row>
    <row r="72" spans="1:18" x14ac:dyDescent="0.25">
      <c r="A72" s="21"/>
      <c r="B72" s="6" t="s">
        <v>51</v>
      </c>
      <c r="C72" s="6"/>
      <c r="D72" s="6"/>
      <c r="E72" s="6"/>
      <c r="F72" s="6"/>
      <c r="G72" s="6"/>
      <c r="H72" s="6"/>
      <c r="I72" s="7">
        <v>96.7</v>
      </c>
      <c r="J72" s="7">
        <v>122.1</v>
      </c>
      <c r="K72" s="7">
        <v>332.9</v>
      </c>
      <c r="L72" s="8">
        <f>L71*$W$32</f>
        <v>102.91800000000005</v>
      </c>
      <c r="M72" s="8">
        <f>M71*$W$32</f>
        <v>138.45123000000007</v>
      </c>
      <c r="N72" s="8">
        <f>N71*$W$32</f>
        <v>141.22025460000006</v>
      </c>
      <c r="O72" s="8">
        <f>O71*$W$32</f>
        <v>212.94011363580017</v>
      </c>
      <c r="P72" s="8">
        <f>P71*$W$32</f>
        <v>271.07516089256779</v>
      </c>
    </row>
    <row r="73" spans="1:18" x14ac:dyDescent="0.25">
      <c r="A73" s="70"/>
      <c r="B73" s="15" t="s">
        <v>131</v>
      </c>
      <c r="C73" s="15"/>
      <c r="D73" s="15"/>
      <c r="E73" s="15"/>
      <c r="F73" s="15"/>
      <c r="G73" s="15"/>
      <c r="H73" s="15"/>
      <c r="I73" s="28"/>
      <c r="J73" s="28"/>
      <c r="K73" s="28"/>
      <c r="L73" s="71">
        <f>0.05*$W$34</f>
        <v>15</v>
      </c>
      <c r="M73" s="71">
        <f t="shared" ref="M73:P73" si="42">0.05*$W$34</f>
        <v>15</v>
      </c>
      <c r="N73" s="71">
        <f t="shared" si="42"/>
        <v>15</v>
      </c>
      <c r="O73" s="71">
        <f t="shared" si="42"/>
        <v>15</v>
      </c>
      <c r="P73" s="71">
        <f t="shared" si="42"/>
        <v>15</v>
      </c>
      <c r="R73" t="s">
        <v>133</v>
      </c>
    </row>
    <row r="74" spans="1:18" ht="15.75" thickBot="1" x14ac:dyDescent="0.3">
      <c r="A74" s="24" t="s">
        <v>52</v>
      </c>
      <c r="B74" s="25"/>
      <c r="C74" s="25"/>
      <c r="D74" s="25"/>
      <c r="E74" s="25"/>
      <c r="F74" s="25"/>
      <c r="G74" s="25"/>
      <c r="H74" s="25"/>
      <c r="I74" s="26">
        <f>I71-I72-I73</f>
        <v>291.5</v>
      </c>
      <c r="J74" s="26">
        <f t="shared" ref="J74:P74" si="43">J71-J72-J73</f>
        <v>389.10000000000014</v>
      </c>
      <c r="K74" s="26">
        <f t="shared" si="43"/>
        <v>811.10000000000025</v>
      </c>
      <c r="L74" s="26">
        <f t="shared" si="43"/>
        <v>293.75400000000013</v>
      </c>
      <c r="M74" s="26">
        <f t="shared" si="43"/>
        <v>400.3536900000002</v>
      </c>
      <c r="N74" s="26">
        <f t="shared" si="43"/>
        <v>408.66076380000015</v>
      </c>
      <c r="O74" s="26">
        <f t="shared" si="43"/>
        <v>623.82034090740058</v>
      </c>
      <c r="P74" s="26">
        <f t="shared" si="43"/>
        <v>798.22548267770344</v>
      </c>
    </row>
    <row r="75" spans="1:18" x14ac:dyDescent="0.25">
      <c r="A75" s="16"/>
      <c r="B75" s="16"/>
      <c r="C75" s="16"/>
      <c r="D75" s="16"/>
      <c r="E75" s="16"/>
      <c r="F75" s="16"/>
      <c r="G75" s="16"/>
      <c r="H75" s="16"/>
      <c r="I75" s="17"/>
      <c r="J75" s="17"/>
      <c r="K75" s="17"/>
      <c r="L75" s="17"/>
      <c r="M75" s="17"/>
      <c r="N75" s="17"/>
      <c r="O75" s="17"/>
      <c r="P75" s="17"/>
    </row>
    <row r="76" spans="1:18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8" ht="15.75" thickBot="1" x14ac:dyDescent="0.3">
      <c r="A77" s="15"/>
      <c r="B77" s="15"/>
      <c r="C77" s="15"/>
      <c r="D77" s="15"/>
      <c r="E77" s="15"/>
      <c r="F77" s="15"/>
      <c r="G77" s="15"/>
      <c r="H77" s="15"/>
      <c r="I77" s="15">
        <v>2012</v>
      </c>
      <c r="J77" s="15">
        <v>2013</v>
      </c>
      <c r="K77" s="15">
        <v>2014</v>
      </c>
      <c r="L77" s="15">
        <v>2015</v>
      </c>
      <c r="M77" s="15">
        <v>2016</v>
      </c>
      <c r="N77" s="15">
        <v>2017</v>
      </c>
      <c r="O77" s="15">
        <v>2018</v>
      </c>
      <c r="P77" s="15">
        <v>2019</v>
      </c>
    </row>
    <row r="78" spans="1:18" x14ac:dyDescent="0.25">
      <c r="A78" s="18" t="s">
        <v>58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20"/>
    </row>
    <row r="79" spans="1:18" x14ac:dyDescent="0.25">
      <c r="A79" s="2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22"/>
    </row>
    <row r="80" spans="1:18" x14ac:dyDescent="0.25">
      <c r="A80" s="21" t="s">
        <v>59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2"/>
    </row>
    <row r="81" spans="1:16" x14ac:dyDescent="0.25">
      <c r="A81" s="21"/>
      <c r="B81" s="6" t="s">
        <v>94</v>
      </c>
      <c r="C81" s="6"/>
      <c r="D81" s="6"/>
      <c r="E81" s="6"/>
      <c r="F81" s="6"/>
      <c r="G81" s="6"/>
      <c r="H81" s="6"/>
      <c r="I81" s="7"/>
      <c r="J81" s="7">
        <f>J74</f>
        <v>389.10000000000014</v>
      </c>
      <c r="K81" s="7">
        <f>K74</f>
        <v>811.10000000000025</v>
      </c>
      <c r="L81" s="7">
        <f>L74</f>
        <v>293.75400000000013</v>
      </c>
      <c r="M81" s="7">
        <f t="shared" ref="M81:P81" si="44">M74</f>
        <v>400.3536900000002</v>
      </c>
      <c r="N81" s="7">
        <f t="shared" si="44"/>
        <v>408.66076380000015</v>
      </c>
      <c r="O81" s="7">
        <f t="shared" si="44"/>
        <v>623.82034090740058</v>
      </c>
      <c r="P81" s="23">
        <f t="shared" si="44"/>
        <v>798.22548267770344</v>
      </c>
    </row>
    <row r="82" spans="1:16" x14ac:dyDescent="0.25">
      <c r="A82" s="21"/>
      <c r="B82" s="6" t="s">
        <v>95</v>
      </c>
      <c r="C82" s="6"/>
      <c r="D82" s="6"/>
      <c r="E82" s="6"/>
      <c r="F82" s="6"/>
      <c r="G82" s="6"/>
      <c r="H82" s="6"/>
      <c r="I82" s="6"/>
      <c r="J82" s="7">
        <f t="shared" ref="J82:P82" si="45">J15-I15</f>
        <v>-10</v>
      </c>
      <c r="K82" s="7">
        <f t="shared" si="45"/>
        <v>30.1</v>
      </c>
      <c r="L82" s="7">
        <f t="shared" si="45"/>
        <v>0</v>
      </c>
      <c r="M82" s="7">
        <f t="shared" si="45"/>
        <v>0</v>
      </c>
      <c r="N82" s="7">
        <f t="shared" si="45"/>
        <v>0</v>
      </c>
      <c r="O82" s="7">
        <f t="shared" si="45"/>
        <v>0</v>
      </c>
      <c r="P82" s="23">
        <f t="shared" si="45"/>
        <v>0</v>
      </c>
    </row>
    <row r="83" spans="1:16" x14ac:dyDescent="0.25">
      <c r="A83" s="21"/>
      <c r="B83" s="6" t="s">
        <v>96</v>
      </c>
      <c r="C83" s="6"/>
      <c r="D83" s="6"/>
      <c r="E83" s="6"/>
      <c r="F83" s="6"/>
      <c r="G83" s="6"/>
      <c r="H83" s="6"/>
      <c r="I83" s="6"/>
      <c r="J83" s="7">
        <f t="shared" ref="J83:P84" si="46">-(J12-I12)</f>
        <v>18.600000000000023</v>
      </c>
      <c r="K83" s="7">
        <f t="shared" si="46"/>
        <v>14.5</v>
      </c>
      <c r="L83" s="7">
        <f t="shared" si="46"/>
        <v>0</v>
      </c>
      <c r="M83" s="7">
        <f t="shared" si="46"/>
        <v>0</v>
      </c>
      <c r="N83" s="7">
        <f t="shared" si="46"/>
        <v>0</v>
      </c>
      <c r="O83" s="7">
        <f t="shared" si="46"/>
        <v>0</v>
      </c>
      <c r="P83" s="23">
        <f t="shared" si="46"/>
        <v>72</v>
      </c>
    </row>
    <row r="84" spans="1:16" x14ac:dyDescent="0.25">
      <c r="A84" s="21"/>
      <c r="B84" s="6" t="s">
        <v>97</v>
      </c>
      <c r="C84" s="6"/>
      <c r="D84" s="6"/>
      <c r="E84" s="6"/>
      <c r="F84" s="6"/>
      <c r="G84" s="6"/>
      <c r="H84" s="6"/>
      <c r="I84" s="6"/>
      <c r="J84" s="7">
        <f t="shared" si="46"/>
        <v>-27.899999999999977</v>
      </c>
      <c r="K84" s="7">
        <f t="shared" si="46"/>
        <v>12.099999999999966</v>
      </c>
      <c r="L84" s="7">
        <f t="shared" si="46"/>
        <v>0</v>
      </c>
      <c r="M84" s="7">
        <f t="shared" si="46"/>
        <v>0</v>
      </c>
      <c r="N84" s="7">
        <f t="shared" si="46"/>
        <v>0</v>
      </c>
      <c r="O84" s="7">
        <f t="shared" si="46"/>
        <v>0</v>
      </c>
      <c r="P84" s="23">
        <f t="shared" si="46"/>
        <v>0</v>
      </c>
    </row>
    <row r="85" spans="1:16" x14ac:dyDescent="0.25">
      <c r="A85" s="21"/>
      <c r="B85" s="6" t="s">
        <v>98</v>
      </c>
      <c r="C85" s="6"/>
      <c r="D85" s="6"/>
      <c r="E85" s="6"/>
      <c r="F85" s="6"/>
      <c r="G85" s="6"/>
      <c r="H85" s="6"/>
      <c r="I85" s="6"/>
      <c r="J85" s="7">
        <f t="shared" ref="J85:P85" si="47">(I16-J16)</f>
        <v>-5.1999999999999957</v>
      </c>
      <c r="K85" s="7">
        <f t="shared" si="47"/>
        <v>-2</v>
      </c>
      <c r="L85" s="7">
        <f t="shared" si="47"/>
        <v>0</v>
      </c>
      <c r="M85" s="7">
        <f t="shared" si="47"/>
        <v>0</v>
      </c>
      <c r="N85" s="7">
        <f t="shared" si="47"/>
        <v>0</v>
      </c>
      <c r="O85" s="7">
        <f t="shared" si="47"/>
        <v>0</v>
      </c>
      <c r="P85" s="23">
        <f t="shared" si="47"/>
        <v>0</v>
      </c>
    </row>
    <row r="86" spans="1:16" x14ac:dyDescent="0.25">
      <c r="A86" s="21"/>
      <c r="B86" s="6" t="s">
        <v>99</v>
      </c>
      <c r="C86" s="6"/>
      <c r="D86" s="6"/>
      <c r="E86" s="6"/>
      <c r="F86" s="6"/>
      <c r="G86" s="6"/>
      <c r="H86" s="6"/>
      <c r="I86" s="6"/>
      <c r="J86" s="8">
        <f t="shared" ref="J86:P86" si="48">J35-I35</f>
        <v>-26.300000000000004</v>
      </c>
      <c r="K86" s="8">
        <f t="shared" si="48"/>
        <v>9.8000000000000043</v>
      </c>
      <c r="L86" s="8">
        <f t="shared" si="48"/>
        <v>0</v>
      </c>
      <c r="M86" s="8">
        <f t="shared" si="48"/>
        <v>0</v>
      </c>
      <c r="N86" s="8">
        <f t="shared" si="48"/>
        <v>0</v>
      </c>
      <c r="O86" s="8">
        <f t="shared" si="48"/>
        <v>0</v>
      </c>
      <c r="P86" s="31">
        <f t="shared" si="48"/>
        <v>0</v>
      </c>
    </row>
    <row r="87" spans="1:16" x14ac:dyDescent="0.25">
      <c r="A87" s="21"/>
      <c r="B87" s="6" t="s">
        <v>100</v>
      </c>
      <c r="C87" s="6"/>
      <c r="D87" s="6"/>
      <c r="E87" s="6"/>
      <c r="F87" s="6"/>
      <c r="G87" s="6"/>
      <c r="H87" s="6"/>
      <c r="I87" s="6"/>
      <c r="J87" s="7">
        <f t="shared" ref="J87:P87" si="49">-(I36-J36)</f>
        <v>24.5</v>
      </c>
      <c r="K87" s="7">
        <f t="shared" si="49"/>
        <v>79</v>
      </c>
      <c r="L87" s="7">
        <f t="shared" si="49"/>
        <v>0</v>
      </c>
      <c r="M87" s="7">
        <f t="shared" si="49"/>
        <v>0</v>
      </c>
      <c r="N87" s="7">
        <f t="shared" si="49"/>
        <v>0</v>
      </c>
      <c r="O87" s="7">
        <f t="shared" si="49"/>
        <v>0</v>
      </c>
      <c r="P87" s="23">
        <f t="shared" si="49"/>
        <v>0</v>
      </c>
    </row>
    <row r="88" spans="1:16" x14ac:dyDescent="0.25">
      <c r="A88" s="21" t="s">
        <v>59</v>
      </c>
      <c r="B88" s="6"/>
      <c r="C88" s="6"/>
      <c r="D88" s="6"/>
      <c r="E88" s="6"/>
      <c r="F88" s="6"/>
      <c r="G88" s="6"/>
      <c r="H88" s="6"/>
      <c r="I88" s="6"/>
      <c r="J88" s="7">
        <f>SUM(J81:J87)</f>
        <v>362.80000000000018</v>
      </c>
      <c r="K88" s="7">
        <f>SUM(K81:K87)</f>
        <v>954.60000000000014</v>
      </c>
      <c r="L88" s="7">
        <f>SUM(L81:L87)</f>
        <v>293.75400000000013</v>
      </c>
      <c r="M88" s="7">
        <f t="shared" ref="M88:P88" si="50">SUM(M81:M87)</f>
        <v>400.3536900000002</v>
      </c>
      <c r="N88" s="7">
        <f t="shared" si="50"/>
        <v>408.66076380000015</v>
      </c>
      <c r="O88" s="7">
        <f t="shared" si="50"/>
        <v>623.82034090740058</v>
      </c>
      <c r="P88" s="23">
        <f t="shared" si="50"/>
        <v>870.22548267770344</v>
      </c>
    </row>
    <row r="89" spans="1:16" x14ac:dyDescent="0.25">
      <c r="A89" s="21" t="s">
        <v>60</v>
      </c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  <c r="M89" s="6"/>
      <c r="N89" s="6"/>
      <c r="O89" s="6"/>
      <c r="P89" s="22"/>
    </row>
    <row r="90" spans="1:16" x14ac:dyDescent="0.25">
      <c r="A90" s="21"/>
      <c r="B90" s="6" t="s">
        <v>101</v>
      </c>
      <c r="C90" s="6"/>
      <c r="D90" s="6"/>
      <c r="E90" s="6"/>
      <c r="F90" s="6"/>
      <c r="G90" s="6"/>
      <c r="H90" s="6"/>
      <c r="I90" s="6"/>
      <c r="J90" s="8">
        <f t="shared" ref="J90:P90" si="51">-(J22-I22)-(J25-I25)</f>
        <v>-27.20000000000001</v>
      </c>
      <c r="K90" s="8">
        <f t="shared" si="51"/>
        <v>-21.299999999999955</v>
      </c>
      <c r="L90" s="8">
        <f t="shared" si="51"/>
        <v>-300</v>
      </c>
      <c r="M90" s="8">
        <f t="shared" si="51"/>
        <v>0</v>
      </c>
      <c r="N90" s="8">
        <f t="shared" si="51"/>
        <v>0</v>
      </c>
      <c r="O90" s="8">
        <f t="shared" si="51"/>
        <v>-500</v>
      </c>
      <c r="P90" s="8">
        <f t="shared" si="51"/>
        <v>0</v>
      </c>
    </row>
    <row r="91" spans="1:16" x14ac:dyDescent="0.25">
      <c r="A91" s="21"/>
      <c r="B91" s="6" t="s">
        <v>13</v>
      </c>
      <c r="C91" s="6"/>
      <c r="D91" s="6"/>
      <c r="E91" s="6"/>
      <c r="F91" s="6"/>
      <c r="G91" s="6"/>
      <c r="H91" s="6"/>
      <c r="I91" s="6"/>
      <c r="J91" s="7">
        <f t="shared" ref="J91:P91" si="52">-(J21-I21)</f>
        <v>-21.9</v>
      </c>
      <c r="K91" s="7">
        <f t="shared" si="52"/>
        <v>-219</v>
      </c>
      <c r="L91" s="7">
        <f t="shared" si="52"/>
        <v>0</v>
      </c>
      <c r="M91" s="7">
        <f t="shared" si="52"/>
        <v>0</v>
      </c>
      <c r="N91" s="7">
        <f t="shared" si="52"/>
        <v>0</v>
      </c>
      <c r="O91" s="7">
        <f t="shared" si="52"/>
        <v>0</v>
      </c>
      <c r="P91" s="23">
        <f t="shared" si="52"/>
        <v>0</v>
      </c>
    </row>
    <row r="92" spans="1:16" x14ac:dyDescent="0.25">
      <c r="A92" s="21" t="s">
        <v>60</v>
      </c>
      <c r="B92" s="6"/>
      <c r="C92" s="6"/>
      <c r="D92" s="6"/>
      <c r="E92" s="6"/>
      <c r="F92" s="6"/>
      <c r="G92" s="6"/>
      <c r="H92" s="6"/>
      <c r="I92" s="6"/>
      <c r="J92" s="8">
        <f>SUM(J90:J91)</f>
        <v>-49.100000000000009</v>
      </c>
      <c r="K92" s="8">
        <f>SUM(K90:K91)</f>
        <v>-240.29999999999995</v>
      </c>
      <c r="L92" s="8">
        <f>SUM(L90:L91)</f>
        <v>-300</v>
      </c>
      <c r="M92" s="8">
        <f t="shared" ref="M92:P92" si="53">SUM(M90:M91)</f>
        <v>0</v>
      </c>
      <c r="N92" s="8">
        <f t="shared" si="53"/>
        <v>0</v>
      </c>
      <c r="O92" s="8">
        <f t="shared" si="53"/>
        <v>-500</v>
      </c>
      <c r="P92" s="31">
        <f t="shared" si="53"/>
        <v>0</v>
      </c>
    </row>
    <row r="93" spans="1:16" x14ac:dyDescent="0.25">
      <c r="A93" s="21" t="s">
        <v>61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22"/>
    </row>
    <row r="94" spans="1:16" x14ac:dyDescent="0.25">
      <c r="A94" s="21"/>
      <c r="B94" s="6" t="s">
        <v>102</v>
      </c>
      <c r="C94" s="6"/>
      <c r="D94" s="6"/>
      <c r="E94" s="6"/>
      <c r="F94" s="6"/>
      <c r="G94" s="6"/>
      <c r="H94" s="6"/>
      <c r="I94" s="6"/>
      <c r="J94" s="7">
        <f t="shared" ref="J94:P94" si="54">-(J39-I39)</f>
        <v>-403.8</v>
      </c>
      <c r="K94" s="7">
        <f t="shared" si="54"/>
        <v>-5</v>
      </c>
      <c r="L94" s="7">
        <f t="shared" si="54"/>
        <v>0</v>
      </c>
      <c r="M94" s="7">
        <f t="shared" si="54"/>
        <v>0</v>
      </c>
      <c r="N94" s="7">
        <f t="shared" si="54"/>
        <v>0</v>
      </c>
      <c r="O94" s="7">
        <f t="shared" si="54"/>
        <v>0</v>
      </c>
      <c r="P94" s="23">
        <f t="shared" si="54"/>
        <v>0</v>
      </c>
    </row>
    <row r="95" spans="1:16" x14ac:dyDescent="0.25">
      <c r="A95" s="21"/>
      <c r="B95" s="6" t="s">
        <v>129</v>
      </c>
      <c r="C95" s="6"/>
      <c r="D95" s="6"/>
      <c r="E95" s="6"/>
      <c r="F95" s="6"/>
      <c r="G95" s="6"/>
      <c r="H95" s="6"/>
      <c r="I95" s="6"/>
      <c r="J95" s="7"/>
      <c r="K95" s="7"/>
      <c r="L95" s="7"/>
      <c r="M95" s="7"/>
      <c r="N95" s="7">
        <f>-W33</f>
        <v>-1000</v>
      </c>
      <c r="O95" s="7"/>
      <c r="P95" s="23">
        <f>-W40</f>
        <v>-1000</v>
      </c>
    </row>
    <row r="96" spans="1:16" x14ac:dyDescent="0.25">
      <c r="A96" s="21" t="s">
        <v>103</v>
      </c>
      <c r="B96" s="6"/>
      <c r="C96" s="6"/>
      <c r="D96" s="6"/>
      <c r="E96" s="6"/>
      <c r="F96" s="6"/>
      <c r="G96" s="6"/>
      <c r="H96" s="6"/>
      <c r="I96" s="6"/>
      <c r="J96" s="7">
        <f>J94+J95</f>
        <v>-403.8</v>
      </c>
      <c r="K96" s="7">
        <f t="shared" ref="K96:P96" si="55">K94+K95</f>
        <v>-5</v>
      </c>
      <c r="L96" s="7">
        <f t="shared" si="55"/>
        <v>0</v>
      </c>
      <c r="M96" s="7">
        <f t="shared" si="55"/>
        <v>0</v>
      </c>
      <c r="N96" s="7">
        <f t="shared" si="55"/>
        <v>-1000</v>
      </c>
      <c r="O96" s="7">
        <f t="shared" si="55"/>
        <v>0</v>
      </c>
      <c r="P96" s="7">
        <f t="shared" si="55"/>
        <v>-1000</v>
      </c>
    </row>
    <row r="97" spans="1:16" x14ac:dyDescent="0.25">
      <c r="A97" s="21" t="s">
        <v>62</v>
      </c>
      <c r="B97" s="6"/>
      <c r="C97" s="6"/>
      <c r="D97" s="6"/>
      <c r="E97" s="6"/>
      <c r="F97" s="6"/>
      <c r="G97" s="6"/>
      <c r="H97" s="6"/>
      <c r="I97" s="6"/>
      <c r="J97" s="14">
        <f>J88+J92+J96</f>
        <v>-90.099999999999852</v>
      </c>
      <c r="K97" s="14">
        <f>K88+K92+K96</f>
        <v>709.30000000000018</v>
      </c>
      <c r="L97" s="14">
        <f>L88+L92+L96</f>
        <v>-6.2459999999998672</v>
      </c>
      <c r="M97" s="14">
        <f t="shared" ref="M97:P97" si="56">M88+M92+M96</f>
        <v>400.3536900000002</v>
      </c>
      <c r="N97" s="14">
        <f t="shared" si="56"/>
        <v>-591.33923619999985</v>
      </c>
      <c r="O97" s="14">
        <f t="shared" si="56"/>
        <v>123.82034090740058</v>
      </c>
      <c r="P97" s="32">
        <f t="shared" si="56"/>
        <v>-129.77451732229656</v>
      </c>
    </row>
    <row r="98" spans="1:16" ht="15.75" thickBot="1" x14ac:dyDescent="0.3">
      <c r="A98" s="24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33"/>
    </row>
    <row r="101" spans="1:16" ht="15.75" thickBot="1" x14ac:dyDescent="0.3"/>
    <row r="102" spans="1:16" x14ac:dyDescent="0.25">
      <c r="A102" s="34" t="s">
        <v>104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6"/>
    </row>
    <row r="103" spans="1:16" x14ac:dyDescent="0.25">
      <c r="A103" s="3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8"/>
    </row>
    <row r="104" spans="1:16" x14ac:dyDescent="0.25">
      <c r="A104" s="37"/>
      <c r="B104" s="3"/>
      <c r="C104" s="3"/>
      <c r="D104" s="3"/>
      <c r="E104" s="3"/>
      <c r="F104" s="3"/>
      <c r="G104" s="3"/>
      <c r="H104" s="3"/>
      <c r="I104" s="3">
        <v>2012</v>
      </c>
      <c r="J104" s="3">
        <v>2013</v>
      </c>
      <c r="K104" s="3">
        <v>2014</v>
      </c>
      <c r="L104" s="11">
        <v>2015</v>
      </c>
      <c r="M104" s="11">
        <v>2016</v>
      </c>
      <c r="N104" s="11">
        <v>2017</v>
      </c>
      <c r="O104" s="11">
        <v>2018</v>
      </c>
      <c r="P104" s="39">
        <v>2019</v>
      </c>
    </row>
    <row r="105" spans="1:16" x14ac:dyDescent="0.25">
      <c r="A105" s="37" t="s">
        <v>55</v>
      </c>
      <c r="B105" s="3"/>
      <c r="C105" s="3"/>
      <c r="D105" s="3"/>
      <c r="E105" s="3"/>
      <c r="F105" s="3"/>
      <c r="G105" s="3"/>
      <c r="H105" s="3"/>
      <c r="I105" s="4"/>
      <c r="J105" s="4"/>
      <c r="K105" s="4"/>
      <c r="L105" s="4"/>
      <c r="M105" s="4"/>
      <c r="N105" s="4"/>
      <c r="O105" s="4"/>
      <c r="P105" s="40"/>
    </row>
    <row r="106" spans="1:16" x14ac:dyDescent="0.25">
      <c r="A106" s="37"/>
      <c r="B106" s="3" t="s">
        <v>56</v>
      </c>
      <c r="C106" s="3"/>
      <c r="D106" s="3"/>
      <c r="E106" s="3"/>
      <c r="F106" s="3"/>
      <c r="G106" s="3"/>
      <c r="H106" s="3"/>
      <c r="I106" s="4">
        <f t="shared" ref="I106:P106" si="57">I18/I37</f>
        <v>3.7187679907887166</v>
      </c>
      <c r="J106" s="4">
        <f t="shared" si="57"/>
        <v>4.9936342592592604</v>
      </c>
      <c r="K106" s="4">
        <f t="shared" si="57"/>
        <v>5.2822283609576424</v>
      </c>
      <c r="L106" s="4">
        <f t="shared" si="57"/>
        <v>5.3023802946593008</v>
      </c>
      <c r="M106" s="4">
        <f t="shared" si="57"/>
        <v>6.2585351979742212</v>
      </c>
      <c r="N106" s="4">
        <f t="shared" si="57"/>
        <v>4.9317874166666682</v>
      </c>
      <c r="O106" s="4">
        <f t="shared" si="57"/>
        <v>5.2513554205971484</v>
      </c>
      <c r="P106" s="40">
        <f t="shared" si="57"/>
        <v>4.8213956661719717</v>
      </c>
    </row>
    <row r="107" spans="1:16" x14ac:dyDescent="0.25">
      <c r="A107" s="37"/>
      <c r="B107" s="3" t="s">
        <v>57</v>
      </c>
      <c r="C107" s="3"/>
      <c r="D107" s="3"/>
      <c r="E107" s="3"/>
      <c r="F107" s="3"/>
      <c r="G107" s="3"/>
      <c r="H107" s="3"/>
      <c r="I107" s="4">
        <f t="shared" ref="I107:P107" si="58">(I18-I13)/I37</f>
        <v>2.9099021301093844</v>
      </c>
      <c r="J107" s="4">
        <f t="shared" si="58"/>
        <v>4.0998263888888893</v>
      </c>
      <c r="K107" s="4">
        <f t="shared" si="58"/>
        <v>4.5989871086556171</v>
      </c>
      <c r="L107" s="4">
        <f t="shared" si="58"/>
        <v>4.6191390423572756</v>
      </c>
      <c r="M107" s="4">
        <f t="shared" si="58"/>
        <v>5.5752939456721951</v>
      </c>
      <c r="N107" s="4">
        <f t="shared" si="58"/>
        <v>4.2485461643646429</v>
      </c>
      <c r="O107" s="4">
        <f t="shared" si="58"/>
        <v>4.5681141682951223</v>
      </c>
      <c r="P107" s="40">
        <f t="shared" si="58"/>
        <v>4.1381544138699464</v>
      </c>
    </row>
    <row r="108" spans="1:16" x14ac:dyDescent="0.25">
      <c r="A108" s="37"/>
      <c r="B108" s="3" t="s">
        <v>63</v>
      </c>
      <c r="C108" s="3"/>
      <c r="D108" s="3"/>
      <c r="E108" s="3"/>
      <c r="F108" s="3"/>
      <c r="G108" s="3"/>
      <c r="H108" s="3"/>
      <c r="I108" s="4">
        <f t="shared" ref="I108:P108" si="59">(I10+I11+I80)/I37</f>
        <v>1.5008635578583764</v>
      </c>
      <c r="J108" s="4">
        <f t="shared" si="59"/>
        <v>2.7109375</v>
      </c>
      <c r="K108" s="4">
        <f t="shared" si="59"/>
        <v>3.3121546961325969</v>
      </c>
      <c r="L108" s="4">
        <f t="shared" si="59"/>
        <v>3.332306629834255</v>
      </c>
      <c r="M108" s="4">
        <f t="shared" si="59"/>
        <v>4.2884615331491744</v>
      </c>
      <c r="N108" s="4">
        <f t="shared" si="59"/>
        <v>2.9617137518416223</v>
      </c>
      <c r="O108" s="4">
        <f t="shared" si="59"/>
        <v>3.2812817557721026</v>
      </c>
      <c r="P108" s="40">
        <f t="shared" si="59"/>
        <v>3.0170678577005168</v>
      </c>
    </row>
    <row r="109" spans="1:16" x14ac:dyDescent="0.25">
      <c r="A109" s="37"/>
      <c r="B109" s="3" t="s">
        <v>65</v>
      </c>
      <c r="C109" s="3"/>
      <c r="D109" s="3"/>
      <c r="E109" s="3"/>
      <c r="F109" s="3"/>
      <c r="G109" s="3"/>
      <c r="H109" s="3"/>
      <c r="I109" s="4">
        <f t="shared" ref="I109:P110" si="60">I12/(I60/365)</f>
        <v>61.697989050326392</v>
      </c>
      <c r="J109" s="4">
        <f t="shared" si="60"/>
        <v>53.978244927890486</v>
      </c>
      <c r="K109" s="4">
        <f t="shared" si="60"/>
        <v>45.253777605579231</v>
      </c>
      <c r="L109" s="4">
        <f t="shared" si="60"/>
        <v>44.366448632920815</v>
      </c>
      <c r="M109" s="4">
        <f t="shared" si="60"/>
        <v>43.496518267569421</v>
      </c>
      <c r="N109" s="4">
        <f t="shared" si="60"/>
        <v>42.643645360362179</v>
      </c>
      <c r="O109" s="4">
        <f t="shared" si="60"/>
        <v>36.354343870726495</v>
      </c>
      <c r="P109" s="40">
        <f t="shared" si="60"/>
        <v>24.301031999148723</v>
      </c>
    </row>
    <row r="110" spans="1:16" x14ac:dyDescent="0.25">
      <c r="A110" s="37"/>
      <c r="B110" s="3" t="s">
        <v>64</v>
      </c>
      <c r="C110" s="3"/>
      <c r="D110" s="3"/>
      <c r="E110" s="3"/>
      <c r="F110" s="3"/>
      <c r="G110" s="3"/>
      <c r="H110" s="3"/>
      <c r="I110" s="5">
        <f t="shared" si="60"/>
        <v>208.8900203665988</v>
      </c>
      <c r="J110" s="5">
        <f t="shared" si="60"/>
        <v>218.25106465350365</v>
      </c>
      <c r="K110" s="5">
        <f t="shared" si="60"/>
        <v>173.16496163682862</v>
      </c>
      <c r="L110" s="5">
        <f t="shared" si="60"/>
        <v>169.76957023218492</v>
      </c>
      <c r="M110" s="5">
        <f t="shared" si="60"/>
        <v>166.44075512959307</v>
      </c>
      <c r="N110" s="5">
        <f t="shared" si="60"/>
        <v>163.17721091136573</v>
      </c>
      <c r="O110" s="5">
        <f t="shared" si="60"/>
        <v>139.11100674455736</v>
      </c>
      <c r="P110" s="41">
        <f t="shared" si="60"/>
        <v>123.98485449604041</v>
      </c>
    </row>
    <row r="111" spans="1:16" x14ac:dyDescent="0.25">
      <c r="A111" s="37"/>
      <c r="B111" s="3" t="s">
        <v>67</v>
      </c>
      <c r="C111" s="3"/>
      <c r="D111" s="3"/>
      <c r="E111" s="3"/>
      <c r="F111" s="3"/>
      <c r="G111" s="3"/>
      <c r="H111" s="3"/>
      <c r="I111" s="5">
        <f t="shared" ref="I111:P111" si="61">I35/(I61/365)</f>
        <v>55.53054989816701</v>
      </c>
      <c r="J111" s="5">
        <f t="shared" si="61"/>
        <v>34.196670538133951</v>
      </c>
      <c r="K111" s="5">
        <f t="shared" si="61"/>
        <v>33.956202046035806</v>
      </c>
      <c r="L111" s="5">
        <f t="shared" si="61"/>
        <v>33.290394162780196</v>
      </c>
      <c r="M111" s="5">
        <f t="shared" si="61"/>
        <v>32.637641336059019</v>
      </c>
      <c r="N111" s="5">
        <f t="shared" si="61"/>
        <v>31.997687584371583</v>
      </c>
      <c r="O111" s="5">
        <f t="shared" si="61"/>
        <v>27.278506039532473</v>
      </c>
      <c r="P111" s="41">
        <f t="shared" si="61"/>
        <v>24.31239397462787</v>
      </c>
    </row>
    <row r="112" spans="1:16" x14ac:dyDescent="0.25">
      <c r="A112" s="37"/>
      <c r="B112" s="3" t="s">
        <v>66</v>
      </c>
      <c r="C112" s="3"/>
      <c r="D112" s="3"/>
      <c r="E112" s="3"/>
      <c r="F112" s="3"/>
      <c r="G112" s="3"/>
      <c r="H112" s="3"/>
      <c r="I112" s="5">
        <f t="shared" ref="I112:P112" si="62">I109+I110-I111</f>
        <v>215.05745951875821</v>
      </c>
      <c r="J112" s="5">
        <f t="shared" si="62"/>
        <v>238.03263904326019</v>
      </c>
      <c r="K112" s="5">
        <f t="shared" si="62"/>
        <v>184.46253719637207</v>
      </c>
      <c r="L112" s="5">
        <f t="shared" si="62"/>
        <v>180.84562470232555</v>
      </c>
      <c r="M112" s="5">
        <f t="shared" si="62"/>
        <v>177.29963206110347</v>
      </c>
      <c r="N112" s="5">
        <f t="shared" si="62"/>
        <v>173.82316868735631</v>
      </c>
      <c r="O112" s="5">
        <f t="shared" si="62"/>
        <v>148.18684457575137</v>
      </c>
      <c r="P112" s="41">
        <f t="shared" si="62"/>
        <v>123.97349252056128</v>
      </c>
    </row>
    <row r="113" spans="1:16" x14ac:dyDescent="0.25">
      <c r="A113" s="37"/>
      <c r="B113" s="3"/>
      <c r="C113" s="3"/>
      <c r="D113" s="3"/>
      <c r="E113" s="3"/>
      <c r="F113" s="3"/>
      <c r="G113" s="3"/>
      <c r="H113" s="3"/>
      <c r="I113" s="4"/>
      <c r="J113" s="4"/>
      <c r="K113" s="4"/>
      <c r="L113" s="4"/>
      <c r="M113" s="4"/>
      <c r="N113" s="4"/>
      <c r="O113" s="4"/>
      <c r="P113" s="40"/>
    </row>
    <row r="114" spans="1:16" x14ac:dyDescent="0.25">
      <c r="A114" s="37"/>
      <c r="B114" s="3"/>
      <c r="C114" s="3"/>
      <c r="D114" s="3"/>
      <c r="E114" s="3"/>
      <c r="F114" s="3"/>
      <c r="G114" s="3"/>
      <c r="H114" s="3"/>
      <c r="I114" s="4"/>
      <c r="J114" s="4"/>
      <c r="K114" s="4"/>
      <c r="L114" s="4"/>
      <c r="M114" s="4"/>
      <c r="N114" s="4"/>
      <c r="O114" s="4"/>
      <c r="P114" s="40"/>
    </row>
    <row r="115" spans="1:16" x14ac:dyDescent="0.25">
      <c r="A115" s="37" t="s">
        <v>68</v>
      </c>
      <c r="B115" s="3"/>
      <c r="C115" s="3"/>
      <c r="D115" s="3"/>
      <c r="E115" s="3"/>
      <c r="F115" s="3"/>
      <c r="G115" s="3"/>
      <c r="H115" s="3"/>
      <c r="I115" s="4"/>
      <c r="J115" s="4"/>
      <c r="K115" s="4"/>
      <c r="L115" s="4"/>
      <c r="M115" s="4"/>
      <c r="N115" s="4"/>
      <c r="O115" s="4"/>
      <c r="P115" s="40"/>
    </row>
    <row r="116" spans="1:16" x14ac:dyDescent="0.25">
      <c r="A116" s="37"/>
      <c r="B116" s="3" t="s">
        <v>69</v>
      </c>
      <c r="C116" s="3"/>
      <c r="D116" s="3"/>
      <c r="E116" s="3"/>
      <c r="F116" s="3"/>
      <c r="G116" s="3"/>
      <c r="H116" s="3"/>
      <c r="I116" s="4">
        <f t="shared" ref="I116:P117" si="63">I60/I12</f>
        <v>5.9159140454687007</v>
      </c>
      <c r="J116" s="4">
        <f t="shared" si="63"/>
        <v>6.7619834710743802</v>
      </c>
      <c r="K116" s="4">
        <f t="shared" si="63"/>
        <v>8.0656250000000007</v>
      </c>
      <c r="L116" s="4">
        <f t="shared" si="63"/>
        <v>8.2269375</v>
      </c>
      <c r="M116" s="4">
        <f t="shared" si="63"/>
        <v>8.391476250000002</v>
      </c>
      <c r="N116" s="4">
        <f t="shared" si="63"/>
        <v>8.5593057750000021</v>
      </c>
      <c r="O116" s="4">
        <f t="shared" si="63"/>
        <v>10.040065674075002</v>
      </c>
      <c r="P116" s="40">
        <f t="shared" si="63"/>
        <v>15.019938248416203</v>
      </c>
    </row>
    <row r="117" spans="1:16" x14ac:dyDescent="0.25">
      <c r="A117" s="37"/>
      <c r="B117" s="3" t="s">
        <v>70</v>
      </c>
      <c r="C117" s="3"/>
      <c r="D117" s="3"/>
      <c r="E117" s="3"/>
      <c r="F117" s="3"/>
      <c r="G117" s="3"/>
      <c r="H117" s="3"/>
      <c r="I117" s="4">
        <f t="shared" si="63"/>
        <v>1.7473309608540926</v>
      </c>
      <c r="J117" s="4">
        <f t="shared" si="63"/>
        <v>1.6723858853998059</v>
      </c>
      <c r="K117" s="4">
        <f t="shared" si="63"/>
        <v>2.1078167115902966</v>
      </c>
      <c r="L117" s="4">
        <f t="shared" si="63"/>
        <v>2.1499730458221027</v>
      </c>
      <c r="M117" s="4">
        <f t="shared" si="63"/>
        <v>2.1929725067385446</v>
      </c>
      <c r="N117" s="4">
        <f t="shared" si="63"/>
        <v>2.2368319568733157</v>
      </c>
      <c r="O117" s="4">
        <f t="shared" si="63"/>
        <v>2.6238038854123991</v>
      </c>
      <c r="P117" s="40">
        <f t="shared" si="63"/>
        <v>2.9439079594327118</v>
      </c>
    </row>
    <row r="118" spans="1:16" x14ac:dyDescent="0.25">
      <c r="A118" s="37"/>
      <c r="B118" s="3" t="s">
        <v>71</v>
      </c>
      <c r="C118" s="3"/>
      <c r="D118" s="3"/>
      <c r="E118" s="3"/>
      <c r="F118" s="3"/>
      <c r="G118" s="3"/>
      <c r="H118" s="3"/>
      <c r="I118" s="4">
        <f t="shared" ref="I118:P118" si="64">I61/I35</f>
        <v>6.5729585006693441</v>
      </c>
      <c r="J118" s="4">
        <f t="shared" si="64"/>
        <v>10.673553719008265</v>
      </c>
      <c r="K118" s="4">
        <f t="shared" si="64"/>
        <v>10.749140893470789</v>
      </c>
      <c r="L118" s="4">
        <f t="shared" si="64"/>
        <v>10.964123711340207</v>
      </c>
      <c r="M118" s="4">
        <f t="shared" si="64"/>
        <v>11.183406185567012</v>
      </c>
      <c r="N118" s="4">
        <f t="shared" si="64"/>
        <v>11.407074309278352</v>
      </c>
      <c r="O118" s="4">
        <f t="shared" si="64"/>
        <v>13.380498164783505</v>
      </c>
      <c r="P118" s="40">
        <f t="shared" si="64"/>
        <v>15.012918940887094</v>
      </c>
    </row>
    <row r="119" spans="1:16" x14ac:dyDescent="0.25">
      <c r="A119" s="37"/>
      <c r="B119" s="3" t="s">
        <v>72</v>
      </c>
      <c r="C119" s="3"/>
      <c r="D119" s="3"/>
      <c r="E119" s="3"/>
      <c r="F119" s="3"/>
      <c r="G119" s="3"/>
      <c r="H119" s="3"/>
      <c r="I119" s="4">
        <f t="shared" ref="I119:P119" si="65">I60/I22</f>
        <v>5.0886686311277787</v>
      </c>
      <c r="J119" s="4">
        <f t="shared" si="65"/>
        <v>4.8517552182163186</v>
      </c>
      <c r="K119" s="4">
        <f t="shared" si="65"/>
        <v>5.244750508015354</v>
      </c>
      <c r="L119" s="4">
        <f t="shared" si="65"/>
        <v>3.1893363844393594</v>
      </c>
      <c r="M119" s="4">
        <f t="shared" si="65"/>
        <v>3.2531231121281472</v>
      </c>
      <c r="N119" s="4">
        <f t="shared" si="65"/>
        <v>3.3181855743707103</v>
      </c>
      <c r="O119" s="4">
        <f t="shared" si="65"/>
        <v>3.8922316787368429</v>
      </c>
      <c r="P119" s="40">
        <f t="shared" si="65"/>
        <v>4.3670839435427382</v>
      </c>
    </row>
    <row r="120" spans="1:16" x14ac:dyDescent="0.25">
      <c r="A120" s="37"/>
      <c r="B120" s="3" t="s">
        <v>73</v>
      </c>
      <c r="C120" s="3"/>
      <c r="D120" s="3"/>
      <c r="E120" s="3"/>
      <c r="F120" s="3"/>
      <c r="G120" s="3"/>
      <c r="H120" s="3"/>
      <c r="I120" s="4">
        <f t="shared" ref="I120:P120" si="66">I60/I30</f>
        <v>0.8550979068197162</v>
      </c>
      <c r="J120" s="4">
        <f t="shared" si="66"/>
        <v>0.75482490128787028</v>
      </c>
      <c r="K120" s="4">
        <f t="shared" si="66"/>
        <v>0.65910961041909033</v>
      </c>
      <c r="L120" s="4">
        <f t="shared" si="66"/>
        <v>0.62056691707346201</v>
      </c>
      <c r="M120" s="4">
        <f t="shared" si="66"/>
        <v>0.57290459756392098</v>
      </c>
      <c r="N120" s="4">
        <f t="shared" si="66"/>
        <v>0.67963428167929651</v>
      </c>
      <c r="O120" s="4">
        <f t="shared" si="66"/>
        <v>0.68021984431437743</v>
      </c>
      <c r="P120" s="40">
        <f t="shared" si="66"/>
        <v>0.80123860168082361</v>
      </c>
    </row>
    <row r="121" spans="1:16" x14ac:dyDescent="0.25">
      <c r="A121" s="37"/>
      <c r="B121" s="3"/>
      <c r="C121" s="3"/>
      <c r="D121" s="3"/>
      <c r="E121" s="3"/>
      <c r="F121" s="3"/>
      <c r="G121" s="3"/>
      <c r="H121" s="3"/>
      <c r="I121" s="4"/>
      <c r="J121" s="4"/>
      <c r="K121" s="4"/>
      <c r="L121" s="4"/>
      <c r="M121" s="4"/>
      <c r="N121" s="4"/>
      <c r="O121" s="4"/>
      <c r="P121" s="40"/>
    </row>
    <row r="122" spans="1:16" x14ac:dyDescent="0.25">
      <c r="A122" s="37" t="s">
        <v>74</v>
      </c>
      <c r="B122" s="3"/>
      <c r="C122" s="3"/>
      <c r="D122" s="3"/>
      <c r="E122" s="3"/>
      <c r="F122" s="3"/>
      <c r="G122" s="3"/>
      <c r="H122" s="3"/>
      <c r="I122" s="4"/>
      <c r="J122" s="4"/>
      <c r="K122" s="4"/>
      <c r="L122" s="4"/>
      <c r="M122" s="4"/>
      <c r="N122" s="4"/>
      <c r="O122" s="4"/>
      <c r="P122" s="40"/>
    </row>
    <row r="123" spans="1:16" x14ac:dyDescent="0.25">
      <c r="A123" s="37"/>
      <c r="B123" s="3" t="s">
        <v>75</v>
      </c>
      <c r="C123" s="3"/>
      <c r="D123" s="3"/>
      <c r="E123" s="3"/>
      <c r="F123" s="3"/>
      <c r="G123" s="3"/>
      <c r="H123" s="3"/>
      <c r="I123" s="4">
        <f t="shared" ref="I123:P123" si="67">I42/I30</f>
        <v>0.33409858203916271</v>
      </c>
      <c r="J123" s="4">
        <f t="shared" si="67"/>
        <v>0.43008967120557956</v>
      </c>
      <c r="K123" s="4">
        <f t="shared" si="67"/>
        <v>0.3782027636693811</v>
      </c>
      <c r="L123" s="4">
        <f t="shared" si="67"/>
        <v>0.3491045438330625</v>
      </c>
      <c r="M123" s="4">
        <f t="shared" si="67"/>
        <v>0.31597230470628107</v>
      </c>
      <c r="N123" s="4">
        <f t="shared" si="67"/>
        <v>0.36748686080174459</v>
      </c>
      <c r="O123" s="4">
        <f t="shared" si="67"/>
        <v>0.31355795561143263</v>
      </c>
      <c r="P123" s="40">
        <f t="shared" si="67"/>
        <v>0.3291831024489581</v>
      </c>
    </row>
    <row r="124" spans="1:16" x14ac:dyDescent="0.25">
      <c r="A124" s="37"/>
      <c r="B124" s="3" t="s">
        <v>76</v>
      </c>
      <c r="C124" s="3"/>
      <c r="D124" s="3"/>
      <c r="E124" s="3"/>
      <c r="F124" s="3"/>
      <c r="G124" s="3"/>
      <c r="H124" s="3"/>
      <c r="I124" s="4">
        <f t="shared" ref="I124:P124" si="68">I39/(I39+I51)</f>
        <v>0.11344839985616684</v>
      </c>
      <c r="J124" s="4">
        <f t="shared" si="68"/>
        <v>0.27747368421052632</v>
      </c>
      <c r="K124" s="4">
        <f t="shared" si="68"/>
        <v>0.21441118480014343</v>
      </c>
      <c r="L124" s="4">
        <f t="shared" si="68"/>
        <v>0.19398336951804812</v>
      </c>
      <c r="M124" s="4">
        <f t="shared" si="68"/>
        <v>0.17168982653152884</v>
      </c>
      <c r="N124" s="4">
        <f t="shared" si="68"/>
        <v>0.20679269907127315</v>
      </c>
      <c r="O124" s="4">
        <f t="shared" si="68"/>
        <v>0.17010378148023197</v>
      </c>
      <c r="P124" s="40">
        <f t="shared" si="68"/>
        <v>0.18045965166341529</v>
      </c>
    </row>
    <row r="125" spans="1:16" x14ac:dyDescent="0.25">
      <c r="A125" s="37"/>
      <c r="B125" s="3" t="s">
        <v>77</v>
      </c>
      <c r="C125" s="3"/>
      <c r="D125" s="3"/>
      <c r="E125" s="3"/>
      <c r="F125" s="3"/>
      <c r="G125" s="3"/>
      <c r="H125" s="3"/>
      <c r="I125" s="4">
        <f t="shared" ref="I125:P125" si="69">I42/I51</f>
        <v>0.50172378827823971</v>
      </c>
      <c r="J125" s="4">
        <f t="shared" si="69"/>
        <v>0.75466200466200473</v>
      </c>
      <c r="K125" s="4">
        <f t="shared" si="69"/>
        <v>0.60824130692707867</v>
      </c>
      <c r="L125" s="4">
        <f t="shared" si="69"/>
        <v>0.53634503133407407</v>
      </c>
      <c r="M125" s="4">
        <f t="shared" si="69"/>
        <v>0.46192911029809092</v>
      </c>
      <c r="N125" s="4">
        <f t="shared" si="69"/>
        <v>0.58099482528940671</v>
      </c>
      <c r="O125" s="4">
        <f t="shared" si="69"/>
        <v>0.4567872235896146</v>
      </c>
      <c r="P125" s="40">
        <f t="shared" si="69"/>
        <v>0.49071975326010747</v>
      </c>
    </row>
    <row r="126" spans="1:16" x14ac:dyDescent="0.25">
      <c r="A126" s="37"/>
      <c r="B126" s="3" t="s">
        <v>78</v>
      </c>
      <c r="C126" s="3"/>
      <c r="D126" s="3"/>
      <c r="E126" s="3"/>
      <c r="F126" s="3"/>
      <c r="G126" s="3"/>
      <c r="H126" s="3"/>
      <c r="I126" s="4">
        <f t="shared" ref="I126:P126" si="70">I66/I68</f>
        <v>91.795454545454518</v>
      </c>
      <c r="J126" s="4">
        <f t="shared" si="70"/>
        <v>46.551020408163275</v>
      </c>
      <c r="K126" s="4">
        <f t="shared" si="70"/>
        <v>24.540697674418617</v>
      </c>
      <c r="L126" s="4">
        <f t="shared" si="70"/>
        <v>24.540697674418613</v>
      </c>
      <c r="M126" s="4">
        <f t="shared" si="70"/>
        <v>32.023255813953504</v>
      </c>
      <c r="N126" s="4">
        <f t="shared" si="70"/>
        <v>32.023255813953497</v>
      </c>
      <c r="O126" s="4">
        <f t="shared" si="70"/>
        <v>46.825290697674447</v>
      </c>
      <c r="P126" s="40">
        <f t="shared" si="70"/>
        <v>58.17351744186049</v>
      </c>
    </row>
    <row r="127" spans="1:16" x14ac:dyDescent="0.25">
      <c r="A127" s="37"/>
      <c r="B127" s="3" t="s">
        <v>79</v>
      </c>
      <c r="C127" s="3"/>
      <c r="D127" s="3"/>
      <c r="E127" s="3"/>
      <c r="F127" s="3"/>
      <c r="G127" s="3"/>
      <c r="H127" s="3"/>
      <c r="I127" s="4"/>
      <c r="J127" s="4">
        <f t="shared" ref="J127:P127" si="71">(J88+J68+J74)/J68</f>
        <v>77.724489795918387</v>
      </c>
      <c r="K127" s="4">
        <f t="shared" si="71"/>
        <v>103.65697674418608</v>
      </c>
      <c r="L127" s="4">
        <f t="shared" si="71"/>
        <v>34.487688098495227</v>
      </c>
      <c r="M127" s="4">
        <f t="shared" si="71"/>
        <v>45.745054451329111</v>
      </c>
      <c r="N127" s="4">
        <f t="shared" si="71"/>
        <v>45.777926160673772</v>
      </c>
      <c r="O127" s="4">
        <f t="shared" si="71"/>
        <v>68.013205652279382</v>
      </c>
      <c r="P127" s="40">
        <f t="shared" si="71"/>
        <v>88.858572326328925</v>
      </c>
    </row>
    <row r="128" spans="1:16" x14ac:dyDescent="0.25">
      <c r="A128" s="37"/>
      <c r="B128" s="3" t="s">
        <v>86</v>
      </c>
      <c r="C128" s="3"/>
      <c r="D128" s="3"/>
      <c r="E128" s="3"/>
      <c r="F128" s="3"/>
      <c r="G128" s="3"/>
      <c r="H128" s="3"/>
      <c r="I128" s="4">
        <f t="shared" ref="I128:P128" si="72">I30/I51</f>
        <v>1.5017237882782399</v>
      </c>
      <c r="J128" s="4">
        <f t="shared" si="72"/>
        <v>1.7546620046620049</v>
      </c>
      <c r="K128" s="4">
        <f t="shared" si="72"/>
        <v>1.6082413069270789</v>
      </c>
      <c r="L128" s="4">
        <f t="shared" si="72"/>
        <v>1.5363450313340743</v>
      </c>
      <c r="M128" s="4">
        <f t="shared" si="72"/>
        <v>1.4619291102980914</v>
      </c>
      <c r="N128" s="4">
        <f t="shared" si="72"/>
        <v>1.5809948252894068</v>
      </c>
      <c r="O128" s="4">
        <f t="shared" si="72"/>
        <v>1.4567872235896147</v>
      </c>
      <c r="P128" s="40">
        <f t="shared" si="72"/>
        <v>1.4907197532601073</v>
      </c>
    </row>
    <row r="129" spans="1:16" x14ac:dyDescent="0.25">
      <c r="A129" s="37"/>
      <c r="B129" s="3"/>
      <c r="C129" s="3"/>
      <c r="D129" s="3"/>
      <c r="E129" s="3"/>
      <c r="F129" s="3"/>
      <c r="G129" s="3"/>
      <c r="H129" s="3"/>
      <c r="I129" s="4"/>
      <c r="J129" s="4"/>
      <c r="K129" s="4"/>
      <c r="L129" s="4"/>
      <c r="M129" s="4"/>
      <c r="N129" s="4"/>
      <c r="O129" s="4"/>
      <c r="P129" s="40"/>
    </row>
    <row r="130" spans="1:16" x14ac:dyDescent="0.25">
      <c r="A130" s="37" t="s">
        <v>80</v>
      </c>
      <c r="B130" s="3"/>
      <c r="C130" s="3"/>
      <c r="D130" s="3"/>
      <c r="E130" s="3"/>
      <c r="F130" s="3"/>
      <c r="G130" s="3"/>
      <c r="H130" s="3"/>
      <c r="I130" s="4"/>
      <c r="J130" s="4"/>
      <c r="K130" s="4"/>
      <c r="L130" s="4"/>
      <c r="M130" s="4"/>
      <c r="N130" s="4"/>
      <c r="O130" s="4"/>
      <c r="P130" s="40"/>
    </row>
    <row r="131" spans="1:16" x14ac:dyDescent="0.25">
      <c r="A131" s="37"/>
      <c r="B131" s="3" t="s">
        <v>81</v>
      </c>
      <c r="C131" s="3"/>
      <c r="D131" s="3"/>
      <c r="E131" s="3"/>
      <c r="F131" s="3"/>
      <c r="G131" s="3"/>
      <c r="H131" s="3"/>
      <c r="I131" s="4">
        <f t="shared" ref="I131:P131" si="73">I62/I60</f>
        <v>0.74152453148031161</v>
      </c>
      <c r="J131" s="4">
        <f t="shared" si="73"/>
        <v>0.74744561231972628</v>
      </c>
      <c r="K131" s="4">
        <f t="shared" si="73"/>
        <v>0.73068147574153008</v>
      </c>
      <c r="L131" s="4">
        <f t="shared" si="73"/>
        <v>0.73068147574152997</v>
      </c>
      <c r="M131" s="4">
        <f t="shared" si="73"/>
        <v>0.73068147574152997</v>
      </c>
      <c r="N131" s="4">
        <f t="shared" si="73"/>
        <v>0.73068147574152997</v>
      </c>
      <c r="O131" s="4">
        <f t="shared" si="73"/>
        <v>0.73068147574153008</v>
      </c>
      <c r="P131" s="40">
        <f t="shared" si="73"/>
        <v>0.73068147574153008</v>
      </c>
    </row>
    <row r="132" spans="1:16" x14ac:dyDescent="0.25">
      <c r="A132" s="37"/>
      <c r="B132" s="3" t="s">
        <v>82</v>
      </c>
      <c r="C132" s="3"/>
      <c r="D132" s="3"/>
      <c r="E132" s="3"/>
      <c r="F132" s="3"/>
      <c r="G132" s="3"/>
      <c r="H132" s="3"/>
      <c r="I132" s="4">
        <f t="shared" ref="I132:P132" si="74">I66/I60</f>
        <v>0.21262371025479046</v>
      </c>
      <c r="J132" s="4">
        <f t="shared" si="74"/>
        <v>0.22302615497433395</v>
      </c>
      <c r="K132" s="4">
        <f t="shared" si="74"/>
        <v>0.1817125145292523</v>
      </c>
      <c r="L132" s="4">
        <f t="shared" si="74"/>
        <v>0.18171251452925227</v>
      </c>
      <c r="M132" s="4">
        <f t="shared" si="74"/>
        <v>0.23711739635800089</v>
      </c>
      <c r="N132" s="4">
        <f t="shared" si="74"/>
        <v>0.23711739635800083</v>
      </c>
      <c r="O132" s="4">
        <f t="shared" si="74"/>
        <v>0.30149531975585259</v>
      </c>
      <c r="P132" s="40">
        <f t="shared" si="74"/>
        <v>0.34051224302727778</v>
      </c>
    </row>
    <row r="133" spans="1:16" x14ac:dyDescent="0.25">
      <c r="A133" s="37"/>
      <c r="B133" s="3" t="s">
        <v>83</v>
      </c>
      <c r="C133" s="3"/>
      <c r="D133" s="3"/>
      <c r="E133" s="3"/>
      <c r="F133" s="3"/>
      <c r="G133" s="3"/>
      <c r="H133" s="3"/>
      <c r="I133" s="4">
        <f t="shared" ref="I133:P133" si="75">I74/I60</f>
        <v>0.15345335860181092</v>
      </c>
      <c r="J133" s="4">
        <f t="shared" si="75"/>
        <v>0.19022243950134449</v>
      </c>
      <c r="K133" s="4">
        <f t="shared" si="75"/>
        <v>0.34917559946618459</v>
      </c>
      <c r="L133" s="4">
        <f t="shared" si="75"/>
        <v>0.12398042001250976</v>
      </c>
      <c r="M133" s="4">
        <f t="shared" si="75"/>
        <v>0.16565821528323663</v>
      </c>
      <c r="N133" s="4">
        <f t="shared" si="75"/>
        <v>0.16577991518437918</v>
      </c>
      <c r="O133" s="4">
        <f t="shared" si="75"/>
        <v>0.2157399085511936</v>
      </c>
      <c r="P133" s="40">
        <f t="shared" si="75"/>
        <v>0.24603885080018781</v>
      </c>
    </row>
    <row r="134" spans="1:16" x14ac:dyDescent="0.25">
      <c r="A134" s="37"/>
      <c r="B134" s="3" t="s">
        <v>84</v>
      </c>
      <c r="C134" s="3"/>
      <c r="D134" s="3"/>
      <c r="E134" s="3"/>
      <c r="F134" s="3"/>
      <c r="G134" s="3"/>
      <c r="H134" s="3"/>
      <c r="I134" s="4">
        <f t="shared" ref="I134:P134" si="76">I74/I30</f>
        <v>0.1312176457348638</v>
      </c>
      <c r="J134" s="4">
        <f t="shared" si="76"/>
        <v>0.14358463411934022</v>
      </c>
      <c r="K134" s="4">
        <f t="shared" si="76"/>
        <v>0.23014499333200925</v>
      </c>
      <c r="L134" s="4">
        <f t="shared" si="76"/>
        <v>7.6938147024636139E-2</v>
      </c>
      <c r="M134" s="4">
        <f t="shared" si="76"/>
        <v>9.4906353160000054E-2</v>
      </c>
      <c r="N134" s="4">
        <f t="shared" si="76"/>
        <v>0.11266971357319025</v>
      </c>
      <c r="O134" s="4">
        <f t="shared" si="76"/>
        <v>0.14675056700709094</v>
      </c>
      <c r="P134" s="40">
        <f t="shared" si="76"/>
        <v>0.19713582477429928</v>
      </c>
    </row>
    <row r="135" spans="1:16" x14ac:dyDescent="0.25">
      <c r="A135" s="37"/>
      <c r="B135" s="3" t="s">
        <v>85</v>
      </c>
      <c r="C135" s="3"/>
      <c r="D135" s="3"/>
      <c r="E135" s="3"/>
      <c r="F135" s="3"/>
      <c r="G135" s="3"/>
      <c r="H135" s="3"/>
      <c r="I135" s="4">
        <f t="shared" ref="I135:P135" si="77">I74/I51</f>
        <v>0.19705266004191169</v>
      </c>
      <c r="J135" s="4">
        <f t="shared" si="77"/>
        <v>0.25194250194250201</v>
      </c>
      <c r="K135" s="4">
        <f t="shared" si="77"/>
        <v>0.37012868485899442</v>
      </c>
      <c r="L135" s="4">
        <f t="shared" si="77"/>
        <v>0.11820353990135021</v>
      </c>
      <c r="M135" s="4">
        <f t="shared" si="77"/>
        <v>0.13874636043683533</v>
      </c>
      <c r="N135" s="4">
        <f t="shared" si="77"/>
        <v>0.17813023412605344</v>
      </c>
      <c r="O135" s="4">
        <f t="shared" si="77"/>
        <v>0.2137843510704617</v>
      </c>
      <c r="P135" s="40">
        <f t="shared" si="77"/>
        <v>0.2938742680662712</v>
      </c>
    </row>
    <row r="136" spans="1:16" x14ac:dyDescent="0.25">
      <c r="A136" s="37"/>
      <c r="B136" s="3" t="s">
        <v>91</v>
      </c>
      <c r="C136" s="3"/>
      <c r="D136" s="3"/>
      <c r="E136" s="3"/>
      <c r="F136" s="3"/>
      <c r="G136" s="3"/>
      <c r="H136" s="3"/>
      <c r="I136" s="4">
        <f t="shared" ref="I136:P136" si="78">I74/(I30-I42)</f>
        <v>0.19705266004191166</v>
      </c>
      <c r="J136" s="4">
        <f t="shared" si="78"/>
        <v>0.25194250194250201</v>
      </c>
      <c r="K136" s="4">
        <f t="shared" si="78"/>
        <v>0.37012868485899425</v>
      </c>
      <c r="L136" s="4">
        <f t="shared" si="78"/>
        <v>0.11820353990135021</v>
      </c>
      <c r="M136" s="4">
        <f t="shared" si="78"/>
        <v>0.13874636043683525</v>
      </c>
      <c r="N136" s="4">
        <f t="shared" si="78"/>
        <v>0.17813023412605344</v>
      </c>
      <c r="O136" s="4">
        <f t="shared" si="78"/>
        <v>0.21378435107046168</v>
      </c>
      <c r="P136" s="40">
        <f t="shared" si="78"/>
        <v>0.2938742680662712</v>
      </c>
    </row>
    <row r="137" spans="1:16" ht="15.75" thickBot="1" x14ac:dyDescent="0.3">
      <c r="A137" s="42"/>
      <c r="B137" s="43"/>
      <c r="C137" s="43"/>
      <c r="D137" s="43"/>
      <c r="E137" s="43"/>
      <c r="F137" s="43"/>
      <c r="G137" s="43"/>
      <c r="H137" s="43"/>
      <c r="I137" s="44"/>
      <c r="J137" s="44"/>
      <c r="K137" s="44"/>
      <c r="L137" s="44"/>
      <c r="M137" s="44"/>
      <c r="N137" s="44"/>
      <c r="O137" s="44"/>
      <c r="P137" s="45"/>
    </row>
    <row r="138" spans="1:16" x14ac:dyDescent="0.25">
      <c r="I138" s="2"/>
      <c r="J138" s="2"/>
      <c r="K138" s="2"/>
    </row>
    <row r="139" spans="1:16" ht="15.75" thickBot="1" x14ac:dyDescent="0.3"/>
    <row r="140" spans="1:16" x14ac:dyDescent="0.25">
      <c r="A140" s="46" t="s">
        <v>89</v>
      </c>
      <c r="B140" s="47"/>
      <c r="C140" s="47"/>
      <c r="D140" s="47"/>
      <c r="E140" s="47"/>
      <c r="F140" s="47"/>
      <c r="G140" s="47"/>
      <c r="H140" s="47"/>
      <c r="I140" s="48"/>
      <c r="J140" s="48"/>
      <c r="K140" s="48"/>
      <c r="L140" s="48"/>
      <c r="M140" s="48"/>
      <c r="N140" s="48"/>
      <c r="O140" s="48"/>
      <c r="P140" s="49"/>
    </row>
    <row r="141" spans="1:16" x14ac:dyDescent="0.25">
      <c r="A141" s="50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51"/>
    </row>
    <row r="142" spans="1:16" x14ac:dyDescent="0.25">
      <c r="A142" s="50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51"/>
    </row>
    <row r="143" spans="1:16" x14ac:dyDescent="0.25">
      <c r="A143" s="50"/>
      <c r="B143" s="9"/>
      <c r="C143" s="9"/>
      <c r="D143" s="9"/>
      <c r="E143" s="9"/>
      <c r="F143" s="9"/>
      <c r="G143" s="9"/>
      <c r="H143" s="9"/>
      <c r="I143" s="9">
        <v>2012</v>
      </c>
      <c r="J143" s="9">
        <v>2013</v>
      </c>
      <c r="K143" s="9">
        <v>2014</v>
      </c>
      <c r="L143" s="12">
        <v>2015</v>
      </c>
      <c r="M143" s="12">
        <v>2016</v>
      </c>
      <c r="N143" s="12">
        <v>2017</v>
      </c>
      <c r="O143" s="12">
        <v>2018</v>
      </c>
      <c r="P143" s="52">
        <v>2019</v>
      </c>
    </row>
    <row r="144" spans="1:16" x14ac:dyDescent="0.25">
      <c r="A144" s="50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10"/>
      <c r="P144" s="53"/>
    </row>
    <row r="145" spans="1:16" x14ac:dyDescent="0.25">
      <c r="A145" s="50" t="s">
        <v>90</v>
      </c>
      <c r="B145" s="9"/>
      <c r="C145" s="9"/>
      <c r="D145" s="9"/>
      <c r="E145" s="9"/>
      <c r="F145" s="9"/>
      <c r="G145" s="9"/>
      <c r="H145" s="9"/>
      <c r="I145" s="10">
        <f>I133</f>
        <v>0.15345335860181092</v>
      </c>
      <c r="J145" s="10">
        <f>J133</f>
        <v>0.19022243950134449</v>
      </c>
      <c r="K145" s="10">
        <f>K133</f>
        <v>0.34917559946618459</v>
      </c>
      <c r="L145" s="10">
        <f t="shared" ref="L145:P145" si="79">L133</f>
        <v>0.12398042001250976</v>
      </c>
      <c r="M145" s="10">
        <f>M133</f>
        <v>0.16565821528323663</v>
      </c>
      <c r="N145" s="10">
        <f t="shared" si="79"/>
        <v>0.16577991518437918</v>
      </c>
      <c r="O145" s="10">
        <f t="shared" si="79"/>
        <v>0.2157399085511936</v>
      </c>
      <c r="P145" s="53">
        <f t="shared" si="79"/>
        <v>0.24603885080018781</v>
      </c>
    </row>
    <row r="146" spans="1:16" x14ac:dyDescent="0.25">
      <c r="A146" s="50" t="s">
        <v>87</v>
      </c>
      <c r="B146" s="9"/>
      <c r="C146" s="9"/>
      <c r="D146" s="9"/>
      <c r="E146" s="9"/>
      <c r="F146" s="9"/>
      <c r="G146" s="9"/>
      <c r="H146" s="9"/>
      <c r="I146" s="10">
        <f>I120</f>
        <v>0.8550979068197162</v>
      </c>
      <c r="J146" s="10">
        <f>J120</f>
        <v>0.75482490128787028</v>
      </c>
      <c r="K146" s="10">
        <f>K120</f>
        <v>0.65910961041909033</v>
      </c>
      <c r="L146" s="10">
        <f t="shared" ref="L146:P146" si="80">L120</f>
        <v>0.62056691707346201</v>
      </c>
      <c r="M146" s="10">
        <f t="shared" si="80"/>
        <v>0.57290459756392098</v>
      </c>
      <c r="N146" s="10">
        <f t="shared" si="80"/>
        <v>0.67963428167929651</v>
      </c>
      <c r="O146" s="10">
        <f t="shared" si="80"/>
        <v>0.68021984431437743</v>
      </c>
      <c r="P146" s="53">
        <f t="shared" si="80"/>
        <v>0.80123860168082361</v>
      </c>
    </row>
    <row r="147" spans="1:16" x14ac:dyDescent="0.25">
      <c r="A147" s="50" t="s">
        <v>88</v>
      </c>
      <c r="B147" s="9"/>
      <c r="C147" s="9"/>
      <c r="D147" s="9"/>
      <c r="E147" s="9"/>
      <c r="F147" s="9"/>
      <c r="G147" s="9"/>
      <c r="H147" s="9"/>
      <c r="I147" s="10">
        <f>I128</f>
        <v>1.5017237882782399</v>
      </c>
      <c r="J147" s="10">
        <f>J128</f>
        <v>1.7546620046620049</v>
      </c>
      <c r="K147" s="10">
        <f>K128</f>
        <v>1.6082413069270789</v>
      </c>
      <c r="L147" s="10">
        <f t="shared" ref="L147:P147" si="81">L128</f>
        <v>1.5363450313340743</v>
      </c>
      <c r="M147" s="10">
        <f t="shared" si="81"/>
        <v>1.4619291102980914</v>
      </c>
      <c r="N147" s="10">
        <f t="shared" si="81"/>
        <v>1.5809948252894068</v>
      </c>
      <c r="O147" s="10">
        <f t="shared" si="81"/>
        <v>1.4567872235896147</v>
      </c>
      <c r="P147" s="53">
        <f t="shared" si="81"/>
        <v>1.4907197532601073</v>
      </c>
    </row>
    <row r="148" spans="1:16" ht="15.75" thickBot="1" x14ac:dyDescent="0.3">
      <c r="A148" s="54" t="s">
        <v>85</v>
      </c>
      <c r="B148" s="55"/>
      <c r="C148" s="55"/>
      <c r="D148" s="55"/>
      <c r="E148" s="55"/>
      <c r="F148" s="55"/>
      <c r="G148" s="55"/>
      <c r="H148" s="55"/>
      <c r="I148" s="56">
        <f t="shared" ref="I148:P148" si="82">I145*I146*I147</f>
        <v>0.19705266004191171</v>
      </c>
      <c r="J148" s="56">
        <f t="shared" si="82"/>
        <v>0.25194250194250201</v>
      </c>
      <c r="K148" s="56">
        <f t="shared" si="82"/>
        <v>0.37012868485899442</v>
      </c>
      <c r="L148" s="56">
        <f t="shared" si="82"/>
        <v>0.11820353990135023</v>
      </c>
      <c r="M148" s="56">
        <f t="shared" si="82"/>
        <v>0.13874636043683536</v>
      </c>
      <c r="N148" s="56">
        <f t="shared" si="82"/>
        <v>0.17813023412605342</v>
      </c>
      <c r="O148" s="56">
        <f t="shared" si="82"/>
        <v>0.2137843510704617</v>
      </c>
      <c r="P148" s="57">
        <f t="shared" si="82"/>
        <v>0.29387426806627115</v>
      </c>
    </row>
  </sheetData>
  <sheetProtection sheet="1" objects="1" scenarios="1"/>
  <protectedRanges>
    <protectedRange sqref="W31:W40" name="Range1"/>
  </protectedRanges>
  <pageMargins left="0.7" right="0.7" top="0.75" bottom="0.75" header="0.3" footer="0.3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 Marks</dc:creator>
  <cp:lastModifiedBy>Lloyd Marks</cp:lastModifiedBy>
  <cp:lastPrinted>2016-03-10T02:05:13Z</cp:lastPrinted>
  <dcterms:created xsi:type="dcterms:W3CDTF">2016-02-15T15:36:02Z</dcterms:created>
  <dcterms:modified xsi:type="dcterms:W3CDTF">2019-02-24T20:32:53Z</dcterms:modified>
</cp:coreProperties>
</file>