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ribarrientos/Downloads/"/>
    </mc:Choice>
  </mc:AlternateContent>
  <xr:revisionPtr revIDLastSave="0" documentId="8_{5E316009-AA73-374D-B9DC-CA10F50B8AE5}" xr6:coauthVersionLast="47" xr6:coauthVersionMax="47" xr10:uidLastSave="{00000000-0000-0000-0000-000000000000}"/>
  <bookViews>
    <workbookView xWindow="420" yWindow="0" windowWidth="27320" windowHeight="18000" xr2:uid="{00000000-000D-0000-FFFF-FFFF00000000}"/>
  </bookViews>
  <sheets>
    <sheet name="Budget vs. Actu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6" i="1" s="1"/>
  <c r="F17" i="1" s="1"/>
  <c r="F11" i="1"/>
  <c r="F12" i="1"/>
  <c r="F13" i="1"/>
  <c r="F14" i="1"/>
  <c r="F15" i="1"/>
  <c r="E16" i="1"/>
  <c r="F21" i="1"/>
  <c r="F24" i="1"/>
  <c r="F25" i="1"/>
  <c r="F26" i="1"/>
  <c r="F28" i="1"/>
  <c r="F29" i="1" s="1"/>
  <c r="F30" i="1"/>
  <c r="F32" i="1"/>
  <c r="F33" i="1"/>
  <c r="F35" i="1"/>
  <c r="F36" i="1"/>
  <c r="F38" i="1"/>
  <c r="F39" i="1"/>
  <c r="F41" i="1"/>
  <c r="E42" i="1"/>
  <c r="E54" i="1" s="1"/>
  <c r="E55" i="1" s="1"/>
  <c r="F42" i="1"/>
  <c r="F43" i="1"/>
  <c r="F44" i="1"/>
  <c r="F45" i="1"/>
  <c r="F46" i="1"/>
  <c r="F49" i="1"/>
  <c r="F50" i="1"/>
  <c r="F52" i="1"/>
  <c r="E53" i="1"/>
  <c r="F53" i="1"/>
  <c r="F57" i="1"/>
  <c r="F58" i="1"/>
  <c r="F60" i="1"/>
  <c r="F62" i="1"/>
  <c r="F63" i="1" s="1"/>
  <c r="C56" i="1"/>
  <c r="B57" i="1"/>
  <c r="B53" i="1"/>
  <c r="C52" i="1"/>
  <c r="B52" i="1"/>
  <c r="C51" i="1"/>
  <c r="C54" i="1" s="1"/>
  <c r="B51" i="1"/>
  <c r="B46" i="1"/>
  <c r="B45" i="1"/>
  <c r="B44" i="1"/>
  <c r="B43" i="1"/>
  <c r="C47" i="1"/>
  <c r="B42" i="1"/>
  <c r="B40" i="1"/>
  <c r="B38" i="1"/>
  <c r="C37" i="1"/>
  <c r="C35" i="1"/>
  <c r="C34" i="1"/>
  <c r="B34" i="1"/>
  <c r="C33" i="1"/>
  <c r="B33" i="1"/>
  <c r="B32" i="1"/>
  <c r="B31" i="1"/>
  <c r="B29" i="1"/>
  <c r="C28" i="1"/>
  <c r="B28" i="1"/>
  <c r="C27" i="1"/>
  <c r="B27" i="1"/>
  <c r="C26" i="1"/>
  <c r="B26" i="1"/>
  <c r="C24" i="1"/>
  <c r="B23" i="1"/>
  <c r="B22" i="1"/>
  <c r="B20" i="1"/>
  <c r="B19" i="1"/>
  <c r="B18" i="1"/>
  <c r="B12" i="1"/>
  <c r="B10" i="1"/>
  <c r="B9" i="1"/>
  <c r="B8" i="1"/>
  <c r="F54" i="1" l="1"/>
  <c r="F55" i="1" s="1"/>
  <c r="F65" i="1" s="1"/>
  <c r="F64" i="1"/>
  <c r="C36" i="1"/>
  <c r="B14" i="1"/>
  <c r="B15" i="1" s="1"/>
  <c r="B54" i="1"/>
  <c r="B58" i="1" s="1"/>
  <c r="B36" i="1"/>
  <c r="B24" i="1"/>
  <c r="C48" i="1"/>
  <c r="C14" i="1"/>
  <c r="B47" i="1"/>
  <c r="C57" i="1"/>
  <c r="B48" i="1" l="1"/>
  <c r="C58" i="1"/>
  <c r="C15" i="1"/>
  <c r="B49" i="1" l="1"/>
  <c r="C49" i="1"/>
  <c r="C59" i="1" l="1"/>
  <c r="B59" i="1"/>
</calcChain>
</file>

<file path=xl/sharedStrings.xml><?xml version="1.0" encoding="utf-8"?>
<sst xmlns="http://schemas.openxmlformats.org/spreadsheetml/2006/main" count="62" uniqueCount="61">
  <si>
    <t>Total</t>
  </si>
  <si>
    <t>Income</t>
  </si>
  <si>
    <t xml:space="preserve">   Association Dues Income</t>
  </si>
  <si>
    <t xml:space="preserve">   Interest Income</t>
  </si>
  <si>
    <t xml:space="preserve">   Laundry/Vending Income</t>
  </si>
  <si>
    <t xml:space="preserve">   Pet Fees (reoocurring)</t>
  </si>
  <si>
    <t xml:space="preserve">   Rental Income</t>
  </si>
  <si>
    <t>Total Income</t>
  </si>
  <si>
    <t>Gross Profit</t>
  </si>
  <si>
    <t>Expenses</t>
  </si>
  <si>
    <t xml:space="preserve">   General business expenses</t>
  </si>
  <si>
    <t xml:space="preserve">      Accounting/Fees/Taxes</t>
  </si>
  <si>
    <t xml:space="preserve">      Bank fees &amp; service charges</t>
  </si>
  <si>
    <t xml:space="preserve">      Business insurance</t>
  </si>
  <si>
    <t xml:space="preserve">      Management Fees</t>
  </si>
  <si>
    <t xml:space="preserve">      Office supplies</t>
  </si>
  <si>
    <t xml:space="preserve">      Professional and Legal Fees</t>
  </si>
  <si>
    <t xml:space="preserve">   Total General business expenses</t>
  </si>
  <si>
    <t xml:space="preserve">   REPAIRS &amp; MAINTENANCE</t>
  </si>
  <si>
    <t xml:space="preserve">      Boiler</t>
  </si>
  <si>
    <t xml:space="preserve">      Buildings</t>
  </si>
  <si>
    <t xml:space="preserve">      Carpet Cleaning</t>
  </si>
  <si>
    <t xml:space="preserve">      Chimney Cleaning</t>
  </si>
  <si>
    <t xml:space="preserve">      Fire Alarm</t>
  </si>
  <si>
    <t xml:space="preserve">      Hallway Cleaning</t>
  </si>
  <si>
    <t xml:space="preserve">      Landscaping</t>
  </si>
  <si>
    <t xml:space="preserve">      Pest Control</t>
  </si>
  <si>
    <t xml:space="preserve">      Pool Supplies (TBD)</t>
  </si>
  <si>
    <t xml:space="preserve">      Window Washing</t>
  </si>
  <si>
    <t xml:space="preserve">   Total REPAIRS &amp; MAINTENANCE</t>
  </si>
  <si>
    <t xml:space="preserve">   Reserve Fund</t>
  </si>
  <si>
    <t xml:space="preserve">   Snow Removal</t>
  </si>
  <si>
    <t xml:space="preserve">   Snow Removal Extra</t>
  </si>
  <si>
    <t xml:space="preserve">   Trash Removal</t>
  </si>
  <si>
    <t xml:space="preserve">   Utilities</t>
  </si>
  <si>
    <t xml:space="preserve">      Disposal &amp; waste fees</t>
  </si>
  <si>
    <t xml:space="preserve">      Electricity</t>
  </si>
  <si>
    <t xml:space="preserve">      Natural Gas</t>
  </si>
  <si>
    <t xml:space="preserve">      Phone service</t>
  </si>
  <si>
    <t xml:space="preserve">      Water &amp; sewer</t>
  </si>
  <si>
    <t xml:space="preserve">   Total Utilities</t>
  </si>
  <si>
    <t>Total Expenses</t>
  </si>
  <si>
    <t>Net Operating Income</t>
  </si>
  <si>
    <t>Other Income</t>
  </si>
  <si>
    <t xml:space="preserve">   Building Project Assessment Income</t>
  </si>
  <si>
    <t xml:space="preserve">   Capital Improvement Reserve Income</t>
  </si>
  <si>
    <t xml:space="preserve">   Interest earned</t>
  </si>
  <si>
    <t>Total Other Income</t>
  </si>
  <si>
    <t>Other Expenses</t>
  </si>
  <si>
    <t xml:space="preserve">   Building Project Assessment Expense</t>
  </si>
  <si>
    <t>Total Other Expenses</t>
  </si>
  <si>
    <t>Net Other Income</t>
  </si>
  <si>
    <t>Net Income</t>
  </si>
  <si>
    <t>Wednesday, Jan 18, 2023 03:19:12 PM GMT-8 - Accrual Basis</t>
  </si>
  <si>
    <t>Snow Lion at Vail Condominiums Association, INC</t>
  </si>
  <si>
    <t xml:space="preserve">Budget vs. Actuals: FY2022 - FY22 P&amp;L </t>
  </si>
  <si>
    <t>January - December 2022</t>
  </si>
  <si>
    <t>JAN - DEC 22 Actual</t>
  </si>
  <si>
    <t>23' Proposed Budget</t>
  </si>
  <si>
    <t>21' Budget</t>
  </si>
  <si>
    <t>Jan - Oct, 2021 (PY)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</si>
</sst>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right" wrapText="1"/>
    </xf>
    <xf numFmtId="165" fontId="2" fillId="2" borderId="2" xfId="0" applyNumberFormat="1" applyFont="1" applyFill="1" applyBorder="1" applyAlignment="1">
      <alignment horizontal="right" wrapText="1"/>
    </xf>
    <xf numFmtId="165" fontId="2" fillId="2" borderId="3" xfId="0" applyNumberFormat="1" applyFont="1" applyFill="1" applyBorder="1" applyAlignment="1">
      <alignment horizontal="right" wrapText="1"/>
    </xf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31" zoomScale="150" zoomScaleNormal="150" workbookViewId="0">
      <selection activeCell="B49" sqref="B49"/>
    </sheetView>
  </sheetViews>
  <sheetFormatPr baseColWidth="10" defaultColWidth="8.83203125" defaultRowHeight="15" x14ac:dyDescent="0.2"/>
  <cols>
    <col min="1" max="1" width="33.5" customWidth="1"/>
    <col min="2" max="2" width="16.33203125" customWidth="1"/>
    <col min="3" max="3" width="16.33203125" style="13" customWidth="1"/>
    <col min="5" max="6" width="27.5" customWidth="1"/>
  </cols>
  <sheetData>
    <row r="1" spans="1:6" ht="18" x14ac:dyDescent="0.2">
      <c r="A1" s="18" t="s">
        <v>54</v>
      </c>
      <c r="B1" s="17"/>
      <c r="C1" s="17"/>
    </row>
    <row r="2" spans="1:6" ht="18" x14ac:dyDescent="0.2">
      <c r="A2" s="18" t="s">
        <v>55</v>
      </c>
      <c r="B2" s="17"/>
      <c r="C2" s="17"/>
    </row>
    <row r="3" spans="1:6" x14ac:dyDescent="0.2">
      <c r="A3" s="19" t="s">
        <v>56</v>
      </c>
      <c r="B3" s="17"/>
      <c r="C3" s="17"/>
    </row>
    <row r="4" spans="1:6" x14ac:dyDescent="0.2">
      <c r="E4" s="2"/>
      <c r="F4" s="2"/>
    </row>
    <row r="5" spans="1:6" x14ac:dyDescent="0.2">
      <c r="A5" s="1"/>
      <c r="B5" s="14" t="s">
        <v>0</v>
      </c>
      <c r="C5" s="15"/>
      <c r="E5" s="4"/>
      <c r="F5" s="4"/>
    </row>
    <row r="6" spans="1:6" x14ac:dyDescent="0.2">
      <c r="A6" s="1"/>
      <c r="B6" s="2" t="s">
        <v>57</v>
      </c>
      <c r="C6" s="8" t="s">
        <v>58</v>
      </c>
      <c r="E6" s="2" t="s">
        <v>59</v>
      </c>
      <c r="F6" s="2" t="s">
        <v>60</v>
      </c>
    </row>
    <row r="7" spans="1:6" x14ac:dyDescent="0.2">
      <c r="A7" s="3" t="s">
        <v>1</v>
      </c>
      <c r="B7" s="4"/>
      <c r="C7" s="9"/>
      <c r="E7" s="4"/>
      <c r="F7" s="4"/>
    </row>
    <row r="8" spans="1:6" x14ac:dyDescent="0.2">
      <c r="A8" s="3" t="s">
        <v>2</v>
      </c>
      <c r="B8" s="5">
        <f>150150.48</f>
        <v>150150.48000000001</v>
      </c>
      <c r="C8" s="10">
        <v>150150</v>
      </c>
      <c r="E8" s="5">
        <v>150150</v>
      </c>
      <c r="F8" s="5">
        <f>125124.71</f>
        <v>125124.71</v>
      </c>
    </row>
    <row r="9" spans="1:6" x14ac:dyDescent="0.2">
      <c r="A9" s="3" t="s">
        <v>3</v>
      </c>
      <c r="B9" s="5">
        <f>247.54</f>
        <v>247.54</v>
      </c>
      <c r="C9" s="10">
        <v>250</v>
      </c>
      <c r="E9" s="5">
        <v>168</v>
      </c>
      <c r="F9" s="5">
        <f>42.11</f>
        <v>42.11</v>
      </c>
    </row>
    <row r="10" spans="1:6" x14ac:dyDescent="0.2">
      <c r="A10" s="3" t="s">
        <v>4</v>
      </c>
      <c r="B10" s="5">
        <f>2095.79</f>
        <v>2095.79</v>
      </c>
      <c r="C10" s="10">
        <v>2000</v>
      </c>
      <c r="E10" s="4"/>
      <c r="F10" s="5">
        <f>6515.9</f>
        <v>6515.9</v>
      </c>
    </row>
    <row r="11" spans="1:6" x14ac:dyDescent="0.2">
      <c r="A11" s="3" t="s">
        <v>5</v>
      </c>
      <c r="B11" s="4"/>
      <c r="C11" s="10">
        <v>0</v>
      </c>
      <c r="E11" s="5">
        <v>1600</v>
      </c>
      <c r="F11" s="5">
        <f>1526.69</f>
        <v>1526.69</v>
      </c>
    </row>
    <row r="12" spans="1:6" x14ac:dyDescent="0.2">
      <c r="A12" s="3" t="s">
        <v>6</v>
      </c>
      <c r="B12" s="5">
        <f>13052</f>
        <v>13052</v>
      </c>
      <c r="C12" s="10">
        <v>12240</v>
      </c>
      <c r="E12" s="5">
        <v>12240</v>
      </c>
      <c r="F12" s="5">
        <f>10080</f>
        <v>10080</v>
      </c>
    </row>
    <row r="13" spans="1:6" x14ac:dyDescent="0.2">
      <c r="A13" s="3" t="s">
        <v>5</v>
      </c>
      <c r="B13" s="4"/>
      <c r="C13" s="10">
        <v>175</v>
      </c>
      <c r="E13" s="4"/>
      <c r="F13" s="5">
        <f>50</f>
        <v>50</v>
      </c>
    </row>
    <row r="14" spans="1:6" x14ac:dyDescent="0.2">
      <c r="A14" s="3" t="s">
        <v>7</v>
      </c>
      <c r="B14" s="6">
        <f>(((((B8)+(B9))+(B10))+(B11))+(B12))+(B13)</f>
        <v>165545.81000000003</v>
      </c>
      <c r="C14" s="11">
        <f>(((((C8)+(C9))+(C10))+(C11))+(C12))+(C13)</f>
        <v>164815</v>
      </c>
      <c r="E14" s="4">
        <v>175</v>
      </c>
      <c r="F14" s="5">
        <f>-154.16</f>
        <v>-154.16</v>
      </c>
    </row>
    <row r="15" spans="1:6" x14ac:dyDescent="0.2">
      <c r="A15" s="3" t="s">
        <v>8</v>
      </c>
      <c r="B15" s="6">
        <f>(B14)-(0)</f>
        <v>165545.81000000003</v>
      </c>
      <c r="C15" s="11">
        <f>(C14)-(0)</f>
        <v>164815</v>
      </c>
      <c r="E15" s="5">
        <v>12000</v>
      </c>
      <c r="F15" s="5">
        <f>3123.89</f>
        <v>3123.89</v>
      </c>
    </row>
    <row r="16" spans="1:6" x14ac:dyDescent="0.2">
      <c r="A16" s="3" t="s">
        <v>9</v>
      </c>
      <c r="B16" s="4"/>
      <c r="C16" s="9"/>
      <c r="E16" s="7">
        <f>(((((((E8)+(E9))+(E10))+(E11))+(E12))+(E13))+(E14))+(E15)</f>
        <v>176333</v>
      </c>
      <c r="F16" s="7">
        <f>(((((((F8)+(F9))+(F10))+(F11))+(F12))+(F13))+(F14))+(F15)</f>
        <v>146309.14000000001</v>
      </c>
    </row>
    <row r="17" spans="1:6" x14ac:dyDescent="0.2">
      <c r="A17" s="3" t="s">
        <v>10</v>
      </c>
      <c r="B17" s="4"/>
      <c r="C17" s="9"/>
      <c r="E17" s="7"/>
      <c r="F17" s="7">
        <f>(F16)-(0)</f>
        <v>146309.14000000001</v>
      </c>
    </row>
    <row r="18" spans="1:6" x14ac:dyDescent="0.2">
      <c r="A18" s="3" t="s">
        <v>11</v>
      </c>
      <c r="B18" s="5">
        <f>11305.02</f>
        <v>11305.02</v>
      </c>
      <c r="C18" s="10">
        <v>10500</v>
      </c>
      <c r="E18" s="4"/>
      <c r="F18" s="4"/>
    </row>
    <row r="19" spans="1:6" x14ac:dyDescent="0.2">
      <c r="A19" s="3" t="s">
        <v>12</v>
      </c>
      <c r="B19" s="5">
        <f>1576.2</f>
        <v>1576.2</v>
      </c>
      <c r="C19" s="9"/>
      <c r="E19" s="5">
        <v>10000</v>
      </c>
      <c r="F19" s="4">
        <v>1721</v>
      </c>
    </row>
    <row r="20" spans="1:6" x14ac:dyDescent="0.2">
      <c r="A20" s="3" t="s">
        <v>13</v>
      </c>
      <c r="B20" s="5">
        <f>40061</f>
        <v>40061</v>
      </c>
      <c r="C20" s="10">
        <v>41500</v>
      </c>
      <c r="E20" s="5">
        <v>40000</v>
      </c>
      <c r="F20" s="4"/>
    </row>
    <row r="21" spans="1:6" x14ac:dyDescent="0.2">
      <c r="A21" s="3" t="s">
        <v>14</v>
      </c>
      <c r="B21" s="5">
        <v>10712.04</v>
      </c>
      <c r="C21" s="9">
        <v>12000</v>
      </c>
      <c r="E21" s="5">
        <v>3500</v>
      </c>
      <c r="F21" s="5">
        <f>2683.7</f>
        <v>2683.7</v>
      </c>
    </row>
    <row r="22" spans="1:6" x14ac:dyDescent="0.2">
      <c r="A22" s="3" t="s">
        <v>15</v>
      </c>
      <c r="B22" s="5">
        <f>748.23</f>
        <v>748.23</v>
      </c>
      <c r="C22" s="10">
        <v>1000</v>
      </c>
      <c r="E22" s="4"/>
      <c r="F22" s="4"/>
    </row>
    <row r="23" spans="1:6" x14ac:dyDescent="0.2">
      <c r="A23" s="3" t="s">
        <v>16</v>
      </c>
      <c r="B23" s="5">
        <f>12020.31</f>
        <v>12020.31</v>
      </c>
      <c r="C23" s="10">
        <v>10000</v>
      </c>
      <c r="E23" s="5"/>
      <c r="F23" s="4"/>
    </row>
    <row r="24" spans="1:6" x14ac:dyDescent="0.2">
      <c r="A24" s="3" t="s">
        <v>17</v>
      </c>
      <c r="B24" s="6">
        <f>((((((B17)+(B18))+(B19))+(B20))+(B21))+(B22))+(B23)</f>
        <v>76422.8</v>
      </c>
      <c r="C24" s="11">
        <f>((((((C17)+(C18))+(C19))+(C20))+(C21))+(C22))+(C23)</f>
        <v>75000</v>
      </c>
      <c r="E24" s="7">
        <v>0</v>
      </c>
      <c r="F24" s="7">
        <f>(F22)+(F23)</f>
        <v>0</v>
      </c>
    </row>
    <row r="25" spans="1:6" x14ac:dyDescent="0.2">
      <c r="A25" s="3" t="s">
        <v>18</v>
      </c>
      <c r="B25" s="4"/>
      <c r="C25" s="9"/>
      <c r="E25" s="4"/>
      <c r="F25" s="5">
        <f>37282.32</f>
        <v>37282.32</v>
      </c>
    </row>
    <row r="26" spans="1:6" x14ac:dyDescent="0.2">
      <c r="A26" s="3" t="s">
        <v>19</v>
      </c>
      <c r="B26" s="5">
        <f>8011.08</f>
        <v>8011.08</v>
      </c>
      <c r="C26" s="10">
        <f>5500</f>
        <v>5500</v>
      </c>
      <c r="E26" s="5">
        <v>6000</v>
      </c>
      <c r="F26" s="5">
        <f>2729.5</f>
        <v>2729.5</v>
      </c>
    </row>
    <row r="27" spans="1:6" x14ac:dyDescent="0.2">
      <c r="A27" s="3" t="s">
        <v>20</v>
      </c>
      <c r="B27" s="5">
        <f>15553.76</f>
        <v>15553.76</v>
      </c>
      <c r="C27" s="10">
        <f>7500</f>
        <v>7500</v>
      </c>
      <c r="E27" s="4"/>
      <c r="F27" s="4"/>
    </row>
    <row r="28" spans="1:6" x14ac:dyDescent="0.2">
      <c r="A28" s="3" t="s">
        <v>21</v>
      </c>
      <c r="B28" s="5">
        <f>3916.55</f>
        <v>3916.55</v>
      </c>
      <c r="C28" s="10">
        <f>3800</f>
        <v>3800</v>
      </c>
      <c r="E28" s="4"/>
      <c r="F28" s="5">
        <f>1721</f>
        <v>1721</v>
      </c>
    </row>
    <row r="29" spans="1:6" x14ac:dyDescent="0.2">
      <c r="A29" s="3" t="s">
        <v>22</v>
      </c>
      <c r="B29" s="5">
        <f>1785</f>
        <v>1785</v>
      </c>
      <c r="C29" s="10">
        <v>1800</v>
      </c>
      <c r="E29" s="7">
        <v>0</v>
      </c>
      <c r="F29" s="7">
        <f>(F27)+(F28)</f>
        <v>1721</v>
      </c>
    </row>
    <row r="30" spans="1:6" x14ac:dyDescent="0.2">
      <c r="A30" s="3" t="s">
        <v>23</v>
      </c>
      <c r="B30" s="5">
        <v>5660.61</v>
      </c>
      <c r="C30" s="10">
        <v>5000</v>
      </c>
      <c r="E30" s="5"/>
      <c r="F30" s="5">
        <f>20833.3</f>
        <v>20833.3</v>
      </c>
    </row>
    <row r="31" spans="1:6" x14ac:dyDescent="0.2">
      <c r="A31" s="3" t="s">
        <v>24</v>
      </c>
      <c r="B31" s="5">
        <f>9850</f>
        <v>9850</v>
      </c>
      <c r="C31" s="10">
        <v>7200</v>
      </c>
      <c r="E31" s="5">
        <v>50</v>
      </c>
      <c r="F31" s="4"/>
    </row>
    <row r="32" spans="1:6" x14ac:dyDescent="0.2">
      <c r="A32" s="3" t="s">
        <v>25</v>
      </c>
      <c r="B32" s="5">
        <f>8736.81</f>
        <v>8736.81</v>
      </c>
      <c r="C32" s="10">
        <v>6000</v>
      </c>
      <c r="E32" s="4"/>
      <c r="F32" s="5">
        <f>165</f>
        <v>165</v>
      </c>
    </row>
    <row r="33" spans="1:6" x14ac:dyDescent="0.2">
      <c r="A33" s="3" t="s">
        <v>26</v>
      </c>
      <c r="B33" s="5">
        <f>1200</f>
        <v>1200</v>
      </c>
      <c r="C33" s="10">
        <f>1500</f>
        <v>1500</v>
      </c>
      <c r="E33" s="5">
        <v>10000</v>
      </c>
      <c r="F33" s="5">
        <f>31524.96</f>
        <v>31524.959999999999</v>
      </c>
    </row>
    <row r="34" spans="1:6" x14ac:dyDescent="0.2">
      <c r="A34" s="3" t="s">
        <v>27</v>
      </c>
      <c r="B34" s="5">
        <f>6072.76</f>
        <v>6072.76</v>
      </c>
      <c r="C34" s="10">
        <f>0</f>
        <v>0</v>
      </c>
      <c r="E34" s="5"/>
      <c r="F34" s="4"/>
    </row>
    <row r="35" spans="1:6" x14ac:dyDescent="0.2">
      <c r="A35" s="3" t="s">
        <v>28</v>
      </c>
      <c r="B35" s="4"/>
      <c r="C35" s="10">
        <f>2000</f>
        <v>2000</v>
      </c>
      <c r="E35" s="4">
        <v>5500</v>
      </c>
      <c r="F35" s="5">
        <f>5746.95</f>
        <v>5746.95</v>
      </c>
    </row>
    <row r="36" spans="1:6" x14ac:dyDescent="0.2">
      <c r="A36" s="3" t="s">
        <v>29</v>
      </c>
      <c r="B36" s="6">
        <f>((((((((((B25)+(B26))+(B27))+(B28))+(B29))+(B30))+(B31))+(B32))+(B33))+(B34))+(B35)</f>
        <v>60786.57</v>
      </c>
      <c r="C36" s="11">
        <f>((((((((((C25)+(C26))+(C27))+(C28))+(C29))+(C30))+(C31))+(C32))+(C33))+(C34))+(C35)</f>
        <v>40300</v>
      </c>
      <c r="E36" s="5">
        <v>7500</v>
      </c>
      <c r="F36" s="5">
        <f>8966.78</f>
        <v>8966.7800000000007</v>
      </c>
    </row>
    <row r="37" spans="1:6" x14ac:dyDescent="0.2">
      <c r="A37" s="3" t="s">
        <v>30</v>
      </c>
      <c r="B37" s="4"/>
      <c r="C37" s="10">
        <f>12431</f>
        <v>12431</v>
      </c>
      <c r="E37" s="5">
        <v>1500</v>
      </c>
      <c r="F37" s="4"/>
    </row>
    <row r="38" spans="1:6" x14ac:dyDescent="0.2">
      <c r="A38" s="3" t="s">
        <v>31</v>
      </c>
      <c r="B38" s="5">
        <f>9836.98</f>
        <v>9836.98</v>
      </c>
      <c r="C38" s="10">
        <v>13500</v>
      </c>
      <c r="E38" s="4">
        <v>3800</v>
      </c>
      <c r="F38" s="5">
        <f>252</f>
        <v>252</v>
      </c>
    </row>
    <row r="39" spans="1:6" x14ac:dyDescent="0.2">
      <c r="A39" s="3" t="s">
        <v>32</v>
      </c>
      <c r="B39" s="4"/>
      <c r="C39" s="10"/>
      <c r="E39" s="5">
        <v>7200</v>
      </c>
      <c r="F39" s="5">
        <f>5947.2</f>
        <v>5947.2</v>
      </c>
    </row>
    <row r="40" spans="1:6" x14ac:dyDescent="0.2">
      <c r="A40" s="3" t="s">
        <v>33</v>
      </c>
      <c r="B40" s="5">
        <f>0</f>
        <v>0</v>
      </c>
      <c r="C40" s="9"/>
      <c r="E40" s="5">
        <v>1500</v>
      </c>
      <c r="F40" s="4"/>
    </row>
    <row r="41" spans="1:6" x14ac:dyDescent="0.2">
      <c r="A41" s="3" t="s">
        <v>34</v>
      </c>
      <c r="B41" s="4"/>
      <c r="C41" s="9"/>
      <c r="E41" s="4">
        <v>2000</v>
      </c>
      <c r="F41" s="5">
        <f>833</f>
        <v>833</v>
      </c>
    </row>
    <row r="42" spans="1:6" x14ac:dyDescent="0.2">
      <c r="A42" s="3" t="s">
        <v>35</v>
      </c>
      <c r="B42" s="5">
        <f>6040.19</f>
        <v>6040.19</v>
      </c>
      <c r="C42" s="10">
        <v>7000</v>
      </c>
      <c r="E42" s="7">
        <f>(((((((E34)+(E35))+(E36))+(E37))+(E38))+(E39))+(E40))+(E41)</f>
        <v>29000</v>
      </c>
      <c r="F42" s="7">
        <f>(((((((F34)+(F35))+(F36))+(F37))+(F38))+(F39))+(F40))+(F41)</f>
        <v>21745.93</v>
      </c>
    </row>
    <row r="43" spans="1:6" x14ac:dyDescent="0.2">
      <c r="A43" s="3" t="s">
        <v>36</v>
      </c>
      <c r="B43" s="5">
        <f>7359.02</f>
        <v>7359.02</v>
      </c>
      <c r="C43" s="10">
        <v>8000</v>
      </c>
      <c r="E43" s="4">
        <v>12431</v>
      </c>
      <c r="F43" s="5">
        <f>10358.42</f>
        <v>10358.42</v>
      </c>
    </row>
    <row r="44" spans="1:6" x14ac:dyDescent="0.2">
      <c r="A44" s="3" t="s">
        <v>37</v>
      </c>
      <c r="B44" s="5">
        <f>16155.83</f>
        <v>16155.83</v>
      </c>
      <c r="C44" s="10">
        <v>19500</v>
      </c>
      <c r="E44" s="5">
        <v>13500</v>
      </c>
      <c r="F44" s="5">
        <f>7237</f>
        <v>7237</v>
      </c>
    </row>
    <row r="45" spans="1:6" x14ac:dyDescent="0.2">
      <c r="A45" s="3" t="s">
        <v>38</v>
      </c>
      <c r="B45" s="5">
        <f>2350.34</f>
        <v>2350.34</v>
      </c>
      <c r="C45" s="10">
        <v>2400</v>
      </c>
      <c r="E45" s="4"/>
      <c r="F45" s="5">
        <f>1674.26</f>
        <v>1674.26</v>
      </c>
    </row>
    <row r="46" spans="1:6" x14ac:dyDescent="0.2">
      <c r="A46" s="3" t="s">
        <v>39</v>
      </c>
      <c r="B46" s="5">
        <f>29953.23</f>
        <v>29953.23</v>
      </c>
      <c r="C46" s="10">
        <v>31000</v>
      </c>
      <c r="E46" s="5"/>
      <c r="F46" s="5">
        <f>6657.82</f>
        <v>6657.82</v>
      </c>
    </row>
    <row r="47" spans="1:6" x14ac:dyDescent="0.2">
      <c r="A47" s="3" t="s">
        <v>40</v>
      </c>
      <c r="B47" s="6">
        <f>(((((B41)+(B42))+(B43))+(B44))+(B45))+(B46)</f>
        <v>61858.61</v>
      </c>
      <c r="C47" s="11">
        <f>(((((C41)+(C42))+(C43))+(C44))+(C45))+(C46)</f>
        <v>67900</v>
      </c>
      <c r="E47" s="4"/>
      <c r="F47" s="4"/>
    </row>
    <row r="48" spans="1:6" x14ac:dyDescent="0.2">
      <c r="A48" s="3" t="s">
        <v>41</v>
      </c>
      <c r="B48" s="6">
        <f>((((((B24)+(B36))+(B37))+(B38))+(B39))+(B40))+(B47)</f>
        <v>208904.96000000002</v>
      </c>
      <c r="C48" s="11">
        <f>((((((C24)+(C36))+(C37))+(C38))+(C39))+(C40))+(C47)</f>
        <v>209131</v>
      </c>
      <c r="E48" s="5">
        <v>7500</v>
      </c>
      <c r="F48" s="4"/>
    </row>
    <row r="49" spans="1:6" x14ac:dyDescent="0.2">
      <c r="A49" s="3" t="s">
        <v>42</v>
      </c>
      <c r="B49" s="6">
        <f>(B15)-(B48)</f>
        <v>-43359.149999999994</v>
      </c>
      <c r="C49" s="11">
        <f>(C15)-(C48)</f>
        <v>-44316</v>
      </c>
      <c r="E49" s="5">
        <v>7500</v>
      </c>
      <c r="F49" s="5">
        <f>4994.15</f>
        <v>4994.1499999999996</v>
      </c>
    </row>
    <row r="50" spans="1:6" x14ac:dyDescent="0.2">
      <c r="A50" s="3" t="s">
        <v>43</v>
      </c>
      <c r="B50" s="4"/>
      <c r="C50" s="9"/>
      <c r="E50" s="5">
        <v>12000</v>
      </c>
      <c r="F50" s="5">
        <f>6553.7</f>
        <v>6553.7</v>
      </c>
    </row>
    <row r="51" spans="1:6" x14ac:dyDescent="0.2">
      <c r="A51" s="3" t="s">
        <v>44</v>
      </c>
      <c r="B51" s="5">
        <f>199999.92</f>
        <v>199999.92</v>
      </c>
      <c r="C51" s="10">
        <f>200000</f>
        <v>200000</v>
      </c>
      <c r="E51" s="5">
        <v>2300</v>
      </c>
      <c r="F51" s="4"/>
    </row>
    <row r="52" spans="1:6" x14ac:dyDescent="0.2">
      <c r="A52" s="3" t="s">
        <v>45</v>
      </c>
      <c r="B52" s="5">
        <f>12433.32</f>
        <v>12433.32</v>
      </c>
      <c r="C52" s="10">
        <f>12431</f>
        <v>12431</v>
      </c>
      <c r="E52" s="5">
        <v>30000</v>
      </c>
      <c r="F52" s="5">
        <f>24180.93</f>
        <v>24180.93</v>
      </c>
    </row>
    <row r="53" spans="1:6" x14ac:dyDescent="0.2">
      <c r="A53" s="3" t="s">
        <v>46</v>
      </c>
      <c r="B53" s="5">
        <f>15.51</f>
        <v>15.51</v>
      </c>
      <c r="C53" s="9"/>
      <c r="E53" s="7">
        <f>(((((E47)+(E48))+(E49))+(E50))+(E51))+(E52)</f>
        <v>59300</v>
      </c>
      <c r="F53" s="7">
        <f>(((((F47)+(F48))+(F49))+(F50))+(F51))+(F52)</f>
        <v>35728.78</v>
      </c>
    </row>
    <row r="54" spans="1:6" x14ac:dyDescent="0.2">
      <c r="A54" s="3" t="s">
        <v>47</v>
      </c>
      <c r="B54" s="6">
        <f>((B51)+(B52))+(B53)</f>
        <v>212448.75000000003</v>
      </c>
      <c r="C54" s="11">
        <f>((C51)+(C52))+(C53)</f>
        <v>212431</v>
      </c>
      <c r="E54" s="7">
        <f>((((((((((((((((E19)+(E20))+(E21))+(E25))+(E26))+(E30))+(E31))+(E32))+(E33))+(E42))+(E43))+(E44))+(E45))+(E46))+(E53)))</f>
        <v>183781</v>
      </c>
      <c r="F54" s="7">
        <f>((((((((((((((((F19)+(F20))+(F21))+(F24))+(F25))+(F26))+(F29))+(F30))+(F31))+(F32))+(F33))+(F42))+(F43))+(F44))+(F45))+(F46))+(F53)</f>
        <v>182062.99000000002</v>
      </c>
    </row>
    <row r="55" spans="1:6" x14ac:dyDescent="0.2">
      <c r="A55" s="3" t="s">
        <v>48</v>
      </c>
      <c r="B55" s="4"/>
      <c r="C55" s="9"/>
      <c r="E55" s="7">
        <f>(E17)-(E54)+E16</f>
        <v>-7448</v>
      </c>
      <c r="F55" s="7">
        <f>(F17)-(F54)</f>
        <v>-35753.850000000006</v>
      </c>
    </row>
    <row r="56" spans="1:6" x14ac:dyDescent="0.2">
      <c r="A56" s="3" t="s">
        <v>49</v>
      </c>
      <c r="B56" s="5">
        <v>208632.34</v>
      </c>
      <c r="C56" s="10">
        <f>200000</f>
        <v>200000</v>
      </c>
      <c r="E56" s="4"/>
      <c r="F56" s="4"/>
    </row>
    <row r="57" spans="1:6" x14ac:dyDescent="0.2">
      <c r="A57" s="3" t="s">
        <v>50</v>
      </c>
      <c r="B57" s="6">
        <f>B56</f>
        <v>208632.34</v>
      </c>
      <c r="C57" s="11">
        <f>C56</f>
        <v>200000</v>
      </c>
      <c r="E57" s="5">
        <v>200000</v>
      </c>
      <c r="F57" s="5">
        <f>66666.28</f>
        <v>66666.28</v>
      </c>
    </row>
    <row r="58" spans="1:6" x14ac:dyDescent="0.2">
      <c r="A58" s="3" t="s">
        <v>51</v>
      </c>
      <c r="B58" s="6">
        <f>(B54)-(B57)</f>
        <v>3816.4100000000326</v>
      </c>
      <c r="C58" s="11">
        <f>(C54)-(C57)</f>
        <v>12431</v>
      </c>
      <c r="E58" s="5">
        <v>12431</v>
      </c>
      <c r="F58" s="5">
        <f>10358.42</f>
        <v>10358.42</v>
      </c>
    </row>
    <row r="59" spans="1:6" x14ac:dyDescent="0.2">
      <c r="A59" s="3" t="s">
        <v>52</v>
      </c>
      <c r="B59" s="7">
        <f>(B49)+(B58)</f>
        <v>-39542.739999999962</v>
      </c>
      <c r="C59" s="12">
        <f>(C49)+(C58)</f>
        <v>-31885</v>
      </c>
      <c r="E59" s="5"/>
      <c r="F59" s="4"/>
    </row>
    <row r="60" spans="1:6" x14ac:dyDescent="0.2">
      <c r="A60" s="3"/>
      <c r="B60" s="4"/>
      <c r="C60" s="9"/>
      <c r="E60" s="7"/>
      <c r="F60" s="7">
        <f>((F57)+(F58))+(F59)</f>
        <v>77024.7</v>
      </c>
    </row>
    <row r="61" spans="1:6" x14ac:dyDescent="0.2">
      <c r="E61" s="4"/>
      <c r="F61" s="4"/>
    </row>
    <row r="62" spans="1:6" x14ac:dyDescent="0.2">
      <c r="E62" s="5">
        <v>200000</v>
      </c>
      <c r="F62" s="5">
        <f>66666.28</f>
        <v>66666.28</v>
      </c>
    </row>
    <row r="63" spans="1:6" x14ac:dyDescent="0.2">
      <c r="A63" s="16" t="s">
        <v>53</v>
      </c>
      <c r="B63" s="17"/>
      <c r="C63" s="17"/>
      <c r="E63" s="7"/>
      <c r="F63" s="7">
        <f>F62</f>
        <v>66666.28</v>
      </c>
    </row>
    <row r="64" spans="1:6" x14ac:dyDescent="0.2">
      <c r="E64" s="7"/>
      <c r="F64" s="7">
        <f>(F60)-(F63)</f>
        <v>10358.419999999998</v>
      </c>
    </row>
    <row r="65" spans="5:6" x14ac:dyDescent="0.2">
      <c r="E65" s="7">
        <v>4983</v>
      </c>
      <c r="F65" s="7">
        <f>(F55)+(F64)</f>
        <v>-25395.430000000008</v>
      </c>
    </row>
  </sheetData>
  <mergeCells count="5">
    <mergeCell ref="B5:C5"/>
    <mergeCell ref="A63:C63"/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airibarrientos1@outlook.com</cp:lastModifiedBy>
  <dcterms:created xsi:type="dcterms:W3CDTF">2023-01-18T23:19:12Z</dcterms:created>
  <dcterms:modified xsi:type="dcterms:W3CDTF">2023-01-25T21:32:16Z</dcterms:modified>
</cp:coreProperties>
</file>