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ssessing\Desktop\2025 data\"/>
    </mc:Choice>
  </mc:AlternateContent>
  <xr:revisionPtr revIDLastSave="0" documentId="13_ncr:1_{A5883813-CBFC-43D2-8C17-7D0F042C285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.C.F. Analysis 2025" sheetId="3" r:id="rId1"/>
  </sheets>
  <calcPr calcId="191029" iterate="1" iterateCount="500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3" l="1"/>
  <c r="P26" i="3" s="1"/>
  <c r="I26" i="3"/>
  <c r="O24" i="3"/>
  <c r="M24" i="3"/>
  <c r="K24" i="3"/>
  <c r="L24" i="3" s="1"/>
  <c r="J24" i="3"/>
  <c r="H24" i="3"/>
  <c r="I24" i="3" s="1"/>
  <c r="O25" i="3"/>
  <c r="M25" i="3"/>
  <c r="K25" i="3"/>
  <c r="L25" i="3" s="1"/>
  <c r="I25" i="3"/>
  <c r="I23" i="3"/>
  <c r="G13" i="3"/>
  <c r="D13" i="3"/>
  <c r="O21" i="3"/>
  <c r="M21" i="3"/>
  <c r="K21" i="3"/>
  <c r="L21" i="3" s="1"/>
  <c r="I21" i="3"/>
  <c r="O5" i="3"/>
  <c r="M5" i="3"/>
  <c r="K5" i="3"/>
  <c r="L5" i="3" s="1"/>
  <c r="I5" i="3"/>
  <c r="O6" i="3"/>
  <c r="M6" i="3"/>
  <c r="K6" i="3"/>
  <c r="L6" i="3" s="1"/>
  <c r="I6" i="3"/>
  <c r="K7" i="3"/>
  <c r="L7" i="3" s="1"/>
  <c r="P7" i="3" s="1"/>
  <c r="J7" i="3"/>
  <c r="H7" i="3"/>
  <c r="I7" i="3" s="1"/>
  <c r="O8" i="3"/>
  <c r="M8" i="3"/>
  <c r="K8" i="3"/>
  <c r="L8" i="3" s="1"/>
  <c r="I8" i="3"/>
  <c r="N26" i="3" l="1"/>
  <c r="R26" i="3" s="1"/>
  <c r="P24" i="3"/>
  <c r="N24" i="3"/>
  <c r="R24" i="3" s="1"/>
  <c r="N25" i="3"/>
  <c r="P25" i="3"/>
  <c r="M13" i="3"/>
  <c r="P21" i="3"/>
  <c r="J13" i="3"/>
  <c r="P5" i="3"/>
  <c r="N5" i="3"/>
  <c r="H13" i="3"/>
  <c r="I14" i="3" s="1"/>
  <c r="N21" i="3"/>
  <c r="P6" i="3"/>
  <c r="N6" i="3"/>
  <c r="L13" i="3"/>
  <c r="N8" i="3"/>
  <c r="P8" i="3"/>
  <c r="N7" i="3"/>
  <c r="I15" i="3"/>
  <c r="N14" i="3" l="1"/>
  <c r="N15" i="3"/>
  <c r="R25" i="3" s="1"/>
  <c r="P13" i="3"/>
  <c r="R6" i="3" l="1"/>
  <c r="R5" i="3"/>
  <c r="R7" i="3"/>
  <c r="R21" i="3"/>
  <c r="R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Colleen Smith</author>
  </authors>
  <commentList>
    <comment ref="A21" authorId="0" shapeId="0" xr:uid="{06AAEB68-C0EA-4C96-8A05-DE5C09CB0BCF}">
      <text>
        <r>
          <rPr>
            <b/>
            <sz val="9"/>
            <color indexed="81"/>
            <rFont val="Tahoma"/>
            <family val="2"/>
          </rPr>
          <t>Colleen Smith:</t>
        </r>
        <r>
          <rPr>
            <sz val="9"/>
            <color indexed="81"/>
            <rFont val="Tahoma"/>
            <family val="2"/>
          </rPr>
          <t xml:space="preserve">
parcel has IFT for 2023 - used assessor info from 2022 at the time of sale
</t>
        </r>
      </text>
    </comment>
    <comment ref="A26" authorId="0" shapeId="0" xr:uid="{83BE776F-ABF6-4DAB-B160-ECFA2FED236D}">
      <text>
        <r>
          <rPr>
            <b/>
            <sz val="9"/>
            <color indexed="81"/>
            <rFont val="Tahoma"/>
            <family val="2"/>
          </rPr>
          <t>Colleen Smith:</t>
        </r>
        <r>
          <rPr>
            <sz val="9"/>
            <color indexed="81"/>
            <rFont val="Tahoma"/>
            <family val="2"/>
          </rPr>
          <t xml:space="preserve">
split in 2020 to 0100-03/0100-04. No updates after 2020.
</t>
        </r>
      </text>
    </comment>
  </commentList>
</comments>
</file>

<file path=xl/sharedStrings.xml><?xml version="1.0" encoding="utf-8"?>
<sst xmlns="http://schemas.openxmlformats.org/spreadsheetml/2006/main" count="74" uniqueCount="52">
  <si>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</si>
  <si>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</si>
  <si>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</si>
  <si>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</si>
  <si>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</si>
  <si>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</si>
  <si>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</si>
  <si>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</si>
  <si>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</si>
  <si>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</si>
  <si>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</si>
  <si>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</si>
  <si>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</si>
  <si>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</si>
  <si>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</si>
  <si>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</si>
  <si>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</si>
  <si>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</si>
  <si>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Other Parcels in Sale</t>
  </si>
  <si>
    <t>Land Table</t>
  </si>
  <si>
    <t>Property Class</t>
  </si>
  <si>
    <t>020-018-332-0100-00</t>
  </si>
  <si>
    <t>603 STATE</t>
  </si>
  <si>
    <t>WD</t>
  </si>
  <si>
    <t>MULTI PAR ARM LENGTH</t>
  </si>
  <si>
    <t>020-018-332-0200-00, 020-018-332-0300-00</t>
  </si>
  <si>
    <t>INDUSTRIAL PROPS</t>
  </si>
  <si>
    <t>020-027-000-0100-02</t>
  </si>
  <si>
    <t>6556 OAK</t>
  </si>
  <si>
    <t>MLC</t>
  </si>
  <si>
    <t>ARMS LENGTH</t>
  </si>
  <si>
    <t>301</t>
  </si>
  <si>
    <t>Totals:</t>
  </si>
  <si>
    <t>Sale. Ratio =&gt;</t>
  </si>
  <si>
    <t>E.C.F. =&gt;</t>
  </si>
  <si>
    <t>Std. Dev. =&gt;</t>
  </si>
  <si>
    <t>Ave. E.C.F. =&gt;</t>
  </si>
  <si>
    <t>020-015-000-5900-00</t>
  </si>
  <si>
    <t>4021 W SAGINAW</t>
  </si>
  <si>
    <t>LC</t>
  </si>
  <si>
    <t>006-004-000-1800-00</t>
  </si>
  <si>
    <t>1398 S BRADFORD</t>
  </si>
  <si>
    <t>035-033-000-4525-00</t>
  </si>
  <si>
    <t xml:space="preserve">4429 DOERR </t>
  </si>
  <si>
    <t>4260 DOERR</t>
  </si>
  <si>
    <t>035-033-000-1100-00, 035-033-000-1200-00</t>
  </si>
  <si>
    <t>035-033-000-1500-00</t>
  </si>
  <si>
    <t>043-500-108-0700-00</t>
  </si>
  <si>
    <t>6586 CENTER</t>
  </si>
  <si>
    <t>050-500-126-1000-00</t>
  </si>
  <si>
    <t>603 E FRANK</t>
  </si>
  <si>
    <t>FAIRGROVE TOWNSHIP INDUSTRIAL ECF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</si>
</sst>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0" fillId="0" borderId="0" xfId="0" quotePrefix="1" applyAlignment="1">
      <alignment horizontal="right"/>
    </xf>
    <xf numFmtId="166" fontId="2" fillId="0" borderId="2" xfId="0" applyNumberFormat="1" applyFont="1" applyBorder="1"/>
    <xf numFmtId="166" fontId="2" fillId="4" borderId="0" xfId="0" applyNumberFormat="1" applyFont="1" applyFill="1"/>
    <xf numFmtId="165" fontId="5" fillId="0" borderId="0" xfId="0" applyNumberFormat="1" applyFont="1" applyFill="1"/>
    <xf numFmtId="0" fontId="5" fillId="0" borderId="0" xfId="0" applyFont="1" applyFill="1"/>
    <xf numFmtId="6" fontId="0" fillId="0" borderId="0" xfId="0" applyNumberFormat="1" applyFill="1"/>
    <xf numFmtId="0" fontId="0" fillId="0" borderId="0" xfId="0" applyFill="1"/>
    <xf numFmtId="164" fontId="0" fillId="0" borderId="0" xfId="0" applyNumberFormat="1" applyFill="1"/>
    <xf numFmtId="166" fontId="0" fillId="0" borderId="0" xfId="0" applyNumberFormat="1" applyFill="1"/>
    <xf numFmtId="38" fontId="0" fillId="0" borderId="0" xfId="0" applyNumberFormat="1" applyFill="1"/>
    <xf numFmtId="167" fontId="0" fillId="0" borderId="0" xfId="0" applyNumberFormat="1" applyFill="1"/>
    <xf numFmtId="49" fontId="0" fillId="0" borderId="0" xfId="0" applyNumberFormat="1" applyFill="1" applyAlignment="1">
      <alignment horizontal="right"/>
    </xf>
    <xf numFmtId="168" fontId="0" fillId="0" borderId="0" xfId="0" applyNumberFormat="1" applyFill="1"/>
    <xf numFmtId="165" fontId="0" fillId="0" borderId="0" xfId="0" applyNumberFormat="1" applyFill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AB0C1-2B48-4C48-A2BA-DE09827126E3}">
  <sheetPr>
    <pageSetUpPr fitToPage="1"/>
  </sheetPr>
  <dimension ref="A1:BG26"/>
  <sheetViews>
    <sheetView tabSelected="1" zoomScaleNormal="100" workbookViewId="0">
      <selection activeCell="B17" sqref="B17"/>
    </sheetView>
  </sheetViews>
  <sheetFormatPr defaultRowHeight="15" x14ac:dyDescent="0.25"/>
  <cols>
    <col min="1" max="1" width="19.140625" bestFit="1" customWidth="1"/>
    <col min="2" max="2" width="16.5703125" bestFit="1" customWidth="1"/>
    <col min="3" max="3" width="9.28515625" style="17" bestFit="1" customWidth="1"/>
    <col min="4" max="4" width="10.85546875" style="7" bestFit="1" customWidth="1"/>
    <col min="5" max="5" width="5.5703125" bestFit="1" customWidth="1"/>
    <col min="6" max="6" width="22.7109375" bestFit="1" customWidth="1"/>
    <col min="7" max="7" width="10.85546875" style="7" bestFit="1" customWidth="1"/>
    <col min="8" max="8" width="14.7109375" style="7" bestFit="1" customWidth="1"/>
    <col min="9" max="9" width="12.85546875" style="12" bestFit="1" customWidth="1"/>
    <col min="10" max="10" width="13.42578125" style="7" bestFit="1" customWidth="1"/>
    <col min="11" max="11" width="11" style="7" bestFit="1" customWidth="1"/>
    <col min="12" max="12" width="13.5703125" style="7" bestFit="1" customWidth="1"/>
    <col min="13" max="13" width="12.7109375" style="7" bestFit="1" customWidth="1"/>
    <col min="14" max="14" width="7.7109375" style="22" bestFit="1" customWidth="1"/>
    <col min="15" max="15" width="10.140625" style="25" bestFit="1" customWidth="1"/>
    <col min="16" max="16" width="15.5703125" style="30" bestFit="1" customWidth="1"/>
    <col min="17" max="17" width="11.5703125" style="37" bestFit="1" customWidth="1"/>
    <col min="18" max="18" width="18.85546875" style="39" bestFit="1" customWidth="1"/>
    <col min="19" max="19" width="38.7109375" bestFit="1" customWidth="1"/>
    <col min="20" max="20" width="18" bestFit="1" customWidth="1"/>
    <col min="21" max="21" width="13.7109375" bestFit="1" customWidth="1"/>
  </cols>
  <sheetData>
    <row r="1" spans="1:59" s="50" customFormat="1" ht="18.75" x14ac:dyDescent="0.3">
      <c r="A1" s="48" t="s">
        <v>51</v>
      </c>
      <c r="B1" s="48"/>
      <c r="C1" s="47"/>
      <c r="D1" s="49"/>
      <c r="G1" s="49"/>
      <c r="H1" s="49"/>
      <c r="I1" s="51"/>
      <c r="J1" s="49"/>
      <c r="K1" s="49"/>
      <c r="L1" s="49"/>
      <c r="M1" s="49"/>
      <c r="N1" s="52"/>
      <c r="O1" s="53"/>
      <c r="P1" s="54"/>
      <c r="Q1" s="55"/>
      <c r="R1" s="56"/>
    </row>
    <row r="2" spans="1:59" s="50" customFormat="1" x14ac:dyDescent="0.25">
      <c r="C2" s="57"/>
      <c r="D2" s="49"/>
      <c r="G2" s="49"/>
      <c r="H2" s="49"/>
      <c r="I2" s="51"/>
      <c r="J2" s="49"/>
      <c r="K2" s="49"/>
      <c r="L2" s="49"/>
      <c r="M2" s="49"/>
      <c r="N2" s="52"/>
      <c r="O2" s="53"/>
      <c r="P2" s="54"/>
      <c r="Q2" s="55"/>
      <c r="R2" s="56"/>
    </row>
    <row r="3" spans="1:59" x14ac:dyDescent="0.25">
      <c r="A3" s="1" t="s">
        <v>0</v>
      </c>
      <c r="B3" s="1" t="s">
        <v>1</v>
      </c>
      <c r="C3" s="16" t="s">
        <v>2</v>
      </c>
      <c r="D3" s="6" t="s">
        <v>3</v>
      </c>
      <c r="E3" s="1" t="s">
        <v>4</v>
      </c>
      <c r="F3" s="1" t="s">
        <v>5</v>
      </c>
      <c r="G3" s="6" t="s">
        <v>6</v>
      </c>
      <c r="H3" s="6" t="s">
        <v>7</v>
      </c>
      <c r="I3" s="11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21" t="s">
        <v>13</v>
      </c>
      <c r="O3" s="24" t="s">
        <v>14</v>
      </c>
      <c r="P3" s="29" t="s">
        <v>15</v>
      </c>
      <c r="Q3" s="34" t="s">
        <v>16</v>
      </c>
      <c r="R3" s="38" t="s">
        <v>17</v>
      </c>
      <c r="S3" s="1" t="s">
        <v>18</v>
      </c>
      <c r="T3" s="1" t="s">
        <v>19</v>
      </c>
      <c r="U3" s="1" t="s">
        <v>20</v>
      </c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</row>
    <row r="5" spans="1:59" x14ac:dyDescent="0.25">
      <c r="A5" t="s">
        <v>47</v>
      </c>
      <c r="B5" t="s">
        <v>48</v>
      </c>
      <c r="C5" s="17">
        <v>44860</v>
      </c>
      <c r="D5" s="7">
        <v>70000</v>
      </c>
      <c r="E5" t="s">
        <v>23</v>
      </c>
      <c r="F5" t="s">
        <v>30</v>
      </c>
      <c r="G5" s="7">
        <v>70000</v>
      </c>
      <c r="H5" s="7">
        <v>49300</v>
      </c>
      <c r="I5" s="12">
        <f t="shared" ref="I5:I8" si="0">H5/G5*100</f>
        <v>70.428571428571431</v>
      </c>
      <c r="J5" s="7">
        <v>93043</v>
      </c>
      <c r="K5" s="7">
        <f>9566+10762</f>
        <v>20328</v>
      </c>
      <c r="L5" s="7">
        <f t="shared" ref="L5:L8" si="1">G5-K5</f>
        <v>49672</v>
      </c>
      <c r="M5" s="7">
        <f>149068+7647</f>
        <v>156715</v>
      </c>
      <c r="N5" s="22">
        <f t="shared" ref="N5:N8" si="2">L5/M5</f>
        <v>0.31695753437769197</v>
      </c>
      <c r="O5" s="25">
        <f>846+2616</f>
        <v>3462</v>
      </c>
      <c r="P5" s="30">
        <f t="shared" ref="P5:P8" si="3">L5/O5</f>
        <v>14.347775852108608</v>
      </c>
      <c r="Q5" s="44">
        <v>301</v>
      </c>
      <c r="R5" s="39">
        <f>ABS(N7-N5)*100</f>
        <v>10.427726603482546</v>
      </c>
      <c r="T5" t="s">
        <v>26</v>
      </c>
      <c r="U5">
        <v>301</v>
      </c>
    </row>
    <row r="6" spans="1:59" x14ac:dyDescent="0.25">
      <c r="A6" t="s">
        <v>37</v>
      </c>
      <c r="B6" t="s">
        <v>38</v>
      </c>
      <c r="C6" s="17">
        <v>42461</v>
      </c>
      <c r="D6" s="7">
        <v>245000</v>
      </c>
      <c r="E6" t="s">
        <v>39</v>
      </c>
      <c r="F6" t="s">
        <v>30</v>
      </c>
      <c r="G6" s="7">
        <v>245000</v>
      </c>
      <c r="H6" s="7">
        <v>74300</v>
      </c>
      <c r="I6" s="12">
        <f t="shared" si="0"/>
        <v>30.326530612244895</v>
      </c>
      <c r="J6" s="7">
        <v>261794</v>
      </c>
      <c r="K6" s="7">
        <f>95512+1821</f>
        <v>97333</v>
      </c>
      <c r="L6" s="7">
        <f t="shared" si="1"/>
        <v>147667</v>
      </c>
      <c r="M6" s="7">
        <f>352327+2115</f>
        <v>354442</v>
      </c>
      <c r="N6" s="22">
        <f t="shared" si="2"/>
        <v>0.41661823373076556</v>
      </c>
      <c r="O6" s="25">
        <f>20558+180</f>
        <v>20738</v>
      </c>
      <c r="P6" s="30">
        <f t="shared" si="3"/>
        <v>7.1205998649821582</v>
      </c>
      <c r="Q6" s="44">
        <v>301</v>
      </c>
      <c r="R6" s="39" t="e">
        <f>ABS(#REF!-N6)*100</f>
        <v>#REF!</v>
      </c>
      <c r="T6" t="s">
        <v>26</v>
      </c>
      <c r="U6">
        <v>301</v>
      </c>
    </row>
    <row r="7" spans="1:59" x14ac:dyDescent="0.25">
      <c r="A7" t="s">
        <v>46</v>
      </c>
      <c r="B7" t="s">
        <v>44</v>
      </c>
      <c r="C7" s="17">
        <v>44166</v>
      </c>
      <c r="D7" s="7">
        <v>412000</v>
      </c>
      <c r="E7" t="s">
        <v>23</v>
      </c>
      <c r="F7" t="s">
        <v>24</v>
      </c>
      <c r="G7" s="7">
        <v>412000</v>
      </c>
      <c r="H7" s="7">
        <f>131700+24500+4500</f>
        <v>160700</v>
      </c>
      <c r="I7" s="12">
        <f t="shared" si="0"/>
        <v>39.004854368932044</v>
      </c>
      <c r="J7" s="7">
        <f>413660+18795+13424</f>
        <v>445879</v>
      </c>
      <c r="K7" s="7">
        <f>22886+23189+18795+13424</f>
        <v>78294</v>
      </c>
      <c r="L7" s="7">
        <f t="shared" si="1"/>
        <v>333706</v>
      </c>
      <c r="M7" s="7">
        <v>792209</v>
      </c>
      <c r="N7" s="22">
        <f t="shared" si="2"/>
        <v>0.42123480041251743</v>
      </c>
      <c r="O7" s="25">
        <v>22327</v>
      </c>
      <c r="P7" s="30">
        <f t="shared" si="3"/>
        <v>14.94629820396829</v>
      </c>
      <c r="Q7" s="44">
        <v>301</v>
      </c>
      <c r="R7" s="39" t="e">
        <f>ABS(#REF!-N7)*100</f>
        <v>#REF!</v>
      </c>
      <c r="S7" t="s">
        <v>45</v>
      </c>
      <c r="T7" t="s">
        <v>26</v>
      </c>
      <c r="U7">
        <v>301</v>
      </c>
    </row>
    <row r="8" spans="1:59" x14ac:dyDescent="0.25">
      <c r="A8" t="s">
        <v>40</v>
      </c>
      <c r="B8" t="s">
        <v>41</v>
      </c>
      <c r="C8" s="17">
        <v>43707</v>
      </c>
      <c r="D8" s="7">
        <v>81900</v>
      </c>
      <c r="E8" t="s">
        <v>23</v>
      </c>
      <c r="F8" t="s">
        <v>30</v>
      </c>
      <c r="G8" s="7">
        <v>81900</v>
      </c>
      <c r="H8" s="7">
        <v>41400</v>
      </c>
      <c r="I8" s="12">
        <f t="shared" si="0"/>
        <v>50.549450549450547</v>
      </c>
      <c r="J8" s="7">
        <v>97684</v>
      </c>
      <c r="K8" s="7">
        <f>20010+2742</f>
        <v>22752</v>
      </c>
      <c r="L8" s="7">
        <f t="shared" si="1"/>
        <v>59148</v>
      </c>
      <c r="M8" s="7">
        <f>33474+17681+49424</f>
        <v>100579</v>
      </c>
      <c r="N8" s="22">
        <f t="shared" si="2"/>
        <v>0.58807504548663236</v>
      </c>
      <c r="O8" s="25">
        <f>2360+1500+7832</f>
        <v>11692</v>
      </c>
      <c r="P8" s="30">
        <f t="shared" si="3"/>
        <v>5.0588436537803627</v>
      </c>
      <c r="Q8" s="44">
        <v>302</v>
      </c>
      <c r="R8" s="39">
        <f>ABS(N12-N8)*100</f>
        <v>58.807504548663239</v>
      </c>
      <c r="T8" t="s">
        <v>26</v>
      </c>
      <c r="U8">
        <v>301</v>
      </c>
    </row>
    <row r="12" spans="1:59" ht="12" customHeight="1" thickBot="1" x14ac:dyDescent="0.3"/>
    <row r="13" spans="1:59" ht="15.75" thickTop="1" x14ac:dyDescent="0.25">
      <c r="A13" s="3"/>
      <c r="B13" s="3"/>
      <c r="C13" s="18" t="s">
        <v>32</v>
      </c>
      <c r="D13" s="8">
        <f>+SUM(D4:D12)</f>
        <v>808900</v>
      </c>
      <c r="E13" s="3"/>
      <c r="F13" s="3"/>
      <c r="G13" s="8">
        <f>+SUM(G4:G12)</f>
        <v>808900</v>
      </c>
      <c r="H13" s="8">
        <f>+SUM(H4:H12)</f>
        <v>325700</v>
      </c>
      <c r="I13" s="13"/>
      <c r="J13" s="8">
        <f>+SUM(J4:J12)</f>
        <v>898400</v>
      </c>
      <c r="K13" s="8"/>
      <c r="L13" s="8">
        <f>+SUM(L4:L12)</f>
        <v>590193</v>
      </c>
      <c r="M13" s="8">
        <f>+SUM(M4:M12)</f>
        <v>1403945</v>
      </c>
      <c r="N13" s="23"/>
      <c r="O13" s="26"/>
      <c r="P13" s="31">
        <f>AVERAGE(P4:P12)</f>
        <v>10.368379393709855</v>
      </c>
      <c r="Q13" s="35"/>
      <c r="R13" s="40"/>
      <c r="S13" s="3"/>
      <c r="T13" s="3"/>
      <c r="U13" s="3"/>
    </row>
    <row r="14" spans="1:59" x14ac:dyDescent="0.25">
      <c r="A14" s="4"/>
      <c r="B14" s="4"/>
      <c r="C14" s="19"/>
      <c r="D14" s="9"/>
      <c r="E14" s="4"/>
      <c r="F14" s="4"/>
      <c r="G14" s="9"/>
      <c r="H14" s="9" t="s">
        <v>33</v>
      </c>
      <c r="I14" s="14">
        <f>H13/G13*100</f>
        <v>40.26455680553839</v>
      </c>
      <c r="J14" s="9"/>
      <c r="K14" s="9"/>
      <c r="L14" s="9"/>
      <c r="M14" s="9" t="s">
        <v>34</v>
      </c>
      <c r="N14" s="46">
        <f>L13/M13</f>
        <v>0.42038185256544952</v>
      </c>
      <c r="O14" s="27"/>
      <c r="P14" s="32"/>
      <c r="Q14" s="36"/>
      <c r="R14" s="41"/>
      <c r="S14" s="4"/>
      <c r="T14" s="4"/>
      <c r="U14" s="4"/>
    </row>
    <row r="15" spans="1:59" x14ac:dyDescent="0.25">
      <c r="A15" s="5"/>
      <c r="B15" s="5"/>
      <c r="C15" s="20"/>
      <c r="D15" s="10"/>
      <c r="E15" s="5"/>
      <c r="F15" s="5"/>
      <c r="G15" s="10"/>
      <c r="H15" s="10" t="s">
        <v>35</v>
      </c>
      <c r="I15" s="15">
        <f>STDEV(I4:I12)</f>
        <v>17.340608921904089</v>
      </c>
      <c r="J15" s="10"/>
      <c r="K15" s="10"/>
      <c r="L15" s="10"/>
      <c r="M15" s="10" t="s">
        <v>36</v>
      </c>
      <c r="N15" s="45">
        <f>AVERAGE(N4:N12)</f>
        <v>0.43572140350190186</v>
      </c>
      <c r="O15" s="28"/>
      <c r="P15" s="33"/>
      <c r="Q15" s="43"/>
      <c r="R15" s="42"/>
      <c r="S15" s="5"/>
      <c r="T15" s="5"/>
      <c r="U15" s="5"/>
    </row>
    <row r="17" spans="1:52" x14ac:dyDescent="0.25">
      <c r="B17" s="58"/>
    </row>
    <row r="21" spans="1:52" x14ac:dyDescent="0.25">
      <c r="A21" t="s">
        <v>49</v>
      </c>
      <c r="B21" t="s">
        <v>50</v>
      </c>
      <c r="C21" s="17">
        <v>44819</v>
      </c>
      <c r="D21" s="7">
        <v>350000</v>
      </c>
      <c r="E21" t="s">
        <v>23</v>
      </c>
      <c r="F21" t="s">
        <v>30</v>
      </c>
      <c r="G21" s="7">
        <v>350000</v>
      </c>
      <c r="H21" s="7">
        <v>131000</v>
      </c>
      <c r="I21" s="12">
        <f>H21/G21*100</f>
        <v>37.428571428571431</v>
      </c>
      <c r="J21" s="7">
        <v>262273</v>
      </c>
      <c r="K21" s="7">
        <f>43562+3155</f>
        <v>46717</v>
      </c>
      <c r="L21" s="7">
        <f>G21-K21</f>
        <v>303283</v>
      </c>
      <c r="M21" s="7">
        <f>249977+70065+59038+89522</f>
        <v>468602</v>
      </c>
      <c r="N21" s="22">
        <f>L21/M21</f>
        <v>0.64720807849731754</v>
      </c>
      <c r="O21" s="25">
        <f>7932+1800+1360+3120</f>
        <v>14212</v>
      </c>
      <c r="P21" s="30">
        <f>L21/O21</f>
        <v>21.339924007880665</v>
      </c>
      <c r="Q21" s="44">
        <v>302</v>
      </c>
      <c r="R21" s="39" t="e">
        <f>ABS(#REF!-N21)*100</f>
        <v>#REF!</v>
      </c>
      <c r="T21" t="s">
        <v>26</v>
      </c>
      <c r="U21">
        <v>301</v>
      </c>
    </row>
    <row r="22" spans="1:52" x14ac:dyDescent="0.25">
      <c r="Q22" s="44"/>
    </row>
    <row r="23" spans="1:52" x14ac:dyDescent="0.25">
      <c r="A23" t="s">
        <v>42</v>
      </c>
      <c r="B23" t="s">
        <v>43</v>
      </c>
      <c r="C23" s="17">
        <v>45287</v>
      </c>
      <c r="D23" s="7">
        <v>160000</v>
      </c>
      <c r="E23" t="s">
        <v>23</v>
      </c>
      <c r="F23" t="s">
        <v>30</v>
      </c>
      <c r="G23" s="7">
        <v>160000</v>
      </c>
      <c r="H23" s="7">
        <v>53100</v>
      </c>
      <c r="I23" s="12">
        <f>H23/G23*100</f>
        <v>33.1875</v>
      </c>
      <c r="J23" s="7">
        <v>154086</v>
      </c>
      <c r="K23" s="7">
        <v>17166</v>
      </c>
      <c r="L23" s="7">
        <v>142834</v>
      </c>
      <c r="M23" s="7">
        <v>249855</v>
      </c>
      <c r="N23" s="22">
        <v>0.57199999999999995</v>
      </c>
      <c r="O23" s="25">
        <v>7200</v>
      </c>
      <c r="P23" s="30">
        <v>19.84</v>
      </c>
      <c r="Q23" s="37" t="s">
        <v>31</v>
      </c>
    </row>
    <row r="24" spans="1:52" x14ac:dyDescent="0.25">
      <c r="A24" t="s">
        <v>21</v>
      </c>
      <c r="B24" t="s">
        <v>22</v>
      </c>
      <c r="C24" s="17">
        <v>42880</v>
      </c>
      <c r="D24" s="7">
        <v>125002</v>
      </c>
      <c r="E24" t="s">
        <v>23</v>
      </c>
      <c r="F24" t="s">
        <v>24</v>
      </c>
      <c r="G24" s="7">
        <v>125002</v>
      </c>
      <c r="H24" s="7">
        <f>53500+3300+7700</f>
        <v>64500</v>
      </c>
      <c r="I24" s="12">
        <f>H24/G24*100</f>
        <v>51.59917441320939</v>
      </c>
      <c r="J24" s="7">
        <f>166481+8580+22575</f>
        <v>197636</v>
      </c>
      <c r="K24" s="7">
        <f>23286+4046+8580+22575</f>
        <v>58487</v>
      </c>
      <c r="L24" s="7">
        <f>G24-K24</f>
        <v>66515</v>
      </c>
      <c r="M24" s="7">
        <f>157200+29577</f>
        <v>186777</v>
      </c>
      <c r="N24" s="22">
        <f>L24/M24</f>
        <v>0.35611986486558839</v>
      </c>
      <c r="O24" s="25">
        <f>11252+1300</f>
        <v>12552</v>
      </c>
      <c r="P24" s="30">
        <f>L24/O24</f>
        <v>5.2991555130656467</v>
      </c>
      <c r="Q24" s="44">
        <v>302</v>
      </c>
      <c r="R24" s="39" t="e">
        <f>ABS(#REF!-N24)*100</f>
        <v>#REF!</v>
      </c>
      <c r="S24" t="s">
        <v>25</v>
      </c>
      <c r="T24" t="s">
        <v>26</v>
      </c>
      <c r="U24">
        <v>301</v>
      </c>
      <c r="AG24" s="2"/>
      <c r="AX24" s="2"/>
      <c r="AZ24" s="2"/>
    </row>
    <row r="25" spans="1:52" x14ac:dyDescent="0.25">
      <c r="A25" t="s">
        <v>42</v>
      </c>
      <c r="B25" t="s">
        <v>43</v>
      </c>
      <c r="C25" s="17">
        <v>43761</v>
      </c>
      <c r="D25" s="7">
        <v>160000</v>
      </c>
      <c r="E25" t="s">
        <v>29</v>
      </c>
      <c r="F25" t="s">
        <v>30</v>
      </c>
      <c r="G25" s="7">
        <v>160000</v>
      </c>
      <c r="H25" s="7">
        <v>51700</v>
      </c>
      <c r="I25" s="12">
        <f>H25/G25*100</f>
        <v>32.3125</v>
      </c>
      <c r="J25" s="7">
        <v>119704</v>
      </c>
      <c r="K25" s="7">
        <f>9154+7492</f>
        <v>16646</v>
      </c>
      <c r="L25" s="7">
        <f>G25-K25</f>
        <v>143354</v>
      </c>
      <c r="M25" s="7">
        <f>100505+121603</f>
        <v>222108</v>
      </c>
      <c r="N25" s="22">
        <f>L25/M25</f>
        <v>0.64542474832063679</v>
      </c>
      <c r="O25" s="25">
        <f>3200+4000</f>
        <v>7200</v>
      </c>
      <c r="P25" s="30">
        <f>L25/O25</f>
        <v>19.910277777777779</v>
      </c>
      <c r="Q25" s="44">
        <v>301</v>
      </c>
      <c r="R25" s="39">
        <f>ABS(N15-N25)*100</f>
        <v>20.970334481873493</v>
      </c>
      <c r="T25" t="s">
        <v>26</v>
      </c>
      <c r="U25">
        <v>301</v>
      </c>
    </row>
    <row r="26" spans="1:52" x14ac:dyDescent="0.25">
      <c r="A26" t="s">
        <v>27</v>
      </c>
      <c r="B26" t="s">
        <v>28</v>
      </c>
      <c r="C26" s="17">
        <v>43026</v>
      </c>
      <c r="D26" s="7">
        <v>148256</v>
      </c>
      <c r="E26" t="s">
        <v>29</v>
      </c>
      <c r="F26" t="s">
        <v>30</v>
      </c>
      <c r="G26" s="7">
        <v>148256</v>
      </c>
      <c r="H26" s="7">
        <v>144300</v>
      </c>
      <c r="I26" s="12">
        <f>H26/G26*100</f>
        <v>97.331642564213254</v>
      </c>
      <c r="J26" s="7">
        <v>368048</v>
      </c>
      <c r="K26" s="7">
        <v>83322</v>
      </c>
      <c r="L26" s="7">
        <f>G26-K26</f>
        <v>64934</v>
      </c>
      <c r="M26" s="7">
        <v>378124</v>
      </c>
      <c r="N26" s="22">
        <f>L26/M26</f>
        <v>0.17172673514508469</v>
      </c>
      <c r="O26" s="25">
        <v>74400</v>
      </c>
      <c r="P26" s="30">
        <f>L26/O26</f>
        <v>0.87276881720430111</v>
      </c>
      <c r="Q26" s="44">
        <v>302</v>
      </c>
      <c r="R26" s="39" t="e">
        <f>ABS(#REF!-N26)*100</f>
        <v>#REF!</v>
      </c>
      <c r="T26" t="s">
        <v>26</v>
      </c>
      <c r="U26">
        <v>301</v>
      </c>
    </row>
  </sheetData>
  <sortState xmlns:xlrd2="http://schemas.microsoft.com/office/spreadsheetml/2017/richdata2" ref="A4:BG12">
    <sortCondition ref="N4:N12"/>
  </sortState>
  <pageMargins left="0.25" right="0.25" top="0.75" bottom="0.5" header="0.3" footer="0.3"/>
  <pageSetup scale="4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E.C.F. Analysis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Daniels</dc:creator>
  <cp:lastModifiedBy>Assessing</cp:lastModifiedBy>
  <cp:lastPrinted>2025-01-23T00:51:47Z</cp:lastPrinted>
  <dcterms:created xsi:type="dcterms:W3CDTF">2019-10-17T18:14:43Z</dcterms:created>
  <dcterms:modified xsi:type="dcterms:W3CDTF">2025-01-23T00:52:18Z</dcterms:modified>
</cp:coreProperties>
</file>