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ssessing\Desktop\2025 data\"/>
    </mc:Choice>
  </mc:AlternateContent>
  <xr:revisionPtr revIDLastSave="0" documentId="13_ncr:1_{E2A9B538-EAA5-458F-B6EF-1D275189D2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M ECF 2025" sheetId="5" r:id="rId1"/>
    <sheet name="Sheet1" sheetId="4" r:id="rId2"/>
  </sheets>
  <definedNames>
    <definedName name="_xlnm.Print_Area" localSheetId="0">'COM ECF 2025'!$A$1:$U$28</definedName>
  </definedNames>
  <calcPr calcId="191029" iterate="1" iterateCount="500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K9" i="5"/>
  <c r="L9" i="5" s="1"/>
  <c r="M9" i="5"/>
  <c r="P9" i="5"/>
  <c r="I11" i="5"/>
  <c r="K11" i="5"/>
  <c r="L11" i="5" s="1"/>
  <c r="I10" i="5"/>
  <c r="L10" i="5"/>
  <c r="N10" i="5" s="1"/>
  <c r="H18" i="5"/>
  <c r="G18" i="5"/>
  <c r="D18" i="5"/>
  <c r="K35" i="5"/>
  <c r="L35" i="5" s="1"/>
  <c r="J35" i="5"/>
  <c r="I35" i="5"/>
  <c r="P34" i="5"/>
  <c r="M34" i="5"/>
  <c r="L34" i="5"/>
  <c r="I34" i="5"/>
  <c r="K33" i="5"/>
  <c r="L33" i="5" s="1"/>
  <c r="I33" i="5"/>
  <c r="P32" i="5"/>
  <c r="M32" i="5"/>
  <c r="K32" i="5"/>
  <c r="L32" i="5" s="1"/>
  <c r="I32" i="5"/>
  <c r="P31" i="5"/>
  <c r="M31" i="5"/>
  <c r="K31" i="5"/>
  <c r="L31" i="5" s="1"/>
  <c r="J31" i="5"/>
  <c r="K30" i="5"/>
  <c r="L30" i="5" s="1"/>
  <c r="Q30" i="5" s="1"/>
  <c r="I30" i="5"/>
  <c r="K29" i="5"/>
  <c r="L29" i="5" s="1"/>
  <c r="I29" i="5"/>
  <c r="K28" i="5"/>
  <c r="L28" i="5" s="1"/>
  <c r="I28" i="5"/>
  <c r="K27" i="5"/>
  <c r="L27" i="5" s="1"/>
  <c r="I27" i="5"/>
  <c r="K26" i="5"/>
  <c r="L26" i="5" s="1"/>
  <c r="I26" i="5"/>
  <c r="M25" i="5"/>
  <c r="K25" i="5"/>
  <c r="L25" i="5" s="1"/>
  <c r="J25" i="5"/>
  <c r="I25" i="5"/>
  <c r="K24" i="5"/>
  <c r="L24" i="5" s="1"/>
  <c r="I24" i="5"/>
  <c r="K8" i="5"/>
  <c r="L8" i="5" s="1"/>
  <c r="I8" i="5"/>
  <c r="P7" i="5"/>
  <c r="M7" i="5"/>
  <c r="K7" i="5"/>
  <c r="L7" i="5" s="1"/>
  <c r="I7" i="5"/>
  <c r="P6" i="5"/>
  <c r="M6" i="5"/>
  <c r="K6" i="5"/>
  <c r="L6" i="5" s="1"/>
  <c r="J6" i="5"/>
  <c r="J18" i="5" s="1"/>
  <c r="I6" i="5"/>
  <c r="P12" i="5"/>
  <c r="M12" i="5"/>
  <c r="K12" i="5"/>
  <c r="L12" i="5" s="1"/>
  <c r="I12" i="5"/>
  <c r="P4" i="5"/>
  <c r="M4" i="5"/>
  <c r="K4" i="5"/>
  <c r="L4" i="5" s="1"/>
  <c r="I4" i="5"/>
  <c r="K14" i="5"/>
  <c r="L14" i="5" s="1"/>
  <c r="I14" i="5"/>
  <c r="P16" i="5"/>
  <c r="M16" i="5"/>
  <c r="K16" i="5"/>
  <c r="L16" i="5" s="1"/>
  <c r="I16" i="5"/>
  <c r="K3" i="5"/>
  <c r="L3" i="5" s="1"/>
  <c r="N3" i="5" s="1"/>
  <c r="I3" i="5"/>
  <c r="P15" i="5"/>
  <c r="M15" i="5"/>
  <c r="L15" i="5"/>
  <c r="I15" i="5"/>
  <c r="L13" i="5"/>
  <c r="Q13" i="5" s="1"/>
  <c r="I13" i="5"/>
  <c r="L5" i="5"/>
  <c r="Q5" i="5" s="1"/>
  <c r="I5" i="5"/>
  <c r="N15" i="5" l="1"/>
  <c r="Q9" i="5"/>
  <c r="Q10" i="5"/>
  <c r="N32" i="5"/>
  <c r="N11" i="5"/>
  <c r="O11" i="5" s="1"/>
  <c r="Q11" i="5"/>
  <c r="N34" i="5"/>
  <c r="Q34" i="5"/>
  <c r="N9" i="5"/>
  <c r="M18" i="5"/>
  <c r="I19" i="5"/>
  <c r="N16" i="5"/>
  <c r="L18" i="5"/>
  <c r="Q14" i="5"/>
  <c r="N14" i="5"/>
  <c r="Q16" i="5"/>
  <c r="Q15" i="5"/>
  <c r="N30" i="5"/>
  <c r="N13" i="5"/>
  <c r="I20" i="5"/>
  <c r="Q27" i="5"/>
  <c r="N27" i="5"/>
  <c r="N35" i="5"/>
  <c r="Q35" i="5"/>
  <c r="Q24" i="5"/>
  <c r="N24" i="5"/>
  <c r="Q4" i="5"/>
  <c r="N4" i="5"/>
  <c r="N28" i="5"/>
  <c r="Q28" i="5"/>
  <c r="Q12" i="5"/>
  <c r="N12" i="5"/>
  <c r="Q7" i="5"/>
  <c r="N7" i="5"/>
  <c r="Q31" i="5"/>
  <c r="N31" i="5"/>
  <c r="Q33" i="5"/>
  <c r="N33" i="5"/>
  <c r="Q6" i="5"/>
  <c r="N6" i="5"/>
  <c r="Q8" i="5"/>
  <c r="N8" i="5"/>
  <c r="Q25" i="5"/>
  <c r="N25" i="5"/>
  <c r="N29" i="5"/>
  <c r="Q29" i="5"/>
  <c r="Q26" i="5"/>
  <c r="N26" i="5"/>
  <c r="N5" i="5"/>
  <c r="Q3" i="5"/>
  <c r="Q32" i="5"/>
  <c r="N20" i="5" l="1"/>
  <c r="O10" i="5" s="1"/>
  <c r="R19" i="5"/>
  <c r="N19" i="5"/>
  <c r="Q18" i="5"/>
  <c r="O5" i="5"/>
  <c r="O27" i="5"/>
  <c r="O6" i="5" l="1"/>
  <c r="O33" i="5"/>
  <c r="O9" i="5"/>
  <c r="O4" i="5"/>
  <c r="O35" i="5"/>
  <c r="O3" i="5"/>
  <c r="O12" i="5"/>
  <c r="O14" i="5"/>
  <c r="O7" i="5"/>
  <c r="O16" i="5"/>
  <c r="O8" i="5"/>
  <c r="O26" i="5"/>
  <c r="O25" i="5"/>
  <c r="O28" i="5"/>
  <c r="O24" i="5"/>
  <c r="O13" i="5"/>
  <c r="O34" i="5"/>
  <c r="O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Smith</author>
  </authors>
  <commentList>
    <comment ref="D5" authorId="0" shapeId="0" xr:uid="{AE352EBF-65E4-4D75-8CA5-CBCF60496E1E}">
      <text>
        <r>
          <rPr>
            <b/>
            <sz val="9"/>
            <color indexed="81"/>
            <rFont val="Tahoma"/>
            <charset val="1"/>
          </rPr>
          <t>Colleen Smith:</t>
        </r>
        <r>
          <rPr>
            <sz val="9"/>
            <color indexed="81"/>
            <rFont val="Tahoma"/>
            <charset val="1"/>
          </rPr>
          <t xml:space="preserve">
Confidential</t>
        </r>
      </text>
    </comment>
    <comment ref="D16" authorId="0" shapeId="0" xr:uid="{7646337C-4152-4908-8CC0-907EDBF11480}">
      <text>
        <r>
          <rPr>
            <b/>
            <sz val="9"/>
            <color indexed="81"/>
            <rFont val="Tahoma"/>
            <charset val="1"/>
          </rPr>
          <t>Colleen Smith:</t>
        </r>
        <r>
          <rPr>
            <sz val="9"/>
            <color indexed="81"/>
            <rFont val="Tahoma"/>
            <charset val="1"/>
          </rPr>
          <t xml:space="preserve">
Confidential
</t>
        </r>
      </text>
    </comment>
    <comment ref="A26" authorId="0" shapeId="0" xr:uid="{6EE7E29D-0B3C-4537-AA88-FF25F0C2619A}">
      <text>
        <r>
          <rPr>
            <b/>
            <sz val="9"/>
            <color indexed="81"/>
            <rFont val="Tahoma"/>
            <family val="2"/>
          </rPr>
          <t>Colleen Smith:</t>
        </r>
        <r>
          <rPr>
            <sz val="9"/>
            <color indexed="81"/>
            <rFont val="Tahoma"/>
            <family val="2"/>
          </rPr>
          <t xml:space="preserve">
2024 Exempt Parcel
Hospital assumed LC on parcel. Do not use on L-4015 - values frozen</t>
        </r>
      </text>
    </comment>
    <comment ref="D26" authorId="0" shapeId="0" xr:uid="{A73EA977-CBB0-4811-84F9-0A71D59A9D9A}">
      <text>
        <r>
          <rPr>
            <b/>
            <sz val="9"/>
            <color indexed="81"/>
            <rFont val="Tahoma"/>
            <charset val="1"/>
          </rPr>
          <t>Colleen Smith:</t>
        </r>
        <r>
          <rPr>
            <sz val="9"/>
            <color indexed="81"/>
            <rFont val="Tahoma"/>
            <charset val="1"/>
          </rPr>
          <t xml:space="preserve">
Confidential</t>
        </r>
      </text>
    </comment>
    <comment ref="D29" authorId="0" shapeId="0" xr:uid="{EA12CC5F-5D40-48B6-A23E-DF8E5003F1FE}">
      <text>
        <r>
          <rPr>
            <b/>
            <sz val="9"/>
            <color indexed="81"/>
            <rFont val="Tahoma"/>
            <charset val="1"/>
          </rPr>
          <t>Colleen Smith:</t>
        </r>
        <r>
          <rPr>
            <sz val="9"/>
            <color indexed="81"/>
            <rFont val="Tahoma"/>
            <charset val="1"/>
          </rPr>
          <t xml:space="preserve">
Confidential</t>
        </r>
      </text>
    </comment>
    <comment ref="D31" authorId="0" shapeId="0" xr:uid="{2B4ADAB1-1523-41AD-9D0A-08EC866D8D62}">
      <text>
        <r>
          <rPr>
            <b/>
            <sz val="9"/>
            <color indexed="81"/>
            <rFont val="Tahoma"/>
            <charset val="1"/>
          </rPr>
          <t>Colleen Smith:</t>
        </r>
        <r>
          <rPr>
            <sz val="9"/>
            <color indexed="81"/>
            <rFont val="Tahoma"/>
            <charset val="1"/>
          </rPr>
          <t xml:space="preserve">
Confidential</t>
        </r>
      </text>
    </comment>
    <comment ref="D34" authorId="0" shapeId="0" xr:uid="{9C13ED0A-A182-4543-B386-99775C326E58}">
      <text>
        <r>
          <rPr>
            <b/>
            <sz val="9"/>
            <color indexed="81"/>
            <rFont val="Tahoma"/>
            <charset val="1"/>
          </rPr>
          <t>Colleen Smith:</t>
        </r>
        <r>
          <rPr>
            <sz val="9"/>
            <color indexed="81"/>
            <rFont val="Tahoma"/>
            <charset val="1"/>
          </rPr>
          <t xml:space="preserve">
Confidential</t>
        </r>
      </text>
    </comment>
    <comment ref="D35" authorId="0" shapeId="0" xr:uid="{25163DAF-47B6-4907-BD0F-730B74253084}">
      <text>
        <r>
          <rPr>
            <b/>
            <sz val="9"/>
            <color indexed="81"/>
            <rFont val="Tahoma"/>
            <family val="2"/>
          </rPr>
          <t xml:space="preserve">Colleen Smith:
rmls = $550K
Deed = $350K
Assessor = $350k
rps sent
</t>
        </r>
      </text>
    </comment>
  </commentList>
</comments>
</file>

<file path=xl/sharedStrings.xml><?xml version="1.0" encoding="utf-8"?>
<sst xmlns="http://schemas.openxmlformats.org/spreadsheetml/2006/main" count="190" uniqueCount="95">
  <si>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</si>
  <si>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</si>
  <si>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</si>
  <si>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</si>
  <si>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</si>
  <si>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</si>
  <si>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</si>
  <si>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</si>
  <si>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</si>
  <si>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</si>
  <si>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</si>
  <si>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</si>
  <si>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</si>
  <si>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</si>
  <si>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</si>
  <si>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</si>
  <si>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</si>
  <si>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Building Style</t>
  </si>
  <si>
    <t>Other Parcels in Sale</t>
  </si>
  <si>
    <t>Property Class</t>
  </si>
  <si>
    <t>WD</t>
  </si>
  <si>
    <t>ARMS LENGTH</t>
  </si>
  <si>
    <t xml:space="preserve">1 STORY </t>
  </si>
  <si>
    <t>Totals:</t>
  </si>
  <si>
    <t>Sale. Ratio =&gt;</t>
  </si>
  <si>
    <t>E.C.F. =&gt;</t>
  </si>
  <si>
    <t>Std. Dev. =&gt;</t>
  </si>
  <si>
    <t>Ave. E.C.F. =&gt;</t>
  </si>
  <si>
    <t>2 STORY</t>
  </si>
  <si>
    <t>Outliers</t>
  </si>
  <si>
    <t>002-035-101-3000-00</t>
  </si>
  <si>
    <t>MULTI-ARMS LENGTH</t>
  </si>
  <si>
    <t>002-035-101-2700-00</t>
  </si>
  <si>
    <t>050-035-000-3300-00</t>
  </si>
  <si>
    <t>050-500-112-0450-00</t>
  </si>
  <si>
    <t>050-500-452-0200-00</t>
  </si>
  <si>
    <t>050-500-452-0100-00</t>
  </si>
  <si>
    <t>002-035-000-2400-00</t>
  </si>
  <si>
    <t>038-500-150-0500-00</t>
  </si>
  <si>
    <t>041-500-113-0160-00</t>
  </si>
  <si>
    <t>050-500-604-0200-00</t>
  </si>
  <si>
    <t>013-009-300-0137-01</t>
  </si>
  <si>
    <t>002-025-000-0200-00</t>
  </si>
  <si>
    <t>050-500-155-1600-00</t>
  </si>
  <si>
    <t>LOW</t>
  </si>
  <si>
    <t>MED</t>
  </si>
  <si>
    <t>HIGH</t>
  </si>
  <si>
    <t>020-030-000-4200-06</t>
  </si>
  <si>
    <t>013-032-300-1600-01</t>
  </si>
  <si>
    <t>2304 W Sanilac</t>
  </si>
  <si>
    <t>6720 State</t>
  </si>
  <si>
    <t>038-500-352-1200-00</t>
  </si>
  <si>
    <t>6145 State</t>
  </si>
  <si>
    <t>MLC</t>
  </si>
  <si>
    <t>035-033-000-6000-00</t>
  </si>
  <si>
    <t xml:space="preserve">6234 Main </t>
  </si>
  <si>
    <t>040-036-000-0800-01</t>
  </si>
  <si>
    <t xml:space="preserve"> </t>
  </si>
  <si>
    <t>5969 State</t>
  </si>
  <si>
    <t>113 N State</t>
  </si>
  <si>
    <t>418 W Frank</t>
  </si>
  <si>
    <t>200 E Frank</t>
  </si>
  <si>
    <t>1264 E Caro</t>
  </si>
  <si>
    <t>8484 State</t>
  </si>
  <si>
    <t>1792 E Caro</t>
  </si>
  <si>
    <t>1152 E Caro</t>
  </si>
  <si>
    <t>411 S State</t>
  </si>
  <si>
    <t>1901 W Caro</t>
  </si>
  <si>
    <t>1292 Cleaver</t>
  </si>
  <si>
    <t>720 E Main</t>
  </si>
  <si>
    <t>041-500-101-0350-00</t>
  </si>
  <si>
    <t>4724 Main</t>
  </si>
  <si>
    <t>050-004-400-2400-00</t>
  </si>
  <si>
    <t>852 Hooper</t>
  </si>
  <si>
    <t>050-035-000-2400-00</t>
  </si>
  <si>
    <t>1079 E Caro</t>
  </si>
  <si>
    <t>050-500-117-0900-00</t>
  </si>
  <si>
    <t>201 N State</t>
  </si>
  <si>
    <t>050-500-118-0210-00</t>
  </si>
  <si>
    <t>144 W Burnside</t>
  </si>
  <si>
    <t>050-500-617-0400-00</t>
  </si>
  <si>
    <t>604 S State</t>
  </si>
  <si>
    <t>051-500-109-0400-00</t>
  </si>
  <si>
    <t>123 S Main</t>
  </si>
  <si>
    <t>017-009-000-3600-02</t>
  </si>
  <si>
    <t>8220 Ellis</t>
  </si>
  <si>
    <t>017-009-000-3600-05</t>
  </si>
  <si>
    <t>013-014-300-0800-00</t>
  </si>
  <si>
    <t>1965 Mertz</t>
  </si>
  <si>
    <t>019-012-000-6000-00</t>
  </si>
  <si>
    <t>1 STORY</t>
  </si>
  <si>
    <t>FIVE ADDITIONAL PARCELS</t>
  </si>
  <si>
    <t>1223 W Saginaw</t>
  </si>
  <si>
    <t>Dev. By Mean %</t>
  </si>
  <si>
    <t>FAIRGROVE TWP COMMERCIAL ECF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</si>
</sst>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  <numFmt numFmtId="169" formatCode="0.00000000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2" fillId="3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6" fontId="3" fillId="0" borderId="0" xfId="0" applyNumberFormat="1" applyFont="1"/>
    <xf numFmtId="166" fontId="2" fillId="0" borderId="2" xfId="0" applyNumberFormat="1" applyFont="1" applyBorder="1"/>
    <xf numFmtId="166" fontId="2" fillId="4" borderId="0" xfId="0" applyNumberFormat="1" applyFont="1" applyFill="1"/>
    <xf numFmtId="169" fontId="2" fillId="3" borderId="0" xfId="0" applyNumberFormat="1" applyFont="1" applyFill="1" applyAlignment="1">
      <alignment horizontal="right"/>
    </xf>
    <xf numFmtId="166" fontId="2" fillId="0" borderId="0" xfId="0" applyNumberFormat="1" applyFont="1"/>
    <xf numFmtId="0" fontId="8" fillId="0" borderId="0" xfId="0" applyFont="1"/>
    <xf numFmtId="0" fontId="2" fillId="0" borderId="0" xfId="0" applyFont="1" applyFill="1" applyBorder="1"/>
    <xf numFmtId="165" fontId="2" fillId="0" borderId="0" xfId="0" applyNumberFormat="1" applyFont="1" applyFill="1" applyBorder="1"/>
    <xf numFmtId="6" fontId="2" fillId="0" borderId="0" xfId="0" applyNumberFormat="1" applyFont="1" applyFill="1" applyBorder="1"/>
    <xf numFmtId="164" fontId="2" fillId="0" borderId="0" xfId="0" applyNumberFormat="1" applyFont="1" applyFill="1" applyBorder="1"/>
    <xf numFmtId="166" fontId="2" fillId="0" borderId="0" xfId="0" applyNumberFormat="1" applyFont="1" applyFill="1" applyBorder="1"/>
    <xf numFmtId="38" fontId="2" fillId="0" borderId="0" xfId="0" applyNumberFormat="1" applyFont="1" applyFill="1" applyBorder="1"/>
    <xf numFmtId="167" fontId="2" fillId="0" borderId="0" xfId="0" applyNumberFormat="1" applyFont="1" applyFill="1" applyBorder="1"/>
    <xf numFmtId="168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7FEB-2264-4F22-B761-547D03E12207}">
  <sheetPr>
    <pageSetUpPr fitToPage="1"/>
  </sheetPr>
  <dimension ref="A1:BG35"/>
  <sheetViews>
    <sheetView tabSelected="1" zoomScale="98" zoomScaleNormal="98" workbookViewId="0">
      <pane xSplit="1" topLeftCell="B1" activePane="topRight" state="frozen"/>
      <selection pane="topRight" activeCell="B27" sqref="B27"/>
    </sheetView>
  </sheetViews>
  <sheetFormatPr defaultRowHeight="15" x14ac:dyDescent="0.25"/>
  <cols>
    <col min="1" max="1" width="20.28515625" customWidth="1"/>
    <col min="2" max="2" width="25" bestFit="1" customWidth="1"/>
    <col min="3" max="3" width="9.42578125" style="17" customWidth="1"/>
    <col min="4" max="4" width="15.5703125" style="7" bestFit="1" customWidth="1"/>
    <col min="5" max="5" width="5.5703125" customWidth="1"/>
    <col min="6" max="6" width="23.7109375" customWidth="1"/>
    <col min="7" max="7" width="15.5703125" style="7" bestFit="1" customWidth="1"/>
    <col min="8" max="8" width="14.7109375" style="7" customWidth="1"/>
    <col min="9" max="9" width="12.85546875" style="12" customWidth="1"/>
    <col min="10" max="10" width="15.5703125" style="7" bestFit="1" customWidth="1"/>
    <col min="11" max="11" width="11" style="7" customWidth="1"/>
    <col min="12" max="12" width="13.5703125" style="7" customWidth="1"/>
    <col min="13" max="13" width="12.7109375" style="7" customWidth="1"/>
    <col min="14" max="14" width="7.85546875" style="22" bestFit="1" customWidth="1"/>
    <col min="15" max="15" width="15.28515625" style="22" bestFit="1" customWidth="1"/>
    <col min="16" max="16" width="10.140625" style="25" bestFit="1" customWidth="1"/>
    <col min="17" max="17" width="15.5703125" style="30" bestFit="1" customWidth="1"/>
    <col min="18" max="18" width="10.7109375" style="37" bestFit="1" customWidth="1"/>
    <col min="19" max="19" width="13.28515625" bestFit="1" customWidth="1"/>
    <col min="20" max="20" width="47.85546875" bestFit="1" customWidth="1"/>
    <col min="21" max="21" width="13.7109375" style="39" bestFit="1" customWidth="1"/>
  </cols>
  <sheetData>
    <row r="1" spans="1:59" ht="23.25" x14ac:dyDescent="0.35">
      <c r="A1" s="49" t="s">
        <v>94</v>
      </c>
    </row>
    <row r="2" spans="1:59" x14ac:dyDescent="0.25">
      <c r="A2" s="1" t="s">
        <v>0</v>
      </c>
      <c r="B2" s="1" t="s">
        <v>1</v>
      </c>
      <c r="C2" s="16" t="s">
        <v>2</v>
      </c>
      <c r="D2" s="6" t="s">
        <v>3</v>
      </c>
      <c r="E2" s="1" t="s">
        <v>4</v>
      </c>
      <c r="F2" s="1" t="s">
        <v>5</v>
      </c>
      <c r="G2" s="6" t="s">
        <v>6</v>
      </c>
      <c r="H2" s="6" t="s">
        <v>7</v>
      </c>
      <c r="I2" s="11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21" t="s">
        <v>13</v>
      </c>
      <c r="O2" s="21" t="s">
        <v>93</v>
      </c>
      <c r="P2" s="24" t="s">
        <v>14</v>
      </c>
      <c r="Q2" s="29" t="s">
        <v>15</v>
      </c>
      <c r="R2" s="34" t="s">
        <v>16</v>
      </c>
      <c r="S2" s="1" t="s">
        <v>17</v>
      </c>
      <c r="T2" s="1" t="s">
        <v>18</v>
      </c>
      <c r="U2" s="40" t="s">
        <v>19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x14ac:dyDescent="0.25">
      <c r="A3" t="s">
        <v>48</v>
      </c>
      <c r="B3" t="s">
        <v>49</v>
      </c>
      <c r="C3" s="17">
        <v>45023</v>
      </c>
      <c r="D3" s="7">
        <v>99200</v>
      </c>
      <c r="E3" t="s">
        <v>20</v>
      </c>
      <c r="F3" t="s">
        <v>21</v>
      </c>
      <c r="G3" s="7">
        <v>99200</v>
      </c>
      <c r="H3" s="7">
        <v>78700</v>
      </c>
      <c r="I3" s="12">
        <f>H3/G3*100</f>
        <v>79.334677419354833</v>
      </c>
      <c r="J3" s="7">
        <v>190909</v>
      </c>
      <c r="K3" s="7">
        <f>39985+6635</f>
        <v>46620</v>
      </c>
      <c r="L3" s="7">
        <f>G3-K3</f>
        <v>52580</v>
      </c>
      <c r="M3" s="7">
        <v>385801</v>
      </c>
      <c r="N3" s="22">
        <f>L3/M3</f>
        <v>0.13628787898424316</v>
      </c>
      <c r="O3" s="22">
        <f>ABS(N3-$N$20)*100</f>
        <v>24.202982421887643</v>
      </c>
      <c r="P3" s="25">
        <v>9897</v>
      </c>
      <c r="Q3" s="30">
        <f>L3/P3</f>
        <v>5.3127210265737093</v>
      </c>
      <c r="R3" s="35" t="s">
        <v>45</v>
      </c>
      <c r="S3" t="s">
        <v>22</v>
      </c>
      <c r="U3" s="39">
        <v>201</v>
      </c>
    </row>
    <row r="4" spans="1:59" x14ac:dyDescent="0.25">
      <c r="A4" t="s">
        <v>87</v>
      </c>
      <c r="B4" t="s">
        <v>88</v>
      </c>
      <c r="C4" s="17">
        <v>45329</v>
      </c>
      <c r="D4" s="7">
        <v>110000</v>
      </c>
      <c r="E4" t="s">
        <v>20</v>
      </c>
      <c r="F4" t="s">
        <v>21</v>
      </c>
      <c r="G4" s="7">
        <v>110000</v>
      </c>
      <c r="H4" s="7">
        <v>81000</v>
      </c>
      <c r="I4" s="12">
        <f>H4/G4*100</f>
        <v>73.636363636363626</v>
      </c>
      <c r="J4" s="7">
        <v>149108</v>
      </c>
      <c r="K4" s="7">
        <f>41610+16215</f>
        <v>57825</v>
      </c>
      <c r="L4" s="7">
        <f>G4-K4</f>
        <v>52175</v>
      </c>
      <c r="M4" s="7">
        <f>222748+35539</f>
        <v>258287</v>
      </c>
      <c r="N4" s="22">
        <f>L4/M4</f>
        <v>0.20200397232535899</v>
      </c>
      <c r="O4" s="22">
        <f>ABS(N4-$N$20)*100</f>
        <v>17.631373087776058</v>
      </c>
      <c r="P4" s="25">
        <f>3008+768</f>
        <v>3776</v>
      </c>
      <c r="Q4" s="30">
        <f>L4/P4</f>
        <v>13.817531779661017</v>
      </c>
      <c r="R4" s="35" t="s">
        <v>45</v>
      </c>
      <c r="S4" t="s">
        <v>22</v>
      </c>
      <c r="U4" s="39">
        <v>201</v>
      </c>
    </row>
    <row r="5" spans="1:59" x14ac:dyDescent="0.25">
      <c r="A5" t="s">
        <v>78</v>
      </c>
      <c r="B5" t="s">
        <v>79</v>
      </c>
      <c r="C5" s="17">
        <v>45069</v>
      </c>
      <c r="D5" s="7">
        <v>14000</v>
      </c>
      <c r="E5" t="s">
        <v>20</v>
      </c>
      <c r="F5" t="s">
        <v>21</v>
      </c>
      <c r="G5" s="7">
        <v>14000</v>
      </c>
      <c r="H5" s="7">
        <v>8100</v>
      </c>
      <c r="I5" s="12">
        <f>H5/G5*100</f>
        <v>57.857142857142861</v>
      </c>
      <c r="J5" s="7">
        <v>19468</v>
      </c>
      <c r="K5" s="7">
        <v>2443</v>
      </c>
      <c r="L5" s="44">
        <f>G5-K5</f>
        <v>11557</v>
      </c>
      <c r="M5" s="7">
        <v>36147</v>
      </c>
      <c r="N5" s="22">
        <f>L5/M5</f>
        <v>0.31972224527623316</v>
      </c>
      <c r="O5" s="22" t="e">
        <f>ABS(N5-#REF!)*100</f>
        <v>#REF!</v>
      </c>
      <c r="P5" s="25">
        <v>620</v>
      </c>
      <c r="Q5" s="30">
        <f>L5/P5</f>
        <v>18.640322580645162</v>
      </c>
      <c r="R5" s="35" t="s">
        <v>44</v>
      </c>
      <c r="S5" t="s">
        <v>90</v>
      </c>
      <c r="U5" s="39">
        <v>201</v>
      </c>
    </row>
    <row r="6" spans="1:59" x14ac:dyDescent="0.25">
      <c r="A6" t="s">
        <v>35</v>
      </c>
      <c r="B6" t="s">
        <v>61</v>
      </c>
      <c r="C6" s="17">
        <v>44819</v>
      </c>
      <c r="D6" s="7">
        <v>240000</v>
      </c>
      <c r="E6" t="s">
        <v>20</v>
      </c>
      <c r="F6" t="s">
        <v>31</v>
      </c>
      <c r="G6" s="7">
        <v>240000</v>
      </c>
      <c r="H6" s="7">
        <v>163700</v>
      </c>
      <c r="I6" s="12">
        <f>H6/G6*100</f>
        <v>68.208333333333343</v>
      </c>
      <c r="J6" s="7">
        <f>132333+126302</f>
        <v>258635</v>
      </c>
      <c r="K6" s="7">
        <f>29765+3471+29495+5884</f>
        <v>68615</v>
      </c>
      <c r="L6" s="7">
        <f>G6-K6</f>
        <v>171385</v>
      </c>
      <c r="M6" s="7">
        <f>264966+116999+126110</f>
        <v>508075</v>
      </c>
      <c r="N6" s="22">
        <f>L6/M6</f>
        <v>0.33732224573143726</v>
      </c>
      <c r="O6" s="22">
        <f>ABS(N6-$N$20)*100</f>
        <v>4.0995457471682322</v>
      </c>
      <c r="P6" s="25">
        <f>4128+1152+3537</f>
        <v>8817</v>
      </c>
      <c r="Q6" s="30">
        <f>L6/P6</f>
        <v>19.438017466258366</v>
      </c>
      <c r="R6" s="35" t="s">
        <v>45</v>
      </c>
      <c r="S6" t="s">
        <v>22</v>
      </c>
      <c r="T6" t="s">
        <v>36</v>
      </c>
      <c r="U6" s="39">
        <v>201</v>
      </c>
    </row>
    <row r="7" spans="1:59" x14ac:dyDescent="0.25">
      <c r="A7" t="s">
        <v>37</v>
      </c>
      <c r="B7" t="s">
        <v>62</v>
      </c>
      <c r="C7" s="17">
        <v>44665</v>
      </c>
      <c r="D7" s="7">
        <v>140000</v>
      </c>
      <c r="E7" t="s">
        <v>20</v>
      </c>
      <c r="F7" t="s">
        <v>21</v>
      </c>
      <c r="G7" s="7">
        <v>100000</v>
      </c>
      <c r="H7" s="7">
        <v>50900</v>
      </c>
      <c r="I7" s="12">
        <f>H7/G7*100</f>
        <v>50.9</v>
      </c>
      <c r="J7" s="7">
        <v>104772</v>
      </c>
      <c r="K7" s="7">
        <f>44034+5190</f>
        <v>49224</v>
      </c>
      <c r="L7" s="7">
        <f>G7-K7</f>
        <v>50776</v>
      </c>
      <c r="M7" s="7">
        <f>76208+64679+7637</f>
        <v>148524</v>
      </c>
      <c r="N7" s="22">
        <f>L7/M7</f>
        <v>0.34187067409980876</v>
      </c>
      <c r="O7" s="22">
        <f>ABS(N7-$N$20)*100</f>
        <v>3.6447029103310822</v>
      </c>
      <c r="P7" s="25">
        <f>2590+3520+384</f>
        <v>6494</v>
      </c>
      <c r="Q7" s="30">
        <f>L7/P7</f>
        <v>7.8189097628580226</v>
      </c>
      <c r="R7" s="35" t="s">
        <v>45</v>
      </c>
      <c r="S7" t="s">
        <v>22</v>
      </c>
      <c r="U7" s="39">
        <v>201</v>
      </c>
    </row>
    <row r="8" spans="1:59" x14ac:dyDescent="0.25">
      <c r="A8" t="s">
        <v>42</v>
      </c>
      <c r="B8" t="s">
        <v>64</v>
      </c>
      <c r="C8" s="17">
        <v>44761</v>
      </c>
      <c r="D8" s="7">
        <v>75000</v>
      </c>
      <c r="E8" t="s">
        <v>20</v>
      </c>
      <c r="F8" t="s">
        <v>21</v>
      </c>
      <c r="G8" s="7">
        <v>75000</v>
      </c>
      <c r="H8" s="7">
        <v>38700</v>
      </c>
      <c r="I8" s="12">
        <f>H8/G8*100</f>
        <v>51.6</v>
      </c>
      <c r="J8" s="7">
        <v>78153</v>
      </c>
      <c r="K8" s="7">
        <f>15404+8543</f>
        <v>23947</v>
      </c>
      <c r="L8" s="7">
        <f>G8-K8</f>
        <v>51053</v>
      </c>
      <c r="M8" s="7">
        <v>144935</v>
      </c>
      <c r="N8" s="22">
        <f>L8/M8</f>
        <v>0.35224755925069862</v>
      </c>
      <c r="O8" s="22">
        <f>ABS(N8-$N$20)*100</f>
        <v>2.6070143952420963</v>
      </c>
      <c r="P8" s="25">
        <v>1768</v>
      </c>
      <c r="Q8" s="30">
        <f>L8/P8</f>
        <v>28.876131221719458</v>
      </c>
      <c r="R8" s="35" t="s">
        <v>45</v>
      </c>
      <c r="S8" t="s">
        <v>22</v>
      </c>
      <c r="U8" s="39">
        <v>201</v>
      </c>
    </row>
    <row r="9" spans="1:59" x14ac:dyDescent="0.25">
      <c r="A9" t="s">
        <v>47</v>
      </c>
      <c r="B9" t="s">
        <v>50</v>
      </c>
      <c r="C9" s="17">
        <v>45243</v>
      </c>
      <c r="D9" s="7">
        <v>105000</v>
      </c>
      <c r="E9" t="s">
        <v>20</v>
      </c>
      <c r="F9" t="s">
        <v>21</v>
      </c>
      <c r="G9" s="7">
        <v>105000</v>
      </c>
      <c r="H9" s="7">
        <v>46800</v>
      </c>
      <c r="I9" s="12">
        <f>H9/G9*100</f>
        <v>44.571428571428569</v>
      </c>
      <c r="J9" s="7">
        <v>105535</v>
      </c>
      <c r="K9" s="7">
        <f>44216+393</f>
        <v>44609</v>
      </c>
      <c r="L9" s="7">
        <f>G9-K9</f>
        <v>60391</v>
      </c>
      <c r="M9" s="7">
        <f>150036+12866</f>
        <v>162902</v>
      </c>
      <c r="N9" s="22">
        <f>L9/M9</f>
        <v>0.37071981927784803</v>
      </c>
      <c r="O9" s="22">
        <f>ABS(N9-$N$20)*100</f>
        <v>0.75978839252715535</v>
      </c>
      <c r="P9" s="25">
        <f>2400+432</f>
        <v>2832</v>
      </c>
      <c r="Q9" s="30">
        <f>L9/P9</f>
        <v>21.324505649717516</v>
      </c>
      <c r="R9" s="35" t="s">
        <v>45</v>
      </c>
      <c r="S9" t="s">
        <v>22</v>
      </c>
      <c r="U9" s="39">
        <v>201</v>
      </c>
    </row>
    <row r="10" spans="1:59" x14ac:dyDescent="0.25">
      <c r="A10" t="s">
        <v>38</v>
      </c>
      <c r="B10" t="s">
        <v>58</v>
      </c>
      <c r="C10" s="17">
        <v>44655</v>
      </c>
      <c r="D10" s="7">
        <v>39000</v>
      </c>
      <c r="E10" t="s">
        <v>20</v>
      </c>
      <c r="F10" t="s">
        <v>21</v>
      </c>
      <c r="G10" s="7">
        <v>39000</v>
      </c>
      <c r="H10" s="7">
        <v>19200</v>
      </c>
      <c r="I10" s="12">
        <f>H10/G10*100</f>
        <v>49.230769230769234</v>
      </c>
      <c r="J10" s="7">
        <v>39087</v>
      </c>
      <c r="K10" s="7">
        <v>2217</v>
      </c>
      <c r="L10" s="7">
        <f>G10-K10</f>
        <v>36783</v>
      </c>
      <c r="M10" s="7">
        <v>98584</v>
      </c>
      <c r="N10" s="22">
        <f>L10/M10</f>
        <v>0.37311328410289701</v>
      </c>
      <c r="O10" s="22">
        <f>ABS(N10-$N$20)*100</f>
        <v>0.52044191002225682</v>
      </c>
      <c r="P10" s="25">
        <v>4480</v>
      </c>
      <c r="Q10" s="30">
        <f>L10/P10</f>
        <v>8.2104910714285708</v>
      </c>
      <c r="R10" s="35" t="s">
        <v>45</v>
      </c>
      <c r="S10" t="s">
        <v>28</v>
      </c>
      <c r="U10" s="39">
        <v>201</v>
      </c>
    </row>
    <row r="11" spans="1:59" x14ac:dyDescent="0.25">
      <c r="A11" t="s">
        <v>72</v>
      </c>
      <c r="B11" t="s">
        <v>73</v>
      </c>
      <c r="C11" s="17">
        <v>45098</v>
      </c>
      <c r="D11" s="7">
        <v>230000</v>
      </c>
      <c r="E11" t="s">
        <v>20</v>
      </c>
      <c r="F11" t="s">
        <v>21</v>
      </c>
      <c r="G11" s="7">
        <v>230000</v>
      </c>
      <c r="H11" s="7">
        <v>158200</v>
      </c>
      <c r="I11" s="12">
        <f>H11/G11*100</f>
        <v>68.782608695652172</v>
      </c>
      <c r="J11" s="7">
        <v>245856</v>
      </c>
      <c r="K11" s="7">
        <f>39972+19709</f>
        <v>59681</v>
      </c>
      <c r="L11" s="7">
        <f>G11-K11</f>
        <v>170319</v>
      </c>
      <c r="M11" s="7">
        <v>395275</v>
      </c>
      <c r="N11" s="22">
        <f>L11/M11</f>
        <v>0.43088735690342167</v>
      </c>
      <c r="O11" s="22" t="e">
        <f>ABS(N11-#REF!)*100</f>
        <v>#REF!</v>
      </c>
      <c r="P11" s="25">
        <v>7695</v>
      </c>
      <c r="Q11" s="30">
        <f>L11/P11</f>
        <v>22.133723196881093</v>
      </c>
      <c r="R11" s="35" t="s">
        <v>44</v>
      </c>
      <c r="S11" t="s">
        <v>22</v>
      </c>
      <c r="U11" s="39">
        <v>201</v>
      </c>
    </row>
    <row r="12" spans="1:59" x14ac:dyDescent="0.25">
      <c r="A12" t="s">
        <v>34</v>
      </c>
      <c r="B12" t="s">
        <v>60</v>
      </c>
      <c r="C12" s="17">
        <v>44797</v>
      </c>
      <c r="D12" s="7">
        <v>160000</v>
      </c>
      <c r="E12" t="s">
        <v>20</v>
      </c>
      <c r="F12" t="s">
        <v>21</v>
      </c>
      <c r="G12" s="7">
        <v>160000</v>
      </c>
      <c r="H12" s="7">
        <v>56900</v>
      </c>
      <c r="I12" s="12">
        <f>H12/G12*100</f>
        <v>35.5625</v>
      </c>
      <c r="J12" s="7">
        <v>131382</v>
      </c>
      <c r="K12" s="7">
        <f>28515+4025</f>
        <v>32540</v>
      </c>
      <c r="L12" s="7">
        <f>G12-K12</f>
        <v>127460</v>
      </c>
      <c r="M12" s="7">
        <f>118529+128154+24605</f>
        <v>271288</v>
      </c>
      <c r="N12" s="22">
        <f>L12/M12</f>
        <v>0.4698327976172923</v>
      </c>
      <c r="O12" s="22">
        <f>ABS(N12-$N$20)*100</f>
        <v>9.1515094414172715</v>
      </c>
      <c r="P12" s="25">
        <f>2637+1680+672</f>
        <v>4989</v>
      </c>
      <c r="Q12" s="30">
        <f>L12/P12</f>
        <v>25.548206053317298</v>
      </c>
      <c r="R12" s="35" t="s">
        <v>45</v>
      </c>
      <c r="S12" t="s">
        <v>28</v>
      </c>
      <c r="U12" s="39">
        <v>201</v>
      </c>
    </row>
    <row r="13" spans="1:59" x14ac:dyDescent="0.25">
      <c r="A13" t="s">
        <v>82</v>
      </c>
      <c r="B13" t="s">
        <v>83</v>
      </c>
      <c r="C13" s="17">
        <v>45107</v>
      </c>
      <c r="D13" s="7">
        <v>80000</v>
      </c>
      <c r="E13" t="s">
        <v>20</v>
      </c>
      <c r="F13" t="s">
        <v>21</v>
      </c>
      <c r="G13" s="7">
        <v>80000</v>
      </c>
      <c r="H13" s="7">
        <v>36800</v>
      </c>
      <c r="I13" s="12">
        <f>H13/G13*100</f>
        <v>46</v>
      </c>
      <c r="J13" s="7">
        <v>79406</v>
      </c>
      <c r="K13" s="7">
        <v>4469</v>
      </c>
      <c r="L13" s="44">
        <f>G13-K13</f>
        <v>75531</v>
      </c>
      <c r="M13" s="7">
        <v>159103</v>
      </c>
      <c r="N13" s="22">
        <f>L13/M13</f>
        <v>0.47473020621861312</v>
      </c>
      <c r="O13" s="22" t="e">
        <f>ABS(N13-#REF!)*100</f>
        <v>#REF!</v>
      </c>
      <c r="P13" s="25">
        <v>2720</v>
      </c>
      <c r="Q13" s="30">
        <f>L13/P13</f>
        <v>27.768750000000001</v>
      </c>
      <c r="R13" s="35" t="s">
        <v>44</v>
      </c>
      <c r="S13" t="s">
        <v>90</v>
      </c>
      <c r="U13" s="39">
        <v>201</v>
      </c>
    </row>
    <row r="14" spans="1:59" x14ac:dyDescent="0.25">
      <c r="A14" t="s">
        <v>51</v>
      </c>
      <c r="B14" t="s">
        <v>52</v>
      </c>
      <c r="C14" s="17">
        <v>45049</v>
      </c>
      <c r="D14" s="7">
        <v>50000</v>
      </c>
      <c r="E14" t="s">
        <v>53</v>
      </c>
      <c r="F14" t="s">
        <v>21</v>
      </c>
      <c r="G14" s="7">
        <v>50000</v>
      </c>
      <c r="H14" s="7">
        <v>21000</v>
      </c>
      <c r="I14" s="12">
        <f>H14/G14*100</f>
        <v>42</v>
      </c>
      <c r="J14" s="7">
        <v>41750</v>
      </c>
      <c r="K14" s="7">
        <f>15839+215</f>
        <v>16054</v>
      </c>
      <c r="L14" s="7">
        <f>G14-K14</f>
        <v>33946</v>
      </c>
      <c r="M14" s="7">
        <v>68707</v>
      </c>
      <c r="N14" s="22">
        <f>L14/M14</f>
        <v>0.4940690177128968</v>
      </c>
      <c r="O14" s="22">
        <f>ABS(N14-$N$20)*100</f>
        <v>11.575131450977722</v>
      </c>
      <c r="P14" s="25">
        <v>5848</v>
      </c>
      <c r="Q14" s="30">
        <f>L14/P14</f>
        <v>5.8047195622435019</v>
      </c>
      <c r="R14" s="35" t="s">
        <v>45</v>
      </c>
      <c r="S14" t="s">
        <v>22</v>
      </c>
      <c r="U14" s="39">
        <v>201</v>
      </c>
    </row>
    <row r="15" spans="1:59" x14ac:dyDescent="0.25">
      <c r="A15" t="s">
        <v>43</v>
      </c>
      <c r="B15" t="s">
        <v>59</v>
      </c>
      <c r="C15" s="17">
        <v>44697</v>
      </c>
      <c r="D15" s="7">
        <v>79900</v>
      </c>
      <c r="E15" t="s">
        <v>20</v>
      </c>
      <c r="F15" t="s">
        <v>21</v>
      </c>
      <c r="G15" s="7">
        <v>79900</v>
      </c>
      <c r="H15" s="7">
        <v>32300</v>
      </c>
      <c r="I15" s="12">
        <f>H15/G15*100</f>
        <v>40.425531914893611</v>
      </c>
      <c r="J15" s="7">
        <v>76187</v>
      </c>
      <c r="K15" s="7">
        <v>3939</v>
      </c>
      <c r="L15" s="44">
        <f>G15-K15</f>
        <v>75961</v>
      </c>
      <c r="M15" s="7">
        <f>106439+46954</f>
        <v>153393</v>
      </c>
      <c r="N15" s="22">
        <f>L15/M15</f>
        <v>0.49520512670069688</v>
      </c>
      <c r="O15" s="22" t="e">
        <f>ABS(N15-#REF!)*100</f>
        <v>#REF!</v>
      </c>
      <c r="P15" s="25">
        <f>1800+1488</f>
        <v>3288</v>
      </c>
      <c r="Q15" s="30">
        <f>L15/P15</f>
        <v>23.102493917274938</v>
      </c>
      <c r="R15" s="35" t="s">
        <v>44</v>
      </c>
      <c r="S15" t="s">
        <v>28</v>
      </c>
      <c r="U15" s="39">
        <v>201</v>
      </c>
    </row>
    <row r="16" spans="1:59" x14ac:dyDescent="0.25">
      <c r="A16" t="s">
        <v>54</v>
      </c>
      <c r="B16" t="s">
        <v>55</v>
      </c>
      <c r="C16" s="17">
        <v>45117</v>
      </c>
      <c r="D16" s="7">
        <v>110000</v>
      </c>
      <c r="E16" t="s">
        <v>20</v>
      </c>
      <c r="F16" t="s">
        <v>21</v>
      </c>
      <c r="G16" s="7">
        <v>110000</v>
      </c>
      <c r="H16" s="7">
        <v>38900</v>
      </c>
      <c r="I16" s="12">
        <f>H16/G16*100</f>
        <v>35.363636363636367</v>
      </c>
      <c r="J16" s="7">
        <v>90233</v>
      </c>
      <c r="K16" s="7">
        <f>29308+1514</f>
        <v>30822</v>
      </c>
      <c r="L16" s="7">
        <f>G16-K16</f>
        <v>79178</v>
      </c>
      <c r="M16" s="7">
        <f>137073+21780</f>
        <v>158853</v>
      </c>
      <c r="N16" s="22">
        <f>L16/M16</f>
        <v>0.49843566064222899</v>
      </c>
      <c r="O16" s="22">
        <f>ABS(N16-$N$20)*100</f>
        <v>12.011795743910941</v>
      </c>
      <c r="P16" s="25">
        <f>2382+1116</f>
        <v>3498</v>
      </c>
      <c r="Q16" s="30">
        <f>L16/P16</f>
        <v>22.635220125786162</v>
      </c>
      <c r="R16" s="35" t="s">
        <v>45</v>
      </c>
      <c r="S16" t="s">
        <v>22</v>
      </c>
      <c r="U16" s="39">
        <v>201</v>
      </c>
    </row>
    <row r="17" spans="1:21" ht="15.75" thickBot="1" x14ac:dyDescent="0.3">
      <c r="L17" s="44"/>
      <c r="R17" s="35"/>
    </row>
    <row r="18" spans="1:21" ht="15.75" thickTop="1" x14ac:dyDescent="0.25">
      <c r="A18" s="3"/>
      <c r="B18" s="3"/>
      <c r="C18" s="18" t="s">
        <v>23</v>
      </c>
      <c r="D18" s="8">
        <f>SUM(D3:D17)</f>
        <v>1532100</v>
      </c>
      <c r="E18" s="3"/>
      <c r="F18" s="3"/>
      <c r="G18" s="8">
        <f>+SUM(G3:G17)</f>
        <v>1492100</v>
      </c>
      <c r="H18" s="8">
        <f>+SUM(H3:H17)</f>
        <v>831200</v>
      </c>
      <c r="I18" s="13"/>
      <c r="J18" s="8">
        <f>SUM(J3:J17)</f>
        <v>1610481</v>
      </c>
      <c r="K18" s="8"/>
      <c r="L18" s="8">
        <f>+SUM(L3:L17)</f>
        <v>1049095</v>
      </c>
      <c r="M18" s="8">
        <f>+SUM(M3:M17)</f>
        <v>2949874</v>
      </c>
      <c r="N18" s="23"/>
      <c r="O18" s="23"/>
      <c r="P18" s="26"/>
      <c r="Q18" s="31">
        <f>AVERAGE(Q8:Q17)</f>
        <v>20.600471199818728</v>
      </c>
      <c r="R18" s="36"/>
      <c r="S18" s="3"/>
      <c r="T18" s="3"/>
      <c r="U18" s="41"/>
    </row>
    <row r="19" spans="1:21" x14ac:dyDescent="0.25">
      <c r="A19" s="4"/>
      <c r="B19" s="4"/>
      <c r="C19" s="19"/>
      <c r="D19" s="9"/>
      <c r="E19" s="4"/>
      <c r="F19" s="4"/>
      <c r="G19" s="9"/>
      <c r="H19" s="9" t="s">
        <v>24</v>
      </c>
      <c r="I19" s="14">
        <f>H18/G18*100</f>
        <v>55.706722069566382</v>
      </c>
      <c r="J19" s="9"/>
      <c r="K19" s="9"/>
      <c r="L19" s="9"/>
      <c r="M19" s="9" t="s">
        <v>25</v>
      </c>
      <c r="N19" s="46">
        <f>L18/M18</f>
        <v>0.35564061380248785</v>
      </c>
      <c r="O19" s="48"/>
      <c r="P19" s="27"/>
      <c r="Q19" s="32" t="s">
        <v>26</v>
      </c>
      <c r="R19" s="47">
        <f>_xlfn.STDEV.S(N8:N17)</f>
        <v>5.9727524487197391E-2</v>
      </c>
      <c r="S19" s="4"/>
      <c r="T19" s="4"/>
      <c r="U19" s="42"/>
    </row>
    <row r="20" spans="1:21" x14ac:dyDescent="0.25">
      <c r="A20" s="5"/>
      <c r="B20" s="5"/>
      <c r="C20" s="20"/>
      <c r="D20" s="10"/>
      <c r="E20" s="5"/>
      <c r="F20" s="5"/>
      <c r="G20" s="10"/>
      <c r="H20" s="10" t="s">
        <v>26</v>
      </c>
      <c r="I20" s="15">
        <f>STDEV(I8:I17)</f>
        <v>10.198102791493532</v>
      </c>
      <c r="J20" s="10"/>
      <c r="K20" s="10"/>
      <c r="L20" s="10"/>
      <c r="M20" s="10" t="s">
        <v>27</v>
      </c>
      <c r="N20" s="45">
        <f>AVERAGE(N3:N17)</f>
        <v>0.37831770320311958</v>
      </c>
      <c r="O20" s="45"/>
      <c r="P20" s="28"/>
      <c r="Q20" s="33"/>
      <c r="R20" s="38"/>
      <c r="S20" s="5"/>
      <c r="T20" s="5"/>
      <c r="U20" s="43"/>
    </row>
    <row r="21" spans="1:21" s="59" customFormat="1" x14ac:dyDescent="0.25">
      <c r="A21" s="50"/>
      <c r="B21" s="50"/>
      <c r="C21" s="51"/>
      <c r="D21" s="52"/>
      <c r="E21" s="50"/>
      <c r="F21" s="50"/>
      <c r="G21" s="52"/>
      <c r="H21" s="52"/>
      <c r="I21" s="53"/>
      <c r="J21" s="52"/>
      <c r="K21" s="52"/>
      <c r="L21" s="52"/>
      <c r="M21" s="52"/>
      <c r="N21" s="54"/>
      <c r="O21" s="54"/>
      <c r="P21" s="55"/>
      <c r="Q21" s="56"/>
      <c r="R21" s="57"/>
      <c r="S21" s="50"/>
      <c r="T21" s="50"/>
      <c r="U21" s="58"/>
    </row>
    <row r="22" spans="1:21" s="59" customFormat="1" x14ac:dyDescent="0.25">
      <c r="A22" s="50"/>
      <c r="B22" s="50"/>
      <c r="C22" s="51"/>
      <c r="D22" s="52"/>
      <c r="E22" s="50"/>
      <c r="F22" s="50"/>
      <c r="G22" s="52"/>
      <c r="H22" s="52"/>
      <c r="I22" s="53"/>
      <c r="J22" s="52"/>
      <c r="K22" s="52"/>
      <c r="L22" s="52"/>
      <c r="M22" s="52"/>
      <c r="N22" s="54"/>
      <c r="O22" s="54"/>
      <c r="P22" s="55"/>
      <c r="Q22" s="56"/>
      <c r="R22" s="57"/>
      <c r="S22" s="50"/>
      <c r="T22" s="50"/>
      <c r="U22" s="58"/>
    </row>
    <row r="23" spans="1:21" x14ac:dyDescent="0.25">
      <c r="A23" t="s">
        <v>29</v>
      </c>
    </row>
    <row r="24" spans="1:21" x14ac:dyDescent="0.25">
      <c r="A24" t="s">
        <v>80</v>
      </c>
      <c r="B24" t="s">
        <v>81</v>
      </c>
      <c r="C24" s="17">
        <v>45078</v>
      </c>
      <c r="D24" s="7">
        <v>225000</v>
      </c>
      <c r="E24" t="s">
        <v>20</v>
      </c>
      <c r="F24" t="s">
        <v>21</v>
      </c>
      <c r="G24" s="7">
        <v>225000</v>
      </c>
      <c r="H24" s="7">
        <v>83600</v>
      </c>
      <c r="I24" s="12">
        <f t="shared" ref="I24:I28" si="0">H24/G24*100</f>
        <v>37.155555555555551</v>
      </c>
      <c r="J24" s="7">
        <v>218106</v>
      </c>
      <c r="K24" s="7">
        <f>58409+20624+2710</f>
        <v>81743</v>
      </c>
      <c r="L24" s="7">
        <f t="shared" ref="L24:L28" si="1">G24-K24</f>
        <v>143257</v>
      </c>
      <c r="M24" s="7">
        <v>257727</v>
      </c>
      <c r="N24" s="22">
        <f t="shared" ref="N24:N28" si="2">L24/M24</f>
        <v>0.55584785451272078</v>
      </c>
      <c r="O24" s="22" t="e">
        <f>ABS(N24-#REF!)*100</f>
        <v>#REF!</v>
      </c>
      <c r="P24" s="25">
        <v>1952</v>
      </c>
      <c r="Q24" s="30">
        <f t="shared" ref="Q24:Q28" si="3">L24/P24</f>
        <v>73.389856557377044</v>
      </c>
      <c r="R24" s="35" t="s">
        <v>46</v>
      </c>
      <c r="S24" t="s">
        <v>22</v>
      </c>
      <c r="T24" t="s">
        <v>57</v>
      </c>
      <c r="U24" s="39">
        <v>201</v>
      </c>
    </row>
    <row r="25" spans="1:21" x14ac:dyDescent="0.25">
      <c r="A25" t="s">
        <v>30</v>
      </c>
      <c r="B25" t="s">
        <v>65</v>
      </c>
      <c r="C25" s="17">
        <v>44893</v>
      </c>
      <c r="D25" s="7">
        <v>239000</v>
      </c>
      <c r="E25" t="s">
        <v>20</v>
      </c>
      <c r="F25" t="s">
        <v>31</v>
      </c>
      <c r="G25" s="7">
        <v>239000</v>
      </c>
      <c r="H25" s="7">
        <v>104700</v>
      </c>
      <c r="I25" s="12">
        <f t="shared" si="0"/>
        <v>43.80753138075314</v>
      </c>
      <c r="J25" s="7">
        <f>168894+60078</f>
        <v>228972</v>
      </c>
      <c r="K25" s="7">
        <f>29837+1151+38925+21153+1358</f>
        <v>92424</v>
      </c>
      <c r="L25" s="7">
        <f t="shared" si="1"/>
        <v>146576</v>
      </c>
      <c r="M25" s="7">
        <f>367376</f>
        <v>367376</v>
      </c>
      <c r="N25" s="22">
        <f t="shared" si="2"/>
        <v>0.39898088062366621</v>
      </c>
      <c r="O25" s="22" t="e">
        <f>ABS(N25-#REF!)*100</f>
        <v>#REF!</v>
      </c>
      <c r="P25" s="25">
        <v>1920</v>
      </c>
      <c r="Q25" s="30">
        <f t="shared" si="3"/>
        <v>76.341666666666669</v>
      </c>
      <c r="R25" s="35" t="s">
        <v>46</v>
      </c>
      <c r="S25" t="s">
        <v>22</v>
      </c>
      <c r="T25" t="s">
        <v>32</v>
      </c>
      <c r="U25" s="39">
        <v>201</v>
      </c>
    </row>
    <row r="26" spans="1:21" x14ac:dyDescent="0.25">
      <c r="A26" t="s">
        <v>40</v>
      </c>
      <c r="B26" t="s">
        <v>66</v>
      </c>
      <c r="C26" s="17">
        <v>44804</v>
      </c>
      <c r="D26" s="7">
        <v>350000</v>
      </c>
      <c r="E26" t="s">
        <v>20</v>
      </c>
      <c r="F26" t="s">
        <v>21</v>
      </c>
      <c r="G26" s="7">
        <v>300000</v>
      </c>
      <c r="H26" s="7">
        <v>147800</v>
      </c>
      <c r="I26" s="12">
        <f t="shared" si="0"/>
        <v>49.266666666666666</v>
      </c>
      <c r="J26" s="7">
        <v>307308</v>
      </c>
      <c r="K26" s="7">
        <f>66055+11112</f>
        <v>77167</v>
      </c>
      <c r="L26" s="7">
        <f t="shared" si="1"/>
        <v>222833</v>
      </c>
      <c r="M26" s="7">
        <v>430975</v>
      </c>
      <c r="N26" s="22">
        <f t="shared" si="2"/>
        <v>0.51704391205986422</v>
      </c>
      <c r="O26" s="22" t="e">
        <f>ABS(N26-#REF!)*100</f>
        <v>#REF!</v>
      </c>
      <c r="P26" s="25">
        <v>2004</v>
      </c>
      <c r="Q26" s="30">
        <f t="shared" si="3"/>
        <v>111.1941117764471</v>
      </c>
      <c r="R26" s="35" t="s">
        <v>46</v>
      </c>
      <c r="S26" t="s">
        <v>22</v>
      </c>
      <c r="U26" s="39">
        <v>201</v>
      </c>
    </row>
    <row r="27" spans="1:21" x14ac:dyDescent="0.25">
      <c r="A27" t="s">
        <v>41</v>
      </c>
      <c r="B27" t="s">
        <v>67</v>
      </c>
      <c r="C27" s="17">
        <v>44861</v>
      </c>
      <c r="D27" s="7">
        <v>385000</v>
      </c>
      <c r="E27" t="s">
        <v>20</v>
      </c>
      <c r="F27" t="s">
        <v>21</v>
      </c>
      <c r="G27" s="7">
        <v>385000</v>
      </c>
      <c r="H27" s="7">
        <v>222100</v>
      </c>
      <c r="I27" s="12">
        <f t="shared" si="0"/>
        <v>57.688311688311686</v>
      </c>
      <c r="J27" s="7">
        <v>472294</v>
      </c>
      <c r="K27" s="7">
        <f>60889+97248</f>
        <v>158137</v>
      </c>
      <c r="L27" s="7">
        <f t="shared" si="1"/>
        <v>226863</v>
      </c>
      <c r="M27" s="7">
        <v>579760</v>
      </c>
      <c r="N27" s="22">
        <f t="shared" si="2"/>
        <v>0.39130502276804197</v>
      </c>
      <c r="O27" s="22" t="e">
        <f>ABS(N27-#REF!)*100</f>
        <v>#REF!</v>
      </c>
      <c r="P27" s="25">
        <v>4761</v>
      </c>
      <c r="Q27" s="30">
        <f t="shared" si="3"/>
        <v>47.650283553875234</v>
      </c>
      <c r="R27" s="35" t="s">
        <v>46</v>
      </c>
      <c r="S27" t="s">
        <v>22</v>
      </c>
      <c r="U27" s="39">
        <v>201</v>
      </c>
    </row>
    <row r="28" spans="1:21" x14ac:dyDescent="0.25">
      <c r="A28" t="s">
        <v>33</v>
      </c>
      <c r="B28" t="s">
        <v>68</v>
      </c>
      <c r="C28" s="17">
        <v>44749</v>
      </c>
      <c r="D28" s="7">
        <v>125000</v>
      </c>
      <c r="E28" t="s">
        <v>20</v>
      </c>
      <c r="F28" t="s">
        <v>21</v>
      </c>
      <c r="G28" s="7">
        <v>125000</v>
      </c>
      <c r="H28" s="7">
        <v>51200</v>
      </c>
      <c r="I28" s="12">
        <f t="shared" si="0"/>
        <v>40.96</v>
      </c>
      <c r="J28" s="7">
        <v>123154</v>
      </c>
      <c r="K28" s="7">
        <f>32921+8276</f>
        <v>41197</v>
      </c>
      <c r="L28" s="7">
        <f t="shared" si="1"/>
        <v>83803</v>
      </c>
      <c r="M28" s="7">
        <v>153477</v>
      </c>
      <c r="N28" s="22">
        <f t="shared" si="2"/>
        <v>0.54602969826097725</v>
      </c>
      <c r="O28" s="22" t="e">
        <f>ABS(N28-#REF!)*100</f>
        <v>#REF!</v>
      </c>
      <c r="P28" s="25">
        <v>2244</v>
      </c>
      <c r="Q28" s="30">
        <f t="shared" si="3"/>
        <v>37.345365418894829</v>
      </c>
      <c r="R28" s="35" t="s">
        <v>46</v>
      </c>
      <c r="S28" t="s">
        <v>22</v>
      </c>
      <c r="U28" s="39">
        <v>201</v>
      </c>
    </row>
    <row r="29" spans="1:21" x14ac:dyDescent="0.25">
      <c r="A29" t="s">
        <v>56</v>
      </c>
      <c r="B29" t="s">
        <v>69</v>
      </c>
      <c r="C29" s="17">
        <v>45030</v>
      </c>
      <c r="D29" s="7">
        <v>375000</v>
      </c>
      <c r="E29" t="s">
        <v>53</v>
      </c>
      <c r="F29" t="s">
        <v>21</v>
      </c>
      <c r="G29" s="7">
        <v>375000</v>
      </c>
      <c r="H29" s="7">
        <v>121700</v>
      </c>
      <c r="I29" s="12">
        <f t="shared" ref="I29:I30" si="4">H29/G29*100</f>
        <v>32.453333333333333</v>
      </c>
      <c r="J29" s="7">
        <v>220013</v>
      </c>
      <c r="K29" s="7">
        <f>24271+39089</f>
        <v>63360</v>
      </c>
      <c r="L29" s="44">
        <f t="shared" ref="L29:L30" si="5">G29-K29</f>
        <v>311640</v>
      </c>
      <c r="M29" s="7">
        <v>332597</v>
      </c>
      <c r="N29" s="22">
        <f t="shared" ref="N29:N30" si="6">L29/M29</f>
        <v>0.93698981049137542</v>
      </c>
      <c r="P29" s="25">
        <v>3380</v>
      </c>
      <c r="Q29" s="30">
        <f t="shared" ref="Q29:Q30" si="7">L29/P29</f>
        <v>92.201183431952657</v>
      </c>
      <c r="R29" s="35" t="s">
        <v>44</v>
      </c>
      <c r="S29" t="s">
        <v>90</v>
      </c>
      <c r="U29" s="39">
        <v>201</v>
      </c>
    </row>
    <row r="30" spans="1:21" x14ac:dyDescent="0.25">
      <c r="A30" t="s">
        <v>39</v>
      </c>
      <c r="B30" t="s">
        <v>63</v>
      </c>
      <c r="C30" s="17">
        <v>44721</v>
      </c>
      <c r="D30" s="7">
        <v>50000</v>
      </c>
      <c r="E30" t="s">
        <v>20</v>
      </c>
      <c r="F30" t="s">
        <v>21</v>
      </c>
      <c r="G30" s="7">
        <v>50000</v>
      </c>
      <c r="H30" s="7">
        <v>32000</v>
      </c>
      <c r="I30" s="12">
        <f t="shared" si="4"/>
        <v>64</v>
      </c>
      <c r="J30" s="7">
        <v>113861</v>
      </c>
      <c r="K30" s="7">
        <f>26989+13292</f>
        <v>40281</v>
      </c>
      <c r="L30" s="7">
        <f t="shared" si="5"/>
        <v>9719</v>
      </c>
      <c r="M30" s="7">
        <v>196738</v>
      </c>
      <c r="N30" s="22">
        <f t="shared" si="6"/>
        <v>4.9400725838424704E-2</v>
      </c>
      <c r="P30" s="25">
        <v>6000</v>
      </c>
      <c r="Q30" s="30">
        <f t="shared" si="7"/>
        <v>1.6198333333333332</v>
      </c>
      <c r="R30" s="35" t="s">
        <v>45</v>
      </c>
      <c r="S30" t="s">
        <v>28</v>
      </c>
      <c r="U30" s="39">
        <v>201</v>
      </c>
    </row>
    <row r="31" spans="1:21" x14ac:dyDescent="0.25">
      <c r="A31" t="s">
        <v>89</v>
      </c>
      <c r="B31" t="s">
        <v>92</v>
      </c>
      <c r="C31" s="17">
        <v>45321</v>
      </c>
      <c r="D31" s="7">
        <v>450000</v>
      </c>
      <c r="E31" t="s">
        <v>20</v>
      </c>
      <c r="F31" t="s">
        <v>31</v>
      </c>
      <c r="G31" s="7">
        <v>450000</v>
      </c>
      <c r="H31" s="7">
        <v>109700</v>
      </c>
      <c r="I31" s="12">
        <v>24.38</v>
      </c>
      <c r="J31" s="7">
        <f>102533+21127+3351+11285+54547+26277</f>
        <v>219120</v>
      </c>
      <c r="K31" s="7">
        <f>21127+25343+27896+3351+11285+8870+4678+9108+10387</f>
        <v>122045</v>
      </c>
      <c r="L31" s="7">
        <f>G31-K31</f>
        <v>327955</v>
      </c>
      <c r="M31" s="7">
        <f>92310+54972+21806+12701</f>
        <v>181789</v>
      </c>
      <c r="N31" s="22">
        <f>L31/M31</f>
        <v>1.8040420487488242</v>
      </c>
      <c r="P31" s="25">
        <f>4298+3010+420+960</f>
        <v>8688</v>
      </c>
      <c r="Q31" s="30">
        <f>L31/P31</f>
        <v>37.748043278084715</v>
      </c>
      <c r="R31" s="35" t="s">
        <v>46</v>
      </c>
      <c r="S31" t="s">
        <v>22</v>
      </c>
      <c r="T31" t="s">
        <v>91</v>
      </c>
      <c r="U31" s="39">
        <v>201</v>
      </c>
    </row>
    <row r="32" spans="1:21" x14ac:dyDescent="0.25">
      <c r="A32" t="s">
        <v>74</v>
      </c>
      <c r="B32" t="s">
        <v>75</v>
      </c>
      <c r="C32" s="17">
        <v>45023</v>
      </c>
      <c r="D32" s="7">
        <v>250000</v>
      </c>
      <c r="E32" t="s">
        <v>20</v>
      </c>
      <c r="F32" t="s">
        <v>21</v>
      </c>
      <c r="G32" s="7">
        <v>250000</v>
      </c>
      <c r="H32" s="7">
        <v>52000</v>
      </c>
      <c r="I32" s="12">
        <f>H32/G32*100</f>
        <v>20.8</v>
      </c>
      <c r="J32" s="7">
        <v>144951</v>
      </c>
      <c r="K32" s="7">
        <f>75837+12926</f>
        <v>88763</v>
      </c>
      <c r="L32" s="7">
        <f>G32-K32</f>
        <v>161237</v>
      </c>
      <c r="M32" s="7">
        <f>92478+15930</f>
        <v>108408</v>
      </c>
      <c r="N32" s="22">
        <f>L32/M32</f>
        <v>1.4873164342114973</v>
      </c>
      <c r="P32" s="25">
        <f>1200+336</f>
        <v>1536</v>
      </c>
      <c r="Q32" s="30">
        <f>L32/P32</f>
        <v>104.97200520833333</v>
      </c>
      <c r="R32" s="35" t="s">
        <v>46</v>
      </c>
      <c r="S32" t="s">
        <v>22</v>
      </c>
      <c r="U32" s="39">
        <v>201</v>
      </c>
    </row>
    <row r="33" spans="1:21" x14ac:dyDescent="0.25">
      <c r="A33" t="s">
        <v>70</v>
      </c>
      <c r="B33" t="s">
        <v>71</v>
      </c>
      <c r="C33" s="17">
        <v>45112</v>
      </c>
      <c r="D33" s="7">
        <v>109900</v>
      </c>
      <c r="E33" t="s">
        <v>20</v>
      </c>
      <c r="F33" t="s">
        <v>21</v>
      </c>
      <c r="G33" s="7">
        <v>109900</v>
      </c>
      <c r="H33" s="7">
        <v>26600</v>
      </c>
      <c r="I33" s="12">
        <f>H33/G33*100</f>
        <v>24.203821656050955</v>
      </c>
      <c r="J33" s="7">
        <v>52294</v>
      </c>
      <c r="K33" s="7">
        <f>3247+1293</f>
        <v>4540</v>
      </c>
      <c r="L33" s="7">
        <f>G33-K33</f>
        <v>105360</v>
      </c>
      <c r="M33" s="7">
        <v>127683</v>
      </c>
      <c r="N33" s="22">
        <f>L33/M33</f>
        <v>0.82516858156528272</v>
      </c>
      <c r="O33" s="22">
        <f>ABS(N33-$N$20)*100</f>
        <v>44.685087836216312</v>
      </c>
      <c r="P33" s="25">
        <v>1584</v>
      </c>
      <c r="Q33" s="30">
        <f>L33/P33</f>
        <v>66.515151515151516</v>
      </c>
      <c r="R33" s="35" t="s">
        <v>45</v>
      </c>
      <c r="S33" t="s">
        <v>22</v>
      </c>
      <c r="U33" s="39">
        <v>201</v>
      </c>
    </row>
    <row r="34" spans="1:21" x14ac:dyDescent="0.25">
      <c r="A34" t="s">
        <v>76</v>
      </c>
      <c r="B34" t="s">
        <v>77</v>
      </c>
      <c r="C34" s="17">
        <v>45120</v>
      </c>
      <c r="D34" s="7">
        <v>110000</v>
      </c>
      <c r="E34" t="s">
        <v>20</v>
      </c>
      <c r="F34" t="s">
        <v>21</v>
      </c>
      <c r="G34" s="7">
        <v>110000</v>
      </c>
      <c r="H34" s="7">
        <v>21900</v>
      </c>
      <c r="I34" s="12">
        <f>H34/G34*100</f>
        <v>19.90909090909091</v>
      </c>
      <c r="J34" s="7">
        <v>76844</v>
      </c>
      <c r="K34" s="7">
        <v>6033</v>
      </c>
      <c r="L34" s="44">
        <f>G34-K34</f>
        <v>103967</v>
      </c>
      <c r="M34" s="7">
        <f>105921+44421</f>
        <v>150342</v>
      </c>
      <c r="N34" s="22">
        <f>L34/M34</f>
        <v>0.69153662981734976</v>
      </c>
      <c r="O34" s="22" t="e">
        <f>ABS(N34-#REF!)*100</f>
        <v>#REF!</v>
      </c>
      <c r="P34" s="25">
        <f>4004+1183</f>
        <v>5187</v>
      </c>
      <c r="Q34" s="30">
        <f>L34/P34</f>
        <v>20.043763254289569</v>
      </c>
      <c r="R34" s="35" t="s">
        <v>44</v>
      </c>
      <c r="S34" t="s">
        <v>28</v>
      </c>
      <c r="U34" s="39">
        <v>201</v>
      </c>
    </row>
    <row r="35" spans="1:21" x14ac:dyDescent="0.25">
      <c r="A35" t="s">
        <v>84</v>
      </c>
      <c r="B35" t="s">
        <v>85</v>
      </c>
      <c r="C35" s="17">
        <v>45278</v>
      </c>
      <c r="D35" s="7">
        <v>350000</v>
      </c>
      <c r="E35" t="s">
        <v>20</v>
      </c>
      <c r="F35" t="s">
        <v>31</v>
      </c>
      <c r="G35" s="7">
        <v>350000</v>
      </c>
      <c r="H35" s="7">
        <v>86000</v>
      </c>
      <c r="I35" s="12">
        <f>H35/G35*100</f>
        <v>24.571428571428573</v>
      </c>
      <c r="J35" s="7">
        <f>188615+24617</f>
        <v>213232</v>
      </c>
      <c r="K35" s="7">
        <f>48385+4887+24617+8955</f>
        <v>86844</v>
      </c>
      <c r="L35" s="7">
        <f>G35-K35</f>
        <v>263156</v>
      </c>
      <c r="M35" s="7">
        <v>352924</v>
      </c>
      <c r="N35" s="22">
        <f>L35/M35</f>
        <v>0.74564495472112979</v>
      </c>
      <c r="O35" s="22">
        <f>ABS(N35-$N$20)*100</f>
        <v>36.73272515180102</v>
      </c>
      <c r="P35" s="25">
        <v>5360</v>
      </c>
      <c r="Q35" s="30">
        <f>L35/P35</f>
        <v>49.096268656716418</v>
      </c>
      <c r="R35" s="35" t="s">
        <v>45</v>
      </c>
      <c r="S35" t="s">
        <v>22</v>
      </c>
      <c r="T35" t="s">
        <v>86</v>
      </c>
      <c r="U35" s="39">
        <v>201</v>
      </c>
    </row>
  </sheetData>
  <sortState xmlns:xlrd2="http://schemas.microsoft.com/office/spreadsheetml/2017/richdata2" ref="A3:BG17">
    <sortCondition ref="N3:N17"/>
  </sortState>
  <pageMargins left="0.25" right="0.25" top="0.75" bottom="0.75" header="0.3" footer="0.3"/>
  <pageSetup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 ECF 2025</vt:lpstr>
      <vt:lpstr>Sheet1</vt:lpstr>
      <vt:lpstr>'COM ECF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Daniels</dc:creator>
  <cp:lastModifiedBy>Assessing</cp:lastModifiedBy>
  <cp:lastPrinted>2025-01-14T18:39:32Z</cp:lastPrinted>
  <dcterms:created xsi:type="dcterms:W3CDTF">2019-10-18T15:35:26Z</dcterms:created>
  <dcterms:modified xsi:type="dcterms:W3CDTF">2025-01-14T18:41:05Z</dcterms:modified>
</cp:coreProperties>
</file>