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angelreverol/Dropbox/- TEA/PRUEBAS - BATERIAS TEA/ADIR/RESULTADOS ADI-R/"/>
    </mc:Choice>
  </mc:AlternateContent>
  <xr:revisionPtr revIDLastSave="0" documentId="13_ncr:1_{FA0F5A2F-3C3C-6C46-8F5F-24E5758666A1}" xr6:coauthVersionLast="47" xr6:coauthVersionMax="47" xr10:uidLastSave="{00000000-0000-0000-0000-000000000000}"/>
  <workbookProtection workbookAlgorithmName="SHA-512" workbookHashValue="lRx9Pix+Zgv+ibycLMwG0knMhAQyWZmWvlEgS3NLatnN05VgKDURcm+KYTDPkm29h/QIb0QDGwgFxuXToGU26Q==" workbookSaltValue="CcifN952XOvAv1y86XY3CA==" workbookSpinCount="100000" lockStructure="1"/>
  <bookViews>
    <workbookView xWindow="0" yWindow="480" windowWidth="28800" windowHeight="17520" activeTab="7" xr2:uid="{64D66204-A5BF-4B80-99EF-68D78BE7F29A}"/>
  </bookViews>
  <sheets>
    <sheet name="P1" sheetId="1" r:id="rId1"/>
    <sheet name="A" sheetId="2" r:id="rId2"/>
    <sheet name="B" sheetId="7" r:id="rId3"/>
    <sheet name="C" sheetId="8" r:id="rId4"/>
    <sheet name="D" sheetId="9" r:id="rId5"/>
    <sheet name="CP" sheetId="6" state="hidden" r:id="rId6"/>
    <sheet name="INGRESO" sheetId="10" r:id="rId7"/>
    <sheet name="RESUMEN" sheetId="11" r:id="rId8"/>
    <sheet name="conf dg" sheetId="12" state="hidden" r:id="rId9"/>
  </sheets>
  <definedNames>
    <definedName name="_0_1_2">INGRESO!$S$13:$S$15</definedName>
    <definedName name="_0_1_2_3_7_8_9">INGRESO!$V$13:$V$19</definedName>
    <definedName name="_0_1_2_3_8_9">INGRESO!$T$13:$T$18</definedName>
    <definedName name="_0_1_2_8_9">INGRESO!$U$13:$U$17</definedName>
    <definedName name="algoritmo">'P1'!$T$36</definedName>
    <definedName name="COD">CP!$A$2:$A$11</definedName>
    <definedName name="elemento30">INGRESO!$C$13</definedName>
    <definedName name="PUNT">CP!$B$2:$B$11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2" i="8" l="1"/>
  <c r="S7" i="12"/>
  <c r="B6" i="12"/>
  <c r="B13" i="12"/>
  <c r="G13" i="12" s="1"/>
  <c r="E63" i="11" s="1"/>
  <c r="G5" i="12"/>
  <c r="E55" i="11" s="1"/>
  <c r="B3" i="12"/>
  <c r="D53" i="11" s="1"/>
  <c r="B2" i="12"/>
  <c r="D52" i="11" s="1"/>
  <c r="D56" i="11"/>
  <c r="G6" i="12"/>
  <c r="E56" i="11" s="1"/>
  <c r="B72" i="11"/>
  <c r="B71" i="11"/>
  <c r="B64" i="11"/>
  <c r="B65" i="11"/>
  <c r="B66" i="11"/>
  <c r="B63" i="11"/>
  <c r="B57" i="11"/>
  <c r="B56" i="11"/>
  <c r="B55" i="11"/>
  <c r="B53" i="11"/>
  <c r="B54" i="11"/>
  <c r="B52" i="11"/>
  <c r="U11" i="12"/>
  <c r="V11" i="12" s="1"/>
  <c r="S10" i="12"/>
  <c r="V10" i="12" s="1"/>
  <c r="S9" i="12"/>
  <c r="V9" i="12" s="1"/>
  <c r="T8" i="12"/>
  <c r="U8" i="12"/>
  <c r="T7" i="12"/>
  <c r="U7" i="12"/>
  <c r="S5" i="12"/>
  <c r="S6" i="12"/>
  <c r="S8" i="12"/>
  <c r="V8" i="12" s="1"/>
  <c r="B4" i="12" s="1"/>
  <c r="D54" i="11" s="1"/>
  <c r="S4" i="12"/>
  <c r="B15" i="12" s="1"/>
  <c r="G15" i="12" s="1"/>
  <c r="R4" i="12"/>
  <c r="A46" i="11"/>
  <c r="L2" i="12"/>
  <c r="L4" i="12"/>
  <c r="L5" i="12"/>
  <c r="L3" i="12"/>
  <c r="M62" i="10"/>
  <c r="D63" i="11" l="1"/>
  <c r="G3" i="12"/>
  <c r="E53" i="11" s="1"/>
  <c r="G4" i="12"/>
  <c r="E54" i="11" s="1"/>
  <c r="B5" i="12"/>
  <c r="D55" i="11" s="1"/>
  <c r="B7" i="12"/>
  <c r="G2" i="12"/>
  <c r="E52" i="11" s="1"/>
  <c r="V7" i="12"/>
  <c r="B14" i="12" s="1"/>
  <c r="E65" i="11"/>
  <c r="D65" i="11"/>
  <c r="M61" i="10"/>
  <c r="L61" i="10" s="1"/>
  <c r="M56" i="10"/>
  <c r="L56" i="10" s="1"/>
  <c r="M55" i="10"/>
  <c r="L55" i="10" s="1"/>
  <c r="M53" i="10"/>
  <c r="L53" i="10" s="1"/>
  <c r="M52" i="10"/>
  <c r="L52" i="10" s="1"/>
  <c r="M51" i="10"/>
  <c r="L51" i="10" s="1"/>
  <c r="M50" i="10"/>
  <c r="L50" i="10" s="1"/>
  <c r="M49" i="10"/>
  <c r="L49" i="10" s="1"/>
  <c r="M47" i="10"/>
  <c r="L47" i="10" s="1"/>
  <c r="M46" i="10"/>
  <c r="L46" i="10" s="1"/>
  <c r="M45" i="10"/>
  <c r="L45" i="10" s="1"/>
  <c r="M44" i="10"/>
  <c r="L44" i="10" s="1"/>
  <c r="M43" i="10"/>
  <c r="L43" i="10" s="1"/>
  <c r="M41" i="10"/>
  <c r="L41" i="10" s="1"/>
  <c r="M40" i="10"/>
  <c r="L40" i="10" s="1"/>
  <c r="M39" i="10"/>
  <c r="L39" i="10" s="1"/>
  <c r="M38" i="10"/>
  <c r="L38" i="10" s="1"/>
  <c r="M37" i="10"/>
  <c r="L37" i="10" s="1"/>
  <c r="M36" i="10"/>
  <c r="L36" i="10" s="1"/>
  <c r="M35" i="10"/>
  <c r="L35" i="10" s="1"/>
  <c r="M34" i="10"/>
  <c r="L34" i="10" s="1"/>
  <c r="M33" i="10"/>
  <c r="L33" i="10" s="1"/>
  <c r="M32" i="10"/>
  <c r="L32" i="10" s="1"/>
  <c r="M31" i="10"/>
  <c r="L31" i="10" s="1"/>
  <c r="M30" i="10"/>
  <c r="L30" i="10" s="1"/>
  <c r="M29" i="10"/>
  <c r="L29" i="10" s="1"/>
  <c r="M27" i="10"/>
  <c r="L27" i="10" s="1"/>
  <c r="M26" i="10"/>
  <c r="L26" i="10" s="1"/>
  <c r="M25" i="10"/>
  <c r="L25" i="10" s="1"/>
  <c r="M24" i="10"/>
  <c r="L24" i="10" s="1"/>
  <c r="M22" i="10"/>
  <c r="L22" i="10" s="1"/>
  <c r="M21" i="10"/>
  <c r="L21" i="10" s="1"/>
  <c r="M20" i="10"/>
  <c r="L20" i="10" s="1"/>
  <c r="M19" i="10"/>
  <c r="L19" i="10" s="1"/>
  <c r="M18" i="10"/>
  <c r="L18" i="10" s="1"/>
  <c r="M17" i="10"/>
  <c r="L17" i="10" s="1"/>
  <c r="M16" i="10"/>
  <c r="L16" i="10" s="1"/>
  <c r="M14" i="10"/>
  <c r="L14" i="10" s="1"/>
  <c r="L62" i="10"/>
  <c r="M7" i="10"/>
  <c r="L7" i="10" s="1"/>
  <c r="M6" i="10"/>
  <c r="L6" i="10" s="1"/>
  <c r="M5" i="10"/>
  <c r="L5" i="10" s="1"/>
  <c r="G66" i="10"/>
  <c r="G67" i="10"/>
  <c r="G68" i="10"/>
  <c r="H68" i="10"/>
  <c r="G65" i="10"/>
  <c r="H65" i="10"/>
  <c r="M15" i="10"/>
  <c r="L15" i="10" s="1"/>
  <c r="M23" i="10"/>
  <c r="L23" i="10" s="1"/>
  <c r="M28" i="10"/>
  <c r="L28" i="10" s="1"/>
  <c r="M42" i="10"/>
  <c r="L42" i="10" s="1"/>
  <c r="M48" i="10"/>
  <c r="L48" i="10" s="1"/>
  <c r="M54" i="10"/>
  <c r="L54" i="10" s="1"/>
  <c r="M58" i="10"/>
  <c r="L58" i="10" s="1"/>
  <c r="M13" i="10"/>
  <c r="L13" i="10" s="1"/>
  <c r="F79" i="10"/>
  <c r="F67" i="10" s="1"/>
  <c r="F78" i="10"/>
  <c r="F66" i="10" s="1"/>
  <c r="F77" i="10"/>
  <c r="F65" i="10" s="1"/>
  <c r="D57" i="11" l="1"/>
  <c r="G7" i="12"/>
  <c r="E57" i="11" s="1"/>
  <c r="D64" i="11"/>
  <c r="G14" i="12"/>
  <c r="E64" i="11" s="1"/>
  <c r="I66" i="10"/>
  <c r="I65" i="10"/>
  <c r="I67" i="10"/>
  <c r="I68" i="10"/>
  <c r="F80" i="10"/>
  <c r="F68" i="10" s="1"/>
  <c r="J51" i="10"/>
  <c r="J52" i="10"/>
  <c r="J53" i="10"/>
  <c r="J55" i="10"/>
  <c r="J56" i="10"/>
  <c r="J49" i="10"/>
  <c r="J40" i="10"/>
  <c r="J20" i="10"/>
  <c r="J16" i="10"/>
  <c r="J19" i="10"/>
  <c r="J21" i="10"/>
  <c r="J22" i="10"/>
  <c r="J14" i="10"/>
  <c r="A34" i="11"/>
  <c r="B9" i="11" s="1"/>
  <c r="C31" i="11"/>
  <c r="C30" i="11"/>
  <c r="C29" i="11"/>
  <c r="C28" i="11"/>
  <c r="B31" i="11"/>
  <c r="B30" i="11"/>
  <c r="B29" i="11"/>
  <c r="B28" i="11"/>
  <c r="A27" i="11"/>
  <c r="B8" i="11" s="1"/>
  <c r="C23" i="11"/>
  <c r="C22" i="11"/>
  <c r="C21" i="11"/>
  <c r="C20" i="11"/>
  <c r="B23" i="11"/>
  <c r="B22" i="11"/>
  <c r="B21" i="11"/>
  <c r="B20" i="11"/>
  <c r="A19" i="11"/>
  <c r="B5" i="11" s="1"/>
  <c r="C16" i="11"/>
  <c r="C15" i="11"/>
  <c r="B16" i="11"/>
  <c r="B15" i="11"/>
  <c r="C14" i="11"/>
  <c r="B14" i="11"/>
  <c r="C13" i="11"/>
  <c r="B13" i="11"/>
  <c r="A12" i="11"/>
  <c r="B4" i="11" s="1"/>
  <c r="V15" i="9"/>
  <c r="O15" i="9" s="1"/>
  <c r="W15" i="9"/>
  <c r="P15" i="9" s="1"/>
  <c r="U15" i="9"/>
  <c r="N15" i="9" s="1"/>
  <c r="V11" i="9"/>
  <c r="O11" i="9" s="1"/>
  <c r="W11" i="9"/>
  <c r="P11" i="9" s="1"/>
  <c r="U11" i="9"/>
  <c r="N11" i="9" s="1"/>
  <c r="V9" i="9"/>
  <c r="O9" i="9" s="1"/>
  <c r="W9" i="9"/>
  <c r="P9" i="9" s="1"/>
  <c r="U9" i="9"/>
  <c r="N9" i="9" s="1"/>
  <c r="V7" i="9"/>
  <c r="O7" i="9" s="1"/>
  <c r="W7" i="9"/>
  <c r="P7" i="9" s="1"/>
  <c r="U7" i="9"/>
  <c r="N7" i="9" s="1"/>
  <c r="AI4" i="8"/>
  <c r="AD34" i="8"/>
  <c r="AD26" i="8"/>
  <c r="AD24" i="8"/>
  <c r="AD18" i="8"/>
  <c r="AD16" i="8"/>
  <c r="AD10" i="8"/>
  <c r="AD8" i="8"/>
  <c r="I13" i="10"/>
  <c r="I17" i="10"/>
  <c r="I18" i="10"/>
  <c r="I19" i="10"/>
  <c r="I20" i="10"/>
  <c r="I21" i="10"/>
  <c r="I22" i="10"/>
  <c r="I16" i="10"/>
  <c r="AE45" i="7"/>
  <c r="AE43" i="7"/>
  <c r="AE41" i="7"/>
  <c r="AE39" i="7"/>
  <c r="AE33" i="7"/>
  <c r="AE31" i="7"/>
  <c r="AE25" i="7"/>
  <c r="AE23" i="7"/>
  <c r="AE21" i="7"/>
  <c r="AE15" i="7"/>
  <c r="AE13" i="7"/>
  <c r="AE11" i="7"/>
  <c r="AE9" i="7"/>
  <c r="AE50" i="2"/>
  <c r="AE48" i="2"/>
  <c r="AE46" i="2"/>
  <c r="AE44" i="2"/>
  <c r="AE42" i="2"/>
  <c r="AE36" i="2"/>
  <c r="AE34" i="2"/>
  <c r="AE32" i="2"/>
  <c r="AE26" i="2"/>
  <c r="AE24" i="2"/>
  <c r="AE22" i="2"/>
  <c r="N13" i="9"/>
  <c r="Y13" i="9" s="1"/>
  <c r="R13" i="9" s="1"/>
  <c r="I38" i="11" s="1"/>
  <c r="AE20" i="2"/>
  <c r="AE18" i="2"/>
  <c r="AE12" i="2"/>
  <c r="AE10" i="2"/>
  <c r="AE8" i="2"/>
  <c r="A2" i="8"/>
  <c r="A3" i="2"/>
  <c r="A2" i="7"/>
  <c r="N16" i="8" l="1"/>
  <c r="N32" i="8"/>
  <c r="U32" i="8"/>
  <c r="N24" i="8"/>
  <c r="N26" i="8"/>
  <c r="AC32" i="8"/>
  <c r="N18" i="8"/>
  <c r="U8" i="8"/>
  <c r="U10" i="8"/>
  <c r="N34" i="8"/>
  <c r="U16" i="8"/>
  <c r="AC16" i="8" s="1"/>
  <c r="AA16" i="8" s="1"/>
  <c r="U24" i="8"/>
  <c r="U18" i="8"/>
  <c r="AC18" i="8" s="1"/>
  <c r="AA18" i="8" s="1"/>
  <c r="U26" i="8"/>
  <c r="U34" i="8"/>
  <c r="AC34" i="8" s="1"/>
  <c r="N8" i="8"/>
  <c r="N10" i="8"/>
  <c r="X11" i="9"/>
  <c r="B22" i="12" s="1"/>
  <c r="X7" i="9"/>
  <c r="Y7" i="9" s="1"/>
  <c r="X9" i="9"/>
  <c r="B21" i="12" s="1"/>
  <c r="X15" i="9"/>
  <c r="V10" i="1"/>
  <c r="AB7" i="1" s="1"/>
  <c r="U10" i="1"/>
  <c r="AC7" i="1" s="1"/>
  <c r="T10" i="1"/>
  <c r="T9" i="1"/>
  <c r="AD8" i="1" s="1"/>
  <c r="V9" i="1"/>
  <c r="AB8" i="1" s="1"/>
  <c r="U9" i="1"/>
  <c r="AC8" i="1" s="1"/>
  <c r="AC38" i="8"/>
  <c r="AC37" i="8"/>
  <c r="AC36" i="8"/>
  <c r="AC35" i="8"/>
  <c r="AC33" i="8"/>
  <c r="AC31" i="8"/>
  <c r="AC30" i="8"/>
  <c r="AC29" i="8"/>
  <c r="AC28" i="8"/>
  <c r="AC27" i="8"/>
  <c r="AC25" i="8"/>
  <c r="AC23" i="8"/>
  <c r="AC22" i="8"/>
  <c r="AC21" i="8"/>
  <c r="AC20" i="8"/>
  <c r="AC19" i="8"/>
  <c r="AC17" i="8"/>
  <c r="AC15" i="8"/>
  <c r="AC14" i="8"/>
  <c r="AC13" i="8"/>
  <c r="AC12" i="8"/>
  <c r="AC11" i="8"/>
  <c r="AC9" i="8"/>
  <c r="AD12" i="7"/>
  <c r="AD49" i="7"/>
  <c r="AD48" i="7"/>
  <c r="AD47" i="7"/>
  <c r="AD46" i="7"/>
  <c r="AD44" i="7"/>
  <c r="AD42" i="7"/>
  <c r="AD40" i="7"/>
  <c r="AD38" i="7"/>
  <c r="AD37" i="7"/>
  <c r="AD36" i="7"/>
  <c r="AD35" i="7"/>
  <c r="AD34" i="7"/>
  <c r="AD32" i="7"/>
  <c r="AD30" i="7"/>
  <c r="AD29" i="7"/>
  <c r="AD28" i="7"/>
  <c r="AD27" i="7"/>
  <c r="AD26" i="7"/>
  <c r="AD24" i="7"/>
  <c r="AD22" i="7"/>
  <c r="AD20" i="7"/>
  <c r="AD19" i="7"/>
  <c r="AD18" i="7"/>
  <c r="AD17" i="7"/>
  <c r="AD16" i="7"/>
  <c r="AD14" i="7"/>
  <c r="AD10" i="7"/>
  <c r="AD9" i="2"/>
  <c r="AD11" i="2"/>
  <c r="AD13" i="2"/>
  <c r="AD14" i="2"/>
  <c r="AD15" i="2"/>
  <c r="AD16" i="2"/>
  <c r="AD17" i="2"/>
  <c r="AD19" i="2"/>
  <c r="AD21" i="2"/>
  <c r="AD23" i="2"/>
  <c r="AD25" i="2"/>
  <c r="AD27" i="2"/>
  <c r="AD28" i="2"/>
  <c r="AD29" i="2"/>
  <c r="AD30" i="2"/>
  <c r="AD31" i="2"/>
  <c r="AD33" i="2"/>
  <c r="AD35" i="2"/>
  <c r="AD37" i="2"/>
  <c r="AD38" i="2"/>
  <c r="AD39" i="2"/>
  <c r="AD40" i="2"/>
  <c r="AD41" i="2"/>
  <c r="AD43" i="2"/>
  <c r="AD45" i="2"/>
  <c r="AD47" i="2"/>
  <c r="AD49" i="2"/>
  <c r="AD51" i="2"/>
  <c r="AD52" i="2"/>
  <c r="AD53" i="2"/>
  <c r="AD54" i="2"/>
  <c r="AC24" i="8" l="1"/>
  <c r="AA24" i="8"/>
  <c r="AA28" i="8" s="1"/>
  <c r="F43" i="1" s="1"/>
  <c r="I30" i="11" s="1"/>
  <c r="B16" i="12"/>
  <c r="Y15" i="9"/>
  <c r="R15" i="9" s="1"/>
  <c r="AA32" i="8"/>
  <c r="AA36" i="8" s="1"/>
  <c r="J43" i="1" s="1"/>
  <c r="I31" i="11" s="1"/>
  <c r="D72" i="11"/>
  <c r="G22" i="12"/>
  <c r="E72" i="11" s="1"/>
  <c r="D71" i="11"/>
  <c r="G21" i="12"/>
  <c r="E71" i="11" s="1"/>
  <c r="G16" i="12"/>
  <c r="E66" i="11" s="1"/>
  <c r="D66" i="11"/>
  <c r="AC8" i="8"/>
  <c r="AA8" i="8" s="1"/>
  <c r="AC10" i="8"/>
  <c r="AA10" i="8" s="1"/>
  <c r="R7" i="9"/>
  <c r="I35" i="11" s="1"/>
  <c r="Y11" i="9"/>
  <c r="R11" i="9" s="1"/>
  <c r="I37" i="11" s="1"/>
  <c r="I39" i="11"/>
  <c r="Y9" i="9"/>
  <c r="R9" i="9" s="1"/>
  <c r="I36" i="11" s="1"/>
  <c r="AC26" i="8"/>
  <c r="AA20" i="8"/>
  <c r="D43" i="1" s="1"/>
  <c r="I29" i="11" s="1"/>
  <c r="W9" i="1"/>
  <c r="AD7" i="1"/>
  <c r="W10" i="1"/>
  <c r="R17" i="9" l="1"/>
  <c r="M45" i="1" s="1"/>
  <c r="I40" i="11" s="1"/>
  <c r="I9" i="11" s="1"/>
  <c r="P8" i="11" s="1"/>
  <c r="Q8" i="11" s="1"/>
  <c r="R8" i="11" s="1"/>
  <c r="AA12" i="8"/>
  <c r="B43" i="1" s="1"/>
  <c r="I28" i="11" s="1"/>
  <c r="AC5" i="1"/>
  <c r="AB5" i="1" s="1"/>
  <c r="AC9" i="1" s="1"/>
  <c r="T13" i="1" s="1"/>
  <c r="AD9" i="1"/>
  <c r="AA38" i="8" l="1"/>
  <c r="M43" i="1" s="1"/>
  <c r="I32" i="11" s="1"/>
  <c r="I8" i="11" s="1"/>
  <c r="P7" i="11" s="1"/>
  <c r="Q7" i="11" s="1"/>
  <c r="R7" i="11" s="1"/>
  <c r="AB9" i="1"/>
  <c r="K5" i="12" l="1"/>
  <c r="N5" i="12" s="1"/>
  <c r="O5" i="12" s="1"/>
  <c r="P5" i="12" s="1"/>
  <c r="T12" i="1"/>
  <c r="M5" i="12" l="1"/>
  <c r="N11" i="1"/>
  <c r="M45" i="11" s="1"/>
  <c r="J45" i="10"/>
  <c r="J27" i="10"/>
  <c r="J47" i="10"/>
  <c r="J44" i="10"/>
  <c r="J26" i="10"/>
  <c r="J43" i="10"/>
  <c r="J25" i="10"/>
  <c r="J42" i="10"/>
  <c r="J24" i="10"/>
  <c r="J41" i="10"/>
  <c r="J46" i="10"/>
  <c r="J39" i="10"/>
  <c r="J38" i="10"/>
  <c r="J30" i="10"/>
  <c r="J37" i="10"/>
  <c r="J36" i="10"/>
  <c r="J35" i="10"/>
  <c r="J29" i="10"/>
  <c r="J34" i="10"/>
  <c r="J33" i="10"/>
  <c r="J32" i="10"/>
  <c r="J31" i="10"/>
  <c r="T38" i="1"/>
  <c r="X33" i="1"/>
  <c r="X34" i="1"/>
  <c r="B27" i="1" s="1"/>
  <c r="T37" i="1"/>
  <c r="T36" i="1" l="1"/>
  <c r="X13" i="7" s="1"/>
  <c r="P48" i="2"/>
  <c r="N13" i="7"/>
  <c r="X11" i="7"/>
  <c r="U11" i="7"/>
  <c r="X48" i="2"/>
  <c r="X50" i="2"/>
  <c r="X32" i="2"/>
  <c r="X34" i="2"/>
  <c r="X18" i="2"/>
  <c r="P24" i="2"/>
  <c r="P18" i="2"/>
  <c r="U12" i="2"/>
  <c r="X24" i="2"/>
  <c r="X12" i="2"/>
  <c r="X20" i="2"/>
  <c r="U22" i="2"/>
  <c r="U20" i="2"/>
  <c r="P20" i="2"/>
  <c r="P22" i="2"/>
  <c r="N22" i="2"/>
  <c r="N20" i="2"/>
  <c r="U10" i="2"/>
  <c r="P13" i="7" l="1"/>
  <c r="R42" i="2"/>
  <c r="N10" i="2"/>
  <c r="N42" i="2"/>
  <c r="X10" i="2"/>
  <c r="N32" i="2"/>
  <c r="X22" i="2"/>
  <c r="AD22" i="2" s="1"/>
  <c r="AA22" i="2" s="1"/>
  <c r="P12" i="2"/>
  <c r="R13" i="7"/>
  <c r="R48" i="2"/>
  <c r="N50" i="2"/>
  <c r="U44" i="2"/>
  <c r="U13" i="7"/>
  <c r="AD13" i="7" s="1"/>
  <c r="AA13" i="7" s="1"/>
  <c r="X9" i="7"/>
  <c r="U48" i="2"/>
  <c r="R36" i="2"/>
  <c r="X44" i="2"/>
  <c r="U50" i="2"/>
  <c r="P25" i="7"/>
  <c r="P11" i="7"/>
  <c r="N34" i="2"/>
  <c r="P10" i="2"/>
  <c r="R32" i="2"/>
  <c r="P36" i="2"/>
  <c r="R10" i="2"/>
  <c r="X26" i="2"/>
  <c r="P44" i="2"/>
  <c r="U36" i="2"/>
  <c r="N12" i="2"/>
  <c r="X46" i="2"/>
  <c r="N36" i="2"/>
  <c r="N46" i="2"/>
  <c r="R12" i="2"/>
  <c r="X42" i="2"/>
  <c r="R44" i="2"/>
  <c r="U32" i="2"/>
  <c r="P42" i="2"/>
  <c r="U34" i="2"/>
  <c r="P15" i="7"/>
  <c r="P32" i="2"/>
  <c r="R11" i="7"/>
  <c r="P34" i="2"/>
  <c r="R34" i="2"/>
  <c r="R46" i="2"/>
  <c r="P9" i="7"/>
  <c r="R15" i="7"/>
  <c r="N11" i="7"/>
  <c r="AF4" i="2"/>
  <c r="U8" i="2" s="1"/>
  <c r="R50" i="2"/>
  <c r="U42" i="2"/>
  <c r="X15" i="7"/>
  <c r="X43" i="7"/>
  <c r="U33" i="7"/>
  <c r="N23" i="7"/>
  <c r="U39" i="7"/>
  <c r="P23" i="7"/>
  <c r="U43" i="7"/>
  <c r="R33" i="7"/>
  <c r="X21" i="7"/>
  <c r="X39" i="7"/>
  <c r="R45" i="7"/>
  <c r="N45" i="7"/>
  <c r="R43" i="7"/>
  <c r="P33" i="7"/>
  <c r="U21" i="7"/>
  <c r="U45" i="7"/>
  <c r="X33" i="7"/>
  <c r="P43" i="7"/>
  <c r="N33" i="7"/>
  <c r="P21" i="7"/>
  <c r="U25" i="7"/>
  <c r="N25" i="7"/>
  <c r="U23" i="7"/>
  <c r="N43" i="7"/>
  <c r="X31" i="7"/>
  <c r="N21" i="7"/>
  <c r="X25" i="7"/>
  <c r="P39" i="7"/>
  <c r="X41" i="7"/>
  <c r="U31" i="7"/>
  <c r="N15" i="7"/>
  <c r="N31" i="7"/>
  <c r="R39" i="7"/>
  <c r="P45" i="7"/>
  <c r="U41" i="7"/>
  <c r="R31" i="7"/>
  <c r="X23" i="7"/>
  <c r="R41" i="7"/>
  <c r="P31" i="7"/>
  <c r="N39" i="7"/>
  <c r="P41" i="7"/>
  <c r="N41" i="7"/>
  <c r="X45" i="7"/>
  <c r="R9" i="7"/>
  <c r="U46" i="2"/>
  <c r="U15" i="7"/>
  <c r="X36" i="2"/>
  <c r="R26" i="2"/>
  <c r="P50" i="2"/>
  <c r="P46" i="2"/>
  <c r="N48" i="2"/>
  <c r="N44" i="2"/>
  <c r="N9" i="7"/>
  <c r="U9" i="7"/>
  <c r="AD18" i="2"/>
  <c r="AA18" i="2" s="1"/>
  <c r="AD20" i="2"/>
  <c r="AA20" i="2" s="1"/>
  <c r="AD24" i="2"/>
  <c r="AD10" i="2" l="1"/>
  <c r="AA10" i="2" s="1"/>
  <c r="X8" i="2"/>
  <c r="AD48" i="2"/>
  <c r="AA48" i="2" s="1"/>
  <c r="AD11" i="7"/>
  <c r="AA11" i="7" s="1"/>
  <c r="AD42" i="2"/>
  <c r="AA42" i="2" s="1"/>
  <c r="AD26" i="2"/>
  <c r="AA24" i="2" s="1"/>
  <c r="AA28" i="2" s="1"/>
  <c r="D38" i="1" s="1"/>
  <c r="I14" i="11" s="1"/>
  <c r="AD36" i="2"/>
  <c r="AA36" i="2" s="1"/>
  <c r="N8" i="2"/>
  <c r="AD12" i="2"/>
  <c r="AA12" i="2" s="1"/>
  <c r="AD32" i="2"/>
  <c r="AA32" i="2" s="1"/>
  <c r="AD44" i="2"/>
  <c r="AA44" i="2" s="1"/>
  <c r="AD50" i="2"/>
  <c r="AA50" i="2" s="1"/>
  <c r="AD34" i="2"/>
  <c r="AA34" i="2" s="1"/>
  <c r="P8" i="2"/>
  <c r="AD46" i="2"/>
  <c r="AA46" i="2" s="1"/>
  <c r="AD43" i="7"/>
  <c r="AA43" i="7" s="1"/>
  <c r="AD15" i="7"/>
  <c r="AA15" i="7" s="1"/>
  <c r="AD41" i="7"/>
  <c r="AA41" i="7" s="1"/>
  <c r="AD21" i="7"/>
  <c r="AA21" i="7" s="1"/>
  <c r="AD39" i="7"/>
  <c r="AA39" i="7" s="1"/>
  <c r="AD25" i="7"/>
  <c r="AA25" i="7" s="1"/>
  <c r="AD23" i="7"/>
  <c r="AA23" i="7" s="1"/>
  <c r="AD33" i="7"/>
  <c r="AA33" i="7" s="1"/>
  <c r="AD31" i="7"/>
  <c r="AA31" i="7" s="1"/>
  <c r="AD45" i="7"/>
  <c r="AA45" i="7" s="1"/>
  <c r="AD9" i="7"/>
  <c r="AA9" i="7" s="1"/>
  <c r="AD8" i="2" l="1"/>
  <c r="AA8" i="2" s="1"/>
  <c r="AA38" i="2"/>
  <c r="F38" i="1" s="1"/>
  <c r="I15" i="11" s="1"/>
  <c r="AA14" i="2"/>
  <c r="I13" i="11" s="1"/>
  <c r="AA52" i="2"/>
  <c r="J38" i="1" s="1"/>
  <c r="I16" i="11" s="1"/>
  <c r="AA17" i="7"/>
  <c r="AA47" i="7"/>
  <c r="F40" i="1" s="1"/>
  <c r="I22" i="11" s="1"/>
  <c r="AA35" i="7"/>
  <c r="D40" i="1" s="1"/>
  <c r="I21" i="11" s="1"/>
  <c r="AA27" i="7"/>
  <c r="J40" i="1" s="1"/>
  <c r="I23" i="11" s="1"/>
  <c r="B38" i="1" l="1"/>
  <c r="AA54" i="2"/>
  <c r="M38" i="1" s="1"/>
  <c r="I17" i="11" s="1"/>
  <c r="I4" i="11" s="1"/>
  <c r="P4" i="11" s="1"/>
  <c r="Q4" i="11" s="1"/>
  <c r="R4" i="11" s="1"/>
  <c r="B40" i="1"/>
  <c r="I20" i="11" s="1"/>
  <c r="AA51" i="7"/>
  <c r="AA49" i="7"/>
  <c r="M40" i="1" s="1"/>
  <c r="I24" i="11" s="1"/>
  <c r="I6" i="11" s="1"/>
  <c r="K2" i="12" l="1"/>
  <c r="M2" i="12" s="1"/>
  <c r="N2" i="12"/>
  <c r="O2" i="12" s="1"/>
  <c r="P2" i="12" s="1"/>
  <c r="P5" i="11"/>
  <c r="Q5" i="11" s="1"/>
  <c r="K3" i="12"/>
  <c r="O40" i="1"/>
  <c r="I25" i="11" s="1"/>
  <c r="I7" i="11" s="1"/>
  <c r="P6" i="11" l="1"/>
  <c r="Q6" i="11" s="1"/>
  <c r="R6" i="11" s="1"/>
  <c r="K4" i="12"/>
  <c r="M3" i="12"/>
  <c r="N3" i="12"/>
  <c r="O3" i="12" s="1"/>
  <c r="R5" i="11"/>
  <c r="R10" i="11" s="1"/>
  <c r="R11" i="11"/>
  <c r="N4" i="12" l="1"/>
  <c r="M4" i="12"/>
  <c r="N51" i="11"/>
  <c r="O7" i="12"/>
  <c r="P3" i="12"/>
  <c r="O6" i="12"/>
  <c r="N53" i="11" l="1"/>
  <c r="N52" i="11" s="1"/>
  <c r="A43"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E11" authorId="0" shapeId="0" xr:uid="{0B24D8CF-5FFD-4428-A3F1-3E7909CEB1BB}">
      <text>
        <r>
          <rPr>
            <b/>
            <sz val="9"/>
            <color indexed="81"/>
            <rFont val="Tahoma"/>
            <family val="2"/>
          </rPr>
          <t>Día</t>
        </r>
      </text>
    </comment>
    <comment ref="G11" authorId="0" shapeId="0" xr:uid="{66A06AFA-23FB-40CB-B2D1-DB55A392CB90}">
      <text>
        <r>
          <rPr>
            <b/>
            <sz val="9"/>
            <color indexed="81"/>
            <rFont val="Tahoma"/>
            <family val="2"/>
          </rPr>
          <t>Mes</t>
        </r>
      </text>
    </comment>
    <comment ref="I11" authorId="0" shapeId="0" xr:uid="{060FAD48-6B33-4B99-9F2E-E9C5011E1750}">
      <text>
        <r>
          <rPr>
            <b/>
            <sz val="9"/>
            <color indexed="81"/>
            <rFont val="Tahoma"/>
            <family val="2"/>
          </rPr>
          <t>Año</t>
        </r>
      </text>
    </comment>
    <comment ref="E22" authorId="0" shapeId="0" xr:uid="{08397EFB-CADC-4354-92BE-C52C5EC8C5E7}">
      <text>
        <r>
          <rPr>
            <b/>
            <sz val="9"/>
            <color indexed="81"/>
            <rFont val="Tahoma"/>
            <family val="2"/>
          </rPr>
          <t>Día</t>
        </r>
      </text>
    </comment>
    <comment ref="G22" authorId="0" shapeId="0" xr:uid="{EDC62D46-ABF8-49AC-BC60-C80427DB7B52}">
      <text>
        <r>
          <rPr>
            <b/>
            <sz val="9"/>
            <color indexed="81"/>
            <rFont val="Tahoma"/>
            <family val="2"/>
          </rPr>
          <t>Mes</t>
        </r>
      </text>
    </comment>
    <comment ref="I22" authorId="0" shapeId="0" xr:uid="{4BB0E7FB-C06A-43AD-8C13-C0A6AB8CF7AF}">
      <text>
        <r>
          <rPr>
            <b/>
            <sz val="9"/>
            <color indexed="81"/>
            <rFont val="Tahoma"/>
            <family val="2"/>
          </rPr>
          <t>Año</t>
        </r>
      </text>
    </comment>
    <comment ref="B27" authorId="0" shapeId="0" xr:uid="{5E949467-B17C-4550-A4DA-0C3E1D0BD3CA}">
      <text>
        <r>
          <rPr>
            <b/>
            <sz val="9"/>
            <color indexed="81"/>
            <rFont val="Tahoma"/>
            <family val="2"/>
          </rPr>
          <t>Seleccionado automáticamente según edad</t>
        </r>
      </text>
    </comment>
    <comment ref="L37" authorId="0" shapeId="0" xr:uid="{14408DA8-D4C6-4364-995A-8F923C68BA4C}">
      <text>
        <r>
          <rPr>
            <b/>
            <sz val="9"/>
            <color indexed="81"/>
            <rFont val="Tahoma"/>
            <family val="2"/>
          </rPr>
          <t>Los puntos de corte son sólo para los algoritmos diagnósticos. Los algoritmos de la conducta actual no tienen puntos de corte.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R4" authorId="0" shapeId="0" xr:uid="{4B9A0A94-59CC-4D3A-938C-25EA95B11728}">
      <text>
        <r>
          <rPr>
            <b/>
            <sz val="9"/>
            <color indexed="81"/>
            <rFont val="Tahoma"/>
            <family val="2"/>
          </rPr>
          <t>*El algoritmo de la conducta actual de 10 años en adelante sólo es aplicable a sujetos "verbales" (elemento 30=0). Para este grupo de edad no existe un algoritmo de conducta actual para sujetos "no verbales" (elementos 30=1 ó 2).</t>
        </r>
      </text>
    </comment>
    <comment ref="P8" authorId="0" shapeId="0" xr:uid="{40E8DB42-6F35-4F41-B19E-198ACFEE8765}">
      <text>
        <r>
          <rPr>
            <b/>
            <sz val="9"/>
            <color indexed="81"/>
            <rFont val="Tahoma"/>
            <family val="2"/>
          </rPr>
          <t>SÓLO SI ES &lt;5**
Anote el código sólo si es menor de 5 años.</t>
        </r>
      </text>
    </comment>
    <comment ref="AA24" authorId="0" shapeId="0" xr:uid="{7E0F052D-DB87-4917-AEA7-35D9043286B8}">
      <text>
        <r>
          <rPr>
            <b/>
            <sz val="9"/>
            <color indexed="81"/>
            <rFont val="Tahoma"/>
            <family val="2"/>
          </rPr>
          <t>64 si es menor de 10 años, 65 si tiene 10 o más</t>
        </r>
      </text>
    </comment>
    <comment ref="R26" authorId="0" shapeId="0" xr:uid="{2DA9309E-4736-4DCE-A557-710333575314}">
      <text>
        <r>
          <rPr>
            <b/>
            <sz val="9"/>
            <color indexed="81"/>
            <rFont val="Tahoma"/>
            <family val="2"/>
          </rPr>
          <t>MÁS ANORMAL 10.0 - 15.0</t>
        </r>
      </text>
    </comment>
    <comment ref="X26" authorId="0" shapeId="0" xr:uid="{8E923B3C-0140-481B-95E3-5C62A4C87545}">
      <text>
        <r>
          <rPr>
            <b/>
            <sz val="9"/>
            <color indexed="81"/>
            <rFont val="Tahoma"/>
            <family val="2"/>
          </rPr>
          <t>MÁS ANORMAL 10.0 - 15.0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R5" authorId="0" shapeId="0" xr:uid="{EC0384FA-0DB0-4F9B-AB3A-3C8CB7F30EDA}">
      <text>
        <r>
          <rPr>
            <b/>
            <sz val="9"/>
            <color indexed="81"/>
            <rFont val="Tahoma"/>
            <family val="2"/>
          </rPr>
          <t>*Algoritmo sólo aplicable a sujetos "verbales" (elemento 30=0), por lo que deberá codificarse todos los códigos de B1, B2 (V) Y B3 (V). En este algoritmo no se recoge la codificación de ningún elemento en el subdominio B4.</t>
        </r>
      </text>
    </comment>
    <comment ref="X31" authorId="0" shapeId="0" xr:uid="{6D3A53D4-EC8C-4770-BB5B-87C53E516EDC}">
      <text>
        <r>
          <rPr>
            <b/>
            <sz val="9"/>
            <color indexed="81"/>
            <rFont val="Tahoma"/>
            <family val="2"/>
          </rPr>
          <t>Alguna vez</t>
        </r>
      </text>
    </comment>
    <comment ref="X33" authorId="0" shapeId="0" xr:uid="{703F4027-27AF-45B4-A9C1-F09565895943}">
      <text>
        <r>
          <rPr>
            <b/>
            <sz val="9"/>
            <color indexed="81"/>
            <rFont val="Tahoma"/>
            <family val="2"/>
          </rPr>
          <t>Alguna vez</t>
        </r>
      </text>
    </comment>
    <comment ref="U39" authorId="0" shapeId="0" xr:uid="{C8C688EE-37E3-4DEF-85D9-66BEC3F0D28A}">
      <text>
        <r>
          <rPr>
            <b/>
            <sz val="9"/>
            <color indexed="81"/>
            <rFont val="Tahoma"/>
            <family val="2"/>
          </rPr>
          <t>Alguna vez</t>
        </r>
      </text>
    </comment>
    <comment ref="X39" authorId="0" shapeId="0" xr:uid="{F0D7218C-A162-4008-BC1B-A6918BF97BA1}">
      <text>
        <r>
          <rPr>
            <b/>
            <sz val="9"/>
            <color indexed="81"/>
            <rFont val="Tahoma"/>
            <family val="2"/>
          </rPr>
          <t>Alguna vez</t>
        </r>
      </text>
    </comment>
    <comment ref="U41" authorId="0" shapeId="0" xr:uid="{41D6B5AA-11EA-49E1-91F5-B2FF9F76E757}">
      <text>
        <r>
          <rPr>
            <b/>
            <sz val="9"/>
            <color indexed="81"/>
            <rFont val="Tahoma"/>
            <family val="2"/>
          </rPr>
          <t>Alguna vez</t>
        </r>
      </text>
    </comment>
    <comment ref="X41" authorId="0" shapeId="0" xr:uid="{426185F5-742E-45AF-9D46-25F1D24A2E63}">
      <text>
        <r>
          <rPr>
            <b/>
            <sz val="9"/>
            <color indexed="81"/>
            <rFont val="Tahoma"/>
            <family val="2"/>
          </rPr>
          <t>Alguna vez</t>
        </r>
      </text>
    </comment>
    <comment ref="U43" authorId="0" shapeId="0" xr:uid="{6864B988-A940-4050-AC13-7A3924792337}">
      <text>
        <r>
          <rPr>
            <b/>
            <sz val="9"/>
            <color indexed="81"/>
            <rFont val="Tahoma"/>
            <family val="2"/>
          </rPr>
          <t>Alguna vez</t>
        </r>
      </text>
    </comment>
    <comment ref="X43" authorId="0" shapeId="0" xr:uid="{F55F04EF-7449-4DA2-9506-0489AB705281}">
      <text>
        <r>
          <rPr>
            <b/>
            <sz val="9"/>
            <color indexed="81"/>
            <rFont val="Tahoma"/>
            <family val="2"/>
          </rPr>
          <t>Alguna vez</t>
        </r>
      </text>
    </comment>
    <comment ref="U45" authorId="0" shapeId="0" xr:uid="{146A8BBA-34AF-41C6-ABBC-349481C6BE4A}">
      <text>
        <r>
          <rPr>
            <b/>
            <sz val="9"/>
            <color indexed="81"/>
            <rFont val="Tahoma"/>
            <family val="2"/>
          </rPr>
          <t>Alguna vez</t>
        </r>
        <r>
          <rPr>
            <sz val="9"/>
            <color indexed="81"/>
            <rFont val="Tahoma"/>
            <family val="2"/>
          </rPr>
          <t xml:space="preserve">
</t>
        </r>
      </text>
    </comment>
    <comment ref="X45" authorId="0" shapeId="0" xr:uid="{4B01627A-1629-4F27-889F-42DEC9B69FCE}">
      <text>
        <r>
          <rPr>
            <b/>
            <sz val="9"/>
            <color indexed="81"/>
            <rFont val="Tahoma"/>
            <family val="2"/>
          </rPr>
          <t>Alguna vez</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R4" authorId="0" shapeId="0" xr:uid="{2E9B2C88-A19A-40C0-8496-F348EE49E13D}">
      <text>
        <r>
          <rPr>
            <b/>
            <sz val="9"/>
            <color indexed="81"/>
            <rFont val="Tahoma"/>
            <family val="2"/>
          </rPr>
          <t>*El algoritmo de la conducta actual de 10 años en adelante sólo es aplicable a sujetos "verbales" (elemento 30=0). Para este grupo de edad no existe un algoritmo de conducta actual para sujetos "no verbales" (elementos 30=1 ó 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C15" authorId="0" shapeId="0" xr:uid="{77E2D974-D537-46B0-B7C1-A813052FECD0}">
      <text>
        <r>
          <rPr>
            <b/>
            <sz val="9"/>
            <color indexed="81"/>
            <rFont val="Tahoma"/>
            <family val="2"/>
          </rPr>
          <t xml:space="preserve">CODIFICAR EN MESES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Juan Antonio Castillo Pizarro</author>
  </authors>
  <commentList>
    <comment ref="I27" authorId="0" shapeId="0" xr:uid="{F669F5D3-D8BB-4810-B87C-28664179766A}">
      <text>
        <r>
          <rPr>
            <b/>
            <sz val="9"/>
            <color indexed="81"/>
            <rFont val="Tahoma"/>
            <family val="2"/>
          </rPr>
          <t xml:space="preserve">NOTA: </t>
        </r>
        <r>
          <rPr>
            <sz val="9"/>
            <color indexed="81"/>
            <rFont val="Tahoma"/>
            <family val="2"/>
          </rPr>
          <t>los sujetos a los que se les han enseñado signos y que usan signos instrumentales solamente en el contexto enseñado se les debe asignar "2". Si los signos enseñados se usan espontáneamente con alguna variedad y creatividad para propósitos instrumentales, codificar "0" ó "1" según sea apropiado.</t>
        </r>
      </text>
    </comment>
  </commentList>
</comments>
</file>

<file path=xl/sharedStrings.xml><?xml version="1.0" encoding="utf-8"?>
<sst xmlns="http://schemas.openxmlformats.org/spreadsheetml/2006/main" count="525" uniqueCount="295">
  <si>
    <t>SUJETO</t>
  </si>
  <si>
    <t>Fecha de nacimiento:</t>
  </si>
  <si>
    <t>/</t>
  </si>
  <si>
    <t>Edad cronológica:</t>
  </si>
  <si>
    <t>Sexo:</t>
  </si>
  <si>
    <t>Nombre:</t>
  </si>
  <si>
    <t>Número de identificación:</t>
  </si>
  <si>
    <t>sexo</t>
  </si>
  <si>
    <t>Femenino</t>
  </si>
  <si>
    <t>Masculino</t>
  </si>
  <si>
    <t>ENTREVISTADOR</t>
  </si>
  <si>
    <t>Centro:</t>
  </si>
  <si>
    <t>Fecha de la entrevista:</t>
  </si>
  <si>
    <t>INFORMANTE</t>
  </si>
  <si>
    <t>Relación de parentesco con el sujeto:</t>
  </si>
  <si>
    <r>
      <t xml:space="preserve">ADI </t>
    </r>
    <r>
      <rPr>
        <b/>
        <sz val="48"/>
        <rFont val="Arial Black"/>
        <family val="2"/>
      </rPr>
      <t>-</t>
    </r>
    <r>
      <rPr>
        <b/>
        <sz val="48"/>
        <color rgb="FFDF4935"/>
        <rFont val="Arial Black"/>
        <family val="2"/>
      </rPr>
      <t xml:space="preserve"> R</t>
    </r>
  </si>
  <si>
    <t>Entrevista para el diagnóstico de Autismo - Revisada</t>
  </si>
  <si>
    <t>Ann Le Courteur, Catherine Lord, Michael Rutter</t>
  </si>
  <si>
    <t>MARQUE A CONTINUACIÓN EL ALGORITMO QUE VA A UTILIZAR:</t>
  </si>
  <si>
    <t>Algoritmo de la conducta actual</t>
  </si>
  <si>
    <t>Algoritmo diagnóstico</t>
  </si>
  <si>
    <t>2 años, 0 meses a 3 años, 11 meses</t>
  </si>
  <si>
    <t>4 años, 0 meses a 9 años, 11 meses</t>
  </si>
  <si>
    <t>10 años, 0 meses en adelante</t>
  </si>
  <si>
    <t>aca</t>
  </si>
  <si>
    <t>ad</t>
  </si>
  <si>
    <t>4 años, 0 meses en adelante</t>
  </si>
  <si>
    <t xml:space="preserve">menor a </t>
  </si>
  <si>
    <t>menor a</t>
  </si>
  <si>
    <t>edad</t>
  </si>
  <si>
    <t>años</t>
  </si>
  <si>
    <t>meses</t>
  </si>
  <si>
    <t>↓</t>
  </si>
  <si>
    <t>Código</t>
  </si>
  <si>
    <t>Puntuación</t>
  </si>
  <si>
    <t>CONVERSIÓN DE LOS CÓDIGOS DE LOS ELEMENTOS A PUNTUACIÓN DE ALGORITMO</t>
  </si>
  <si>
    <t>RESUMEN DE PUNTUACIONES</t>
  </si>
  <si>
    <t>A1</t>
  </si>
  <si>
    <t>B1</t>
  </si>
  <si>
    <t>C1</t>
  </si>
  <si>
    <t>A2</t>
  </si>
  <si>
    <t>B2 (V)</t>
  </si>
  <si>
    <t>C2</t>
  </si>
  <si>
    <t>C3</t>
  </si>
  <si>
    <t>B3 (V)</t>
  </si>
  <si>
    <t>A3</t>
  </si>
  <si>
    <t>A4</t>
  </si>
  <si>
    <t>TOTAL A</t>
  </si>
  <si>
    <t>TOTAL C</t>
  </si>
  <si>
    <t>ALGORITMO DIAGNÓSTICO</t>
  </si>
  <si>
    <t>B4</t>
  </si>
  <si>
    <t>C4</t>
  </si>
  <si>
    <t>|</t>
  </si>
  <si>
    <t>A. ALTERACIONES CUALITATIVAS DE LA INTERACCIÓN SOCIAL RECÍPROCA</t>
  </si>
  <si>
    <t>A.1</t>
  </si>
  <si>
    <t>Incapacidad para utilizar conductas no verbales en la regulación de la interacción social</t>
  </si>
  <si>
    <t>Mirada directa</t>
  </si>
  <si>
    <t>Sonrisa social</t>
  </si>
  <si>
    <t>Variedad de expresiones faciales usadas para comunicarse</t>
  </si>
  <si>
    <t>Puntuación de algoritmo</t>
  </si>
  <si>
    <t>TOTAL A1</t>
  </si>
  <si>
    <t>X</t>
  </si>
  <si>
    <t>2.0 a 3.11</t>
  </si>
  <si>
    <t>4.0 a 9.11</t>
  </si>
  <si>
    <t>10.0 …*</t>
  </si>
  <si>
    <t>ACTUAL</t>
  </si>
  <si>
    <t>MÁS ANORMAL 4.0 - 5.0</t>
  </si>
  <si>
    <t>A.2</t>
  </si>
  <si>
    <t>TOTAL A2</t>
  </si>
  <si>
    <t>A.3</t>
  </si>
  <si>
    <t>COD</t>
  </si>
  <si>
    <t>PUNT</t>
  </si>
  <si>
    <t>A.4</t>
  </si>
  <si>
    <t>TOTAL A4</t>
  </si>
  <si>
    <t>TOTAL A3</t>
  </si>
  <si>
    <t>TOTAL A (A1 + A2 + A3 + A4)</t>
  </si>
  <si>
    <r>
      <t xml:space="preserve">*El </t>
    </r>
    <r>
      <rPr>
        <b/>
        <sz val="8"/>
        <color theme="1"/>
        <rFont val="Calibri"/>
        <family val="2"/>
        <scheme val="minor"/>
      </rPr>
      <t xml:space="preserve">algoritmo </t>
    </r>
    <r>
      <rPr>
        <sz val="8"/>
        <color theme="1"/>
        <rFont val="Calibri"/>
        <family val="2"/>
        <scheme val="minor"/>
      </rPr>
      <t>de la conducta actual de 10 años en adelante sólo es aplicable a sujetos "verbales" (elemento 30=0). Para este grupo de edad no existe un algoritmo de conducta actual para sujetos "no verbales" (elementos 30=1 ó 2).
** Anote el código sólo si es menor de 5 años.</t>
    </r>
  </si>
  <si>
    <t>Juego imaginativo con sus iguales</t>
  </si>
  <si>
    <t>Interés por otros niños</t>
  </si>
  <si>
    <t>Respuesta a las aproximaciones de otros niños</t>
  </si>
  <si>
    <r>
      <t xml:space="preserve">Amistades </t>
    </r>
    <r>
      <rPr>
        <i/>
        <sz val="11"/>
        <color theme="1"/>
        <rFont val="Calibri"/>
        <family val="2"/>
        <scheme val="minor"/>
      </rPr>
      <t>(puntúe si tiene 10 años o más)</t>
    </r>
  </si>
  <si>
    <r>
      <t xml:space="preserve">Juego en grupo con sus iguales </t>
    </r>
    <r>
      <rPr>
        <i/>
        <sz val="11"/>
        <color theme="1"/>
        <rFont val="Calibri"/>
        <family val="2"/>
        <scheme val="minor"/>
      </rPr>
      <t>(puntúe si tiene entre 4 años, 0 meses y 9 años, 11 meses)</t>
    </r>
  </si>
  <si>
    <t>Incapacidad para desarrollar relaciones con sus iguales</t>
  </si>
  <si>
    <t>Falta de goce o placer compartido</t>
  </si>
  <si>
    <t>Mostrar y dirigir la atención</t>
  </si>
  <si>
    <t>Ofrecimientos para compartir</t>
  </si>
  <si>
    <t>Busca compartir su deleite o goce con otros</t>
  </si>
  <si>
    <t>Falta de reciprocidad socio-emocional</t>
  </si>
  <si>
    <t>Uso del cuerpo de otra persona para comunicarse</t>
  </si>
  <si>
    <t>Ofrecimiento de consuelo</t>
  </si>
  <si>
    <t>Calidad de los acercamientos sociales</t>
  </si>
  <si>
    <t>Expresiones faciales inapropiadas</t>
  </si>
  <si>
    <t>Cualidad apropiada de las respuestas sociales</t>
  </si>
  <si>
    <t>4.0 …</t>
  </si>
  <si>
    <t>B. ALTERACIONES CUALITATIVAS DE LA COMUNICACIÓN</t>
  </si>
  <si>
    <t>B.1</t>
  </si>
  <si>
    <t>• En los sujetos "verbales" (elemento 30=0), puntúe B1, B4, B2 (V) Y B3 (V).
• En los sujetos "no verbales" (elemento 30=1 ó 2) puntúe solamente B1 y B4.</t>
  </si>
  <si>
    <r>
      <t xml:space="preserve">CÓDIGO A ANOTAR </t>
    </r>
    <r>
      <rPr>
        <b/>
        <sz val="10"/>
        <color theme="1"/>
        <rFont val="Calibri"/>
        <family val="2"/>
      </rPr>
      <t>→</t>
    </r>
    <r>
      <rPr>
        <sz val="8"/>
        <color theme="1"/>
        <rFont val="Calibri"/>
        <family val="2"/>
        <scheme val="minor"/>
      </rPr>
      <t xml:space="preserve"> </t>
    </r>
  </si>
  <si>
    <r>
      <t xml:space="preserve">EDAD DE APLICACIÓN  </t>
    </r>
    <r>
      <rPr>
        <b/>
        <sz val="10"/>
        <color theme="1"/>
        <rFont val="Calibri"/>
        <family val="2"/>
        <scheme val="minor"/>
      </rPr>
      <t>→</t>
    </r>
  </si>
  <si>
    <r>
      <t>*A</t>
    </r>
    <r>
      <rPr>
        <b/>
        <sz val="8"/>
        <color theme="1"/>
        <rFont val="Calibri"/>
        <family val="2"/>
        <scheme val="minor"/>
      </rPr>
      <t>lgoritmo</t>
    </r>
    <r>
      <rPr>
        <sz val="8"/>
        <color theme="1"/>
        <rFont val="Calibri"/>
        <family val="2"/>
        <scheme val="minor"/>
      </rPr>
      <t xml:space="preserve"> sólo aplicable a sujetos "verbales" (elemento 30=0), por lo que deberá codificarse todos los códigos de B1, B2 (V) Y B3 (V). En este algoritmo no se recoge la codificación de ningún elemento en el subdominio B4.</t>
    </r>
  </si>
  <si>
    <t>Falta o retraso del lenguaje hablado e incapacidad para compensar esta falta mediante gestos</t>
  </si>
  <si>
    <t>B.2</t>
  </si>
  <si>
    <t>B.4</t>
  </si>
  <si>
    <t>Señalar para expresar interés</t>
  </si>
  <si>
    <t>Asentir con la cabeza</t>
  </si>
  <si>
    <t>Negar con la cabeza</t>
  </si>
  <si>
    <t>Gestos convencionales / instrumentales</t>
  </si>
  <si>
    <t>Imitación espontánea de acciones</t>
  </si>
  <si>
    <t>Juego imaginativo</t>
  </si>
  <si>
    <t>Juego social imitativo</t>
  </si>
  <si>
    <t>(V). Incapacidad relativa para iniciar o sostener un intercambio conversacional</t>
  </si>
  <si>
    <t>SÓLO EN SUJETOS "VERBALES"</t>
  </si>
  <si>
    <t>(V). Habla estereotipada, repetitiva e idiosincrásica</t>
  </si>
  <si>
    <t>B.3</t>
  </si>
  <si>
    <t>Verbalización social / charla</t>
  </si>
  <si>
    <t>Conversación recíproca</t>
  </si>
  <si>
    <t>Expresiones estereotipadas y ecolalia diferida</t>
  </si>
  <si>
    <t>Preguntas o expresiones inapropiadas</t>
  </si>
  <si>
    <t>Inversión de pronombres</t>
  </si>
  <si>
    <t>Neologismos / Lenguaje idiosincrásico</t>
  </si>
  <si>
    <t>EN SUJETOS "NO VERBALES"</t>
  </si>
  <si>
    <t>EN SUJETOS "VERBALES"</t>
  </si>
  <si>
    <t>TOTAL VERBAL B(V)
B1+B4+B2(V)+B3(V)</t>
  </si>
  <si>
    <t>TOTAL NO VERBAL B (NV)
B1+B4</t>
  </si>
  <si>
    <t>C. PATRONES DE CONDUCTA RESTRINGIDOS, REPETITIVOS Y ESTEREOTIPADOS</t>
  </si>
  <si>
    <t>ALGUNA VEZ</t>
  </si>
  <si>
    <t>TOTAL C (C1 + C2 + C3 + C4)</t>
  </si>
  <si>
    <t>C.1</t>
  </si>
  <si>
    <t>C.2</t>
  </si>
  <si>
    <t>C.3</t>
  </si>
  <si>
    <t>C.4</t>
  </si>
  <si>
    <t>Preocupaciones inusuales</t>
  </si>
  <si>
    <r>
      <t xml:space="preserve">Intereses circunscritos </t>
    </r>
    <r>
      <rPr>
        <i/>
        <sz val="11"/>
        <color theme="1"/>
        <rFont val="Calibri"/>
        <family val="2"/>
        <scheme val="minor"/>
      </rPr>
      <t>(puntúe solamente si tiene 3 años o más)</t>
    </r>
  </si>
  <si>
    <t>Adhesión aparentemente compulsiva a rutinas o rituales no funcionales</t>
  </si>
  <si>
    <r>
      <t xml:space="preserve">Rituales verbales </t>
    </r>
    <r>
      <rPr>
        <i/>
        <sz val="11"/>
        <color theme="1"/>
        <rFont val="Calibri"/>
        <family val="2"/>
        <scheme val="minor"/>
      </rPr>
      <t>(puntúe solamente si el elemento 30=0)</t>
    </r>
  </si>
  <si>
    <t>Compulsiones / Rituales</t>
  </si>
  <si>
    <t>TOTAL C1</t>
  </si>
  <si>
    <t>TOTAL C2</t>
  </si>
  <si>
    <t>TOTAL C3</t>
  </si>
  <si>
    <t>TOTAL C4</t>
  </si>
  <si>
    <t>Manierismos motores estereotipados y repetitivos</t>
  </si>
  <si>
    <t>Manierismos de manos y dedos</t>
  </si>
  <si>
    <t>Otros manierismos complejos o movimientos estereotipados del cuerpo</t>
  </si>
  <si>
    <t>Registre la puntuación más alta de los dos elementos</t>
  </si>
  <si>
    <t>Preocupaciones con parte de objetos o elementos no funcionales de los materiales</t>
  </si>
  <si>
    <t>Uso repetitivo de objetos o interés en partes de objetos</t>
  </si>
  <si>
    <t>Intereses sensoriales inusuales</t>
  </si>
  <si>
    <t>D. ALTERACIONES EN EL DESARROLLO EVIDENTES A LOS 36 MESES O ANTES</t>
  </si>
  <si>
    <t>RELLENAR SÓLO SI SE UTILIZA UN ALGORITMO DIAGNÓSTICO</t>
  </si>
  <si>
    <t>(ya sea el de 2 años, 0 meses a 3 años, 11 meses o el de 4 años, 0 meses en adelante)</t>
  </si>
  <si>
    <t>PUNT.</t>
  </si>
  <si>
    <t>CÓDIGO</t>
  </si>
  <si>
    <r>
      <t xml:space="preserve">Edad en que los padres lo notaron por primera vez </t>
    </r>
    <r>
      <rPr>
        <i/>
        <sz val="11"/>
        <color theme="1"/>
        <rFont val="Calibri"/>
        <family val="2"/>
        <scheme val="minor"/>
      </rPr>
      <t>(si &lt;36 meses, puntúe 1)</t>
    </r>
  </si>
  <si>
    <r>
      <t xml:space="preserve">Edad de las primeras palabras </t>
    </r>
    <r>
      <rPr>
        <i/>
        <sz val="11"/>
        <color theme="1"/>
        <rFont val="Calibri"/>
        <family val="2"/>
        <scheme val="minor"/>
      </rPr>
      <t>(si &gt;24 meses, puntúe 1)</t>
    </r>
  </si>
  <si>
    <r>
      <t xml:space="preserve">Edad de las primeras frases </t>
    </r>
    <r>
      <rPr>
        <i/>
        <sz val="11"/>
        <color theme="1"/>
        <rFont val="Calibri"/>
        <family val="2"/>
        <scheme val="minor"/>
      </rPr>
      <t>(si &gt;33 meses, puntúe 1)</t>
    </r>
  </si>
  <si>
    <r>
      <t xml:space="preserve">Edad en que la anormalidad se hizo evidente por primera vez </t>
    </r>
    <r>
      <rPr>
        <i/>
        <sz val="11"/>
        <color theme="1"/>
        <rFont val="Calibri"/>
        <family val="2"/>
        <scheme val="minor"/>
      </rPr>
      <t>(si el código fue 3 ó 4, puntúe 1)</t>
    </r>
  </si>
  <si>
    <r>
      <t xml:space="preserve">Juicio del entrevistador sobre la edad en que se manifestaron por primera vez las anormalidades </t>
    </r>
    <r>
      <rPr>
        <i/>
        <sz val="11"/>
        <color theme="1"/>
        <rFont val="Calibri"/>
        <family val="2"/>
        <scheme val="minor"/>
      </rPr>
      <t>(si &lt;36 meses, puntúe 1)</t>
    </r>
  </si>
  <si>
    <t>TOTAL D</t>
  </si>
  <si>
    <t>TOTAL B1</t>
  </si>
  <si>
    <t>TOTAL B2</t>
  </si>
  <si>
    <t>TOTAL B4</t>
  </si>
  <si>
    <t>TOTAL B3</t>
  </si>
  <si>
    <t xml:space="preserve"> </t>
  </si>
  <si>
    <r>
      <rPr>
        <b/>
        <sz val="10"/>
        <color theme="1"/>
        <rFont val="Calibri"/>
        <family val="2"/>
        <scheme val="minor"/>
      </rPr>
      <t xml:space="preserve">TOTAL B </t>
    </r>
    <r>
      <rPr>
        <b/>
        <sz val="9"/>
        <color theme="1"/>
        <rFont val="Calibri"/>
        <family val="2"/>
        <scheme val="minor"/>
      </rPr>
      <t xml:space="preserve">
(No Verbal)</t>
    </r>
  </si>
  <si>
    <r>
      <t xml:space="preserve">TOTAL B </t>
    </r>
    <r>
      <rPr>
        <b/>
        <sz val="9"/>
        <color theme="1"/>
        <rFont val="Calibri"/>
        <family val="2"/>
        <scheme val="minor"/>
      </rPr>
      <t>(Verbal)</t>
    </r>
  </si>
  <si>
    <t>nac</t>
  </si>
  <si>
    <t>entrevista</t>
  </si>
  <si>
    <t>AÑO</t>
  </si>
  <si>
    <t>MES</t>
  </si>
  <si>
    <t>DÍA</t>
  </si>
  <si>
    <t>Fecha de Evaluación:</t>
  </si>
  <si>
    <t>Fecha de Nacimiento</t>
  </si>
  <si>
    <t>Edad:</t>
  </si>
  <si>
    <t>ITEM</t>
  </si>
  <si>
    <t>PUNTAJE</t>
  </si>
  <si>
    <t>0-1-2</t>
  </si>
  <si>
    <t>B</t>
  </si>
  <si>
    <t>A</t>
  </si>
  <si>
    <t>C</t>
  </si>
  <si>
    <t>D</t>
  </si>
  <si>
    <t>FORMA</t>
  </si>
  <si>
    <t>Actual</t>
  </si>
  <si>
    <t>Alguna vez</t>
  </si>
  <si>
    <t>0-1-2-3-8-9</t>
  </si>
  <si>
    <t>Actual (4 años o mayor)</t>
  </si>
  <si>
    <t>A los 5 años</t>
  </si>
  <si>
    <t>Alguna vez (cuando tenía lenguaje)</t>
  </si>
  <si>
    <t>0-1-2-8-9</t>
  </si>
  <si>
    <t>Más anormal 4.0-5.0 años</t>
  </si>
  <si>
    <t>Actual (menor de 10 años)</t>
  </si>
  <si>
    <t>0-1-2-3-7-8-9</t>
  </si>
  <si>
    <t>Actual (mayor de 4 años y menor de 10 años)</t>
  </si>
  <si>
    <t>ABC</t>
  </si>
  <si>
    <t>Actual (menor de 5 años)</t>
  </si>
  <si>
    <t>Actual (igual o mayor de 4 años y menor de 10 años)</t>
  </si>
  <si>
    <t>Actual (igual o mayor de 3 años)</t>
  </si>
  <si>
    <t>Alguna vez (igual o mayor de 3 años)</t>
  </si>
  <si>
    <r>
      <t xml:space="preserve">Leer </t>
    </r>
    <r>
      <rPr>
        <b/>
        <sz val="8"/>
        <color theme="1"/>
        <rFont val="Calibri"/>
        <family val="2"/>
        <scheme val="minor"/>
      </rPr>
      <t xml:space="preserve">NOTA </t>
    </r>
    <r>
      <rPr>
        <sz val="8"/>
        <color theme="1"/>
        <rFont val="Calibri"/>
        <family val="2"/>
        <scheme val="minor"/>
      </rPr>
      <t>antes de puntuar</t>
    </r>
  </si>
  <si>
    <t>puntaje</t>
  </si>
  <si>
    <t>final</t>
  </si>
  <si>
    <t>algoritmo</t>
  </si>
  <si>
    <t>ALERTAS</t>
  </si>
  <si>
    <r>
      <t xml:space="preserve">OPCIÓN ADICIONAL </t>
    </r>
    <r>
      <rPr>
        <b/>
        <sz val="10"/>
        <color theme="0"/>
        <rFont val="Calibri"/>
        <family val="2"/>
      </rPr>
      <t>↓</t>
    </r>
  </si>
  <si>
    <t>TOTAL DOMINIO A:</t>
  </si>
  <si>
    <t>Falta de juego imaginativo o juego social imitativo espontáneo y variado</t>
  </si>
  <si>
    <t>TOTAL DOMINIO B (VERBAL):</t>
  </si>
  <si>
    <t>TOTAL DOMINIO B (NO VERBAL):</t>
  </si>
  <si>
    <t>*Punto de corte = 8</t>
  </si>
  <si>
    <t>*Punto de corte = 10</t>
  </si>
  <si>
    <t>*Punto de corte = 7</t>
  </si>
  <si>
    <t>TOTAL DOMINIO C:</t>
  </si>
  <si>
    <t>*Punto de corte = 3</t>
  </si>
  <si>
    <t>TOTAL DOMINIO D:</t>
  </si>
  <si>
    <t>*Punto de corte = 1</t>
  </si>
  <si>
    <t>Puntuación edad de las primeras palabras</t>
  </si>
  <si>
    <t xml:space="preserve">Puntuación edad en que los padres lo notaron por primera vez </t>
  </si>
  <si>
    <t>Puntuación edad en que la anormalidad se hizo evidente por primera vez</t>
  </si>
  <si>
    <t>Puntuación edad de las primeras frases</t>
  </si>
  <si>
    <t>Puntuación Juicio del entrevistador sobre la edad en que se manifestaron por primera vez las anormalidades</t>
  </si>
  <si>
    <t>No verbal</t>
  </si>
  <si>
    <t>Verbal</t>
  </si>
  <si>
    <t>VISIÓN GLOBAL</t>
  </si>
  <si>
    <t>PUNTO DE CORTE</t>
  </si>
  <si>
    <t>a</t>
  </si>
  <si>
    <t>b</t>
  </si>
  <si>
    <t>c</t>
  </si>
  <si>
    <t>d</t>
  </si>
  <si>
    <t>DOMINIO</t>
  </si>
  <si>
    <t>COMPLETADOS</t>
  </si>
  <si>
    <t>TOTAL</t>
  </si>
  <si>
    <t>ITEMS FALTANTES O SIN COMPLETAR</t>
  </si>
  <si>
    <t>bv</t>
  </si>
  <si>
    <t>bnv</t>
  </si>
  <si>
    <t xml:space="preserve">Según los resultados obtenidos  a partir de aplicación del ADI-R, es posible indicar que </t>
  </si>
  <si>
    <t>SOLO NOMBRE:</t>
  </si>
  <si>
    <t>dominios</t>
  </si>
  <si>
    <t>improbable que el sujeto tenga ninguna forma de Trastorno del Espectro Autista (TEA).</t>
  </si>
  <si>
    <t>sindrome de Rett</t>
  </si>
  <si>
    <t>posibles resultados</t>
  </si>
  <si>
    <t>Trastorno desiderativo infantil</t>
  </si>
  <si>
    <t>&gt;=24</t>
  </si>
  <si>
    <t>Asperger</t>
  </si>
  <si>
    <t>&lt;24</t>
  </si>
  <si>
    <t>&lt;33</t>
  </si>
  <si>
    <t>dificultades adaptivas social</t>
  </si>
  <si>
    <t>nivel intelectual</t>
  </si>
  <si>
    <t>corte</t>
  </si>
  <si>
    <t>sobre corte</t>
  </si>
  <si>
    <t>sobre corte final</t>
  </si>
  <si>
    <t>sobre corte excepcional</t>
  </si>
  <si>
    <t>Diagnóstico diferencial</t>
  </si>
  <si>
    <t>ingreso</t>
  </si>
  <si>
    <t xml:space="preserve"> Excepcionalmente se puede indicar que se presentan dificultades en los 3 dominios (A, B y C), dado que los resultados, si bien no están todos sobre el puntaje de corte, se encuentran claramente sobre el punto de corte en al menos 2 de los 3 dominios, y no distan de él en más de un punto en el tercer dominio.</t>
  </si>
  <si>
    <t xml:space="preserve">marcada desaceleración en el crecimiento de la cabeza, </t>
  </si>
  <si>
    <t>Síndrome de Rett</t>
  </si>
  <si>
    <t>֍</t>
  </si>
  <si>
    <t>ELEMENTO</t>
  </si>
  <si>
    <t>¿CUMPLE CRITERIO?</t>
  </si>
  <si>
    <t>CRITERIOS</t>
  </si>
  <si>
    <t>Si se han cumplido todos los criterios diagnósticos del ADI-R y también la observación directa indica la probabilidad de TEA, la próxima cuestión que se plantea es qué tipo de TEA debe diagnosticarse.</t>
  </si>
  <si>
    <t>Trastorno desintegrativo infantil</t>
  </si>
  <si>
    <t>Código 1 o 2 en elemento 21 (movimientos voluntarios de las manos).</t>
  </si>
  <si>
    <t>Código 2 en elemento 20 (pérdida de habilidades durante por lo menos 3 meses) y un código 993 o 994 en elemento 28 (duración de la pérdida).</t>
  </si>
  <si>
    <t>Código 1 o 2 en elemento 79 (movimientos de manos en la línea media del cuerpo).</t>
  </si>
  <si>
    <t>* Un código 1 o 2 en elemento 84 (hiperventilación) y un código 1 o 2 en elemento 85 (desmayos/ataques/ausencias), aunque estas 2 modalidades estén presentes de manera menos constante.</t>
  </si>
  <si>
    <t>Variante relativamente rara del TEA en la que se da una marcada regresión en múltiples áreas de funcionamiento después de un periodo de, por lo menos, dos años de desarrollo aparentemente normal.
Viene indicado por una pérdida de las habilidades del lenguaje y de no-lenguaje que aparece pasada la edad de 24 meses.</t>
  </si>
  <si>
    <t>Se deben cumplir todos los criterios.
Puntaje 0 en elemento 12 (indicativo de la presencia de un habla diaria, espontánea y significativa antes de la pérdida). Aparición del TEA a los 24 meses o más tarde (elemento 87).</t>
  </si>
  <si>
    <t>Síndrome de Asperger</t>
  </si>
  <si>
    <t>La distinción entre el autismo y el síndrome de Asperger viene determinada por la existencia o no de un significativo deterioro cognitivo o de habilidades adaptativas (distintas a las de socialización), y por la existencia o no de lenguaje hablado desarrollado en el periodo normal de edad.</t>
  </si>
  <si>
    <t>La edad de las primeras palabras fue antes de los 24 meses (elemento 9) y las primeras palabras fue antes de los 24 meses (elemento 9).</t>
  </si>
  <si>
    <t>Marcada desaceleración del crecimiento de la cabeza (habitualmente después de los 6 meses de edad, pero antes de los 2 años) hasta el punto de que la circunferencia actual de la cabeza cabría esperar que estuviese por debajo del tercer centil.</t>
  </si>
  <si>
    <t>Evidencias confirmatorias a partir de la evaluación de su nivel intelectual y de su conducta adaptativa social.</t>
  </si>
  <si>
    <t>TEA no especificado (Trastorno Generalizado del Desarrollo no especificado).</t>
  </si>
  <si>
    <t>•</t>
  </si>
  <si>
    <t>Elementos a considerar para el diagnóstico diferencial:</t>
  </si>
  <si>
    <t>Esquizofrenia.</t>
  </si>
  <si>
    <t>Ceguera congénita y deprivación institucional.</t>
  </si>
  <si>
    <t>Trastornos graves en el desarrollo del lenguaje.</t>
  </si>
  <si>
    <t>Se debe tener cuidado con sujetos con una edad mental inferior a los 2 años, ya que niños con Discapacidad Intelectual muestran puntajes altos en el ADI-R.</t>
  </si>
  <si>
    <t>Observaciones finales y cuidados especiales</t>
  </si>
  <si>
    <t>En la práctica, se ha encontrado que los algoritmos diagnósticos ADI-R funcionan razonablemente bien incluso en muestras atípicas, pero se recomienda tener cautela ante poblaciones altamente atípicas.</t>
  </si>
  <si>
    <t>Si el sujeto no cumple con un 1/3 de los criterios es probable que no tenga un TEA, o puede que sea TEA no especificado.
El TEA no especificado consiste en un deterioro grave y profundo en la interacción social recíproca, en las habilidades de comunicación verbal y no verbal, o que posee conductas, intereses o actividades estereotipados, pero sin que hayan alcanzado los criterios requeridos para un trastorno generalizado del desarrollo (o TEA). Esta categoría no debe utilizarse si el deterioro es consecuencia de una esquizofrenia o un trastorno esquizotípico de la personalidad.</t>
  </si>
  <si>
    <t>Trastorno esquizotípico de la personalidad.</t>
  </si>
  <si>
    <t>Niños menores de 3 años: la mayoría de los datos del algoritmo diagnóstico provienen de muestras en las que la edad cronológica era mayor a 3 años, por lo que se recomienda mas datos de validación para las edades entre los 2 y 3 años.</t>
  </si>
  <si>
    <t>No se puede determinar a partir del algoritmo diagnóstico. Se debe prestar atención a los elementos que apuntan específicamente a la probabilidad del síndrome de Rett.
Se caracteriza por regresión en el desarrollo que persiste conjuntamente con los característicos movimientos de manos en la línea media y la pérdida de los movimientos intencionados de la mano.</t>
  </si>
  <si>
    <t>En la columna "PUNTAJE" debe registrar el puntaje final a utilizar, la codificación se realizará automáticamente según su elección de algoritmo en la pestaña P1.
El ítem 30 tiene gran importancia, ya que define si el sujeto es o no verbal.</t>
  </si>
  <si>
    <t>alertas codificación opción adicional</t>
  </si>
  <si>
    <t>Preocupación absorbente o patrón de intereses circunscrito</t>
  </si>
  <si>
    <t>ANÁLISIS DE RESULTADOS</t>
  </si>
  <si>
    <t xml:space="preserve">  RESUMEN DE PUNTUACIONES ADI-R</t>
  </si>
  <si>
    <t>dg</t>
  </si>
  <si>
    <t>item 85</t>
  </si>
  <si>
    <t>item 84</t>
  </si>
  <si>
    <t>item 79</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</si>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</sst>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48"/>
      <color rgb="FFDF4935"/>
      <name val="Arial Black"/>
      <family val="2"/>
    </font>
    <font>
      <b/>
      <sz val="48"/>
      <name val="Arial Black"/>
      <family val="2"/>
    </font>
    <font>
      <sz val="14"/>
      <color theme="1"/>
      <name val="Calibri"/>
      <family val="2"/>
      <scheme val="minor"/>
    </font>
    <font>
      <sz val="16"/>
      <color theme="1"/>
      <name val="Calibri"/>
      <family val="2"/>
      <scheme val="minor"/>
    </font>
    <font>
      <sz val="11"/>
      <color rgb="FFDF4935"/>
      <name val="Calibri"/>
      <family val="2"/>
      <scheme val="minor"/>
    </font>
    <font>
      <b/>
      <sz val="11"/>
      <color rgb="FFDF4935"/>
      <name val="Calibri"/>
      <family val="2"/>
      <scheme val="minor"/>
    </font>
    <font>
      <sz val="11"/>
      <color theme="1"/>
      <name val="Calibri"/>
      <family val="2"/>
    </font>
    <font>
      <sz val="9"/>
      <color indexed="81"/>
      <name val="Tahoma"/>
      <family val="2"/>
    </font>
    <font>
      <b/>
      <sz val="9"/>
      <color indexed="81"/>
      <name val="Tahoma"/>
      <family val="2"/>
    </font>
    <font>
      <b/>
      <sz val="12"/>
      <color theme="0"/>
      <name val="Calibri"/>
      <family val="2"/>
      <scheme val="minor"/>
    </font>
    <font>
      <sz val="10"/>
      <color theme="1"/>
      <name val="Calibri"/>
      <family val="2"/>
      <scheme val="minor"/>
    </font>
    <font>
      <sz val="8"/>
      <color theme="1"/>
      <name val="Calibri"/>
      <family val="2"/>
      <scheme val="minor"/>
    </font>
    <font>
      <sz val="8"/>
      <color theme="0"/>
      <name val="Calibri"/>
      <family val="2"/>
      <scheme val="minor"/>
    </font>
    <font>
      <sz val="8"/>
      <name val="Calibri"/>
      <family val="2"/>
      <scheme val="minor"/>
    </font>
    <font>
      <sz val="11"/>
      <name val="Calibri"/>
      <family val="2"/>
      <scheme val="minor"/>
    </font>
    <font>
      <b/>
      <sz val="8"/>
      <name val="Calibri"/>
      <family val="2"/>
      <scheme val="minor"/>
    </font>
    <font>
      <b/>
      <sz val="14"/>
      <color rgb="FFDF4935"/>
      <name val="Calibri"/>
      <family val="2"/>
      <scheme val="minor"/>
    </font>
    <font>
      <sz val="14"/>
      <name val="Calibri"/>
      <family val="2"/>
      <scheme val="minor"/>
    </font>
    <font>
      <b/>
      <sz val="10"/>
      <color theme="1"/>
      <name val="Calibri"/>
      <family val="2"/>
      <scheme val="minor"/>
    </font>
    <font>
      <b/>
      <sz val="14"/>
      <color theme="1"/>
      <name val="Calibri"/>
      <family val="2"/>
      <scheme val="minor"/>
    </font>
    <font>
      <b/>
      <sz val="11"/>
      <color theme="5" tint="-0.249977111117893"/>
      <name val="Arial Black"/>
      <family val="2"/>
    </font>
    <font>
      <b/>
      <sz val="16"/>
      <color theme="1"/>
      <name val="Calibri"/>
      <family val="2"/>
      <scheme val="minor"/>
    </font>
    <font>
      <b/>
      <sz val="9"/>
      <color theme="1"/>
      <name val="Calibri"/>
      <family val="2"/>
      <scheme val="minor"/>
    </font>
    <font>
      <b/>
      <sz val="8"/>
      <color theme="1"/>
      <name val="Calibri"/>
      <family val="2"/>
      <scheme val="minor"/>
    </font>
    <font>
      <i/>
      <sz val="11"/>
      <color theme="1"/>
      <name val="Calibri"/>
      <family val="2"/>
      <scheme val="minor"/>
    </font>
    <font>
      <b/>
      <sz val="10"/>
      <color theme="1"/>
      <name val="Calibri"/>
      <family val="2"/>
    </font>
    <font>
      <sz val="12"/>
      <color theme="0"/>
      <name val="Calibri"/>
      <family val="2"/>
      <scheme val="minor"/>
    </font>
    <font>
      <b/>
      <sz val="10"/>
      <color theme="5" tint="-0.249977111117893"/>
      <name val="Arial Black"/>
      <family val="2"/>
    </font>
    <font>
      <b/>
      <sz val="8"/>
      <color theme="0"/>
      <name val="Calibri"/>
      <family val="2"/>
      <scheme val="minor"/>
    </font>
    <font>
      <i/>
      <sz val="11"/>
      <color rgb="FFDF4935"/>
      <name val="Calibri"/>
      <family val="2"/>
      <scheme val="minor"/>
    </font>
    <font>
      <sz val="12"/>
      <name val="Times New Roman"/>
      <family val="2"/>
    </font>
    <font>
      <sz val="12"/>
      <color theme="8" tint="0.79998168889431442"/>
      <name val="Times New Roman"/>
      <family val="2"/>
    </font>
    <font>
      <b/>
      <sz val="8"/>
      <name val="Times New Roman"/>
      <family val="2"/>
    </font>
    <font>
      <b/>
      <sz val="11"/>
      <name val="Times New Roman"/>
      <family val="2"/>
    </font>
    <font>
      <sz val="10"/>
      <color theme="8" tint="0.79998168889431442"/>
      <name val="Times New Roman"/>
      <family val="2"/>
    </font>
    <font>
      <sz val="8"/>
      <color rgb="FF7030A0"/>
      <name val="Calibri"/>
      <family val="2"/>
      <scheme val="minor"/>
    </font>
    <font>
      <b/>
      <sz val="12"/>
      <name val="Calibri"/>
      <family val="2"/>
      <scheme val="minor"/>
    </font>
    <font>
      <b/>
      <sz val="11"/>
      <name val="Calibri"/>
      <family val="2"/>
      <scheme val="minor"/>
    </font>
    <font>
      <b/>
      <sz val="14"/>
      <color theme="0"/>
      <name val="Calibri"/>
      <family val="2"/>
      <scheme val="minor"/>
    </font>
    <font>
      <b/>
      <sz val="10"/>
      <color theme="0"/>
      <name val="Calibri"/>
      <family val="2"/>
      <scheme val="minor"/>
    </font>
    <font>
      <b/>
      <sz val="10"/>
      <color theme="0"/>
      <name val="Calibri"/>
      <family val="2"/>
    </font>
    <font>
      <sz val="16"/>
      <name val="Calibri"/>
      <family val="2"/>
      <scheme val="minor"/>
    </font>
    <font>
      <sz val="12"/>
      <color theme="1"/>
      <name val="Calibri"/>
      <family val="2"/>
      <scheme val="minor"/>
    </font>
    <font>
      <b/>
      <sz val="12"/>
      <color theme="1"/>
      <name val="Calibri"/>
      <family val="2"/>
      <scheme val="minor"/>
    </font>
    <font>
      <sz val="9"/>
      <color theme="1"/>
      <name val="Calibri"/>
      <family val="2"/>
      <scheme val="minor"/>
    </font>
    <font>
      <b/>
      <sz val="22"/>
      <color rgb="FF002060"/>
      <name val="Calibri"/>
      <family val="2"/>
      <scheme val="minor"/>
    </font>
  </fonts>
  <fills count="33">
    <fill>
      <patternFill patternType="none"/>
    </fill>
    <fill>
      <patternFill patternType="gray125"/>
    </fill>
    <fill>
      <patternFill patternType="solid">
        <fgColor rgb="FFEFA399"/>
        <bgColor indexed="64"/>
      </patternFill>
    </fill>
    <fill>
      <patternFill patternType="solid">
        <fgColor rgb="FFF6CCC6"/>
        <bgColor indexed="64"/>
      </patternFill>
    </fill>
    <fill>
      <patternFill patternType="solid">
        <fgColor theme="0"/>
        <bgColor indexed="64"/>
      </patternFill>
    </fill>
    <fill>
      <patternFill patternType="solid">
        <fgColor rgb="FFE87D6E"/>
        <bgColor indexed="64"/>
      </patternFill>
    </fill>
    <fill>
      <patternFill patternType="solid">
        <fgColor rgb="FFFFC00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FF0000"/>
        <bgColor indexed="64"/>
      </patternFill>
    </fill>
    <fill>
      <patternFill patternType="solid">
        <fgColor rgb="FFC00000"/>
        <bgColor indexed="64"/>
      </patternFill>
    </fill>
    <fill>
      <patternFill patternType="solid">
        <fgColor theme="5"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rgb="FF4DBFAC"/>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3"/>
        <bgColor indexed="64"/>
      </patternFill>
    </fill>
    <fill>
      <patternFill patternType="solid">
        <fgColor theme="9" tint="-0.49998474074526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2" tint="-0.749992370372631"/>
        <bgColor indexed="64"/>
      </patternFill>
    </fill>
    <fill>
      <patternFill patternType="solid">
        <fgColor theme="4" tint="0.59999389629810485"/>
        <bgColor indexed="64"/>
      </patternFill>
    </fill>
    <fill>
      <patternFill patternType="solid">
        <fgColor rgb="FF002060"/>
        <bgColor indexed="64"/>
      </patternFill>
    </fill>
    <fill>
      <patternFill patternType="solid">
        <fgColor rgb="FFDF4935"/>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0" fillId="0" borderId="0" xfId="0" applyAlignment="1">
      <alignment horizontal="center"/>
    </xf>
    <xf numFmtId="0" fontId="0" fillId="4" borderId="0" xfId="0" applyFill="1"/>
    <xf numFmtId="0" fontId="0" fillId="4" borderId="0" xfId="0" applyFill="1" applyAlignment="1">
      <alignment horizontal="center"/>
    </xf>
    <xf numFmtId="0" fontId="0" fillId="5" borderId="0" xfId="0" applyFill="1"/>
    <xf numFmtId="0" fontId="2" fillId="5" borderId="0" xfId="0" applyFont="1" applyFill="1" applyAlignment="1">
      <alignment horizontal="left"/>
    </xf>
    <xf numFmtId="0" fontId="0" fillId="5" borderId="0" xfId="0" applyFill="1" applyAlignment="1">
      <alignment horizontal="center"/>
    </xf>
    <xf numFmtId="0" fontId="1" fillId="5" borderId="0" xfId="0" applyFont="1" applyFill="1"/>
    <xf numFmtId="0" fontId="3" fillId="5" borderId="0" xfId="0" quotePrefix="1" applyFont="1" applyFill="1" applyAlignment="1">
      <alignment horizontal="center"/>
    </xf>
    <xf numFmtId="0" fontId="1" fillId="5" borderId="0" xfId="0" applyFont="1" applyFill="1" applyAlignment="1">
      <alignment horizontal="center"/>
    </xf>
    <xf numFmtId="0" fontId="0" fillId="3" borderId="1" xfId="0" applyFill="1" applyBorder="1" applyAlignment="1">
      <alignment horizontal="center"/>
    </xf>
    <xf numFmtId="0" fontId="1" fillId="0" borderId="0" xfId="0" applyFont="1" applyAlignment="1">
      <alignment horizontal="center"/>
    </xf>
    <xf numFmtId="0" fontId="9" fillId="4" borderId="0" xfId="0" applyFont="1" applyFill="1"/>
    <xf numFmtId="0" fontId="2" fillId="4" borderId="0" xfId="0" applyFont="1" applyFill="1"/>
    <xf numFmtId="0" fontId="9" fillId="4" borderId="0" xfId="0" applyFont="1" applyFill="1" applyAlignment="1">
      <alignment horizontal="center"/>
    </xf>
    <xf numFmtId="0" fontId="10" fillId="4" borderId="0" xfId="0" applyFont="1" applyFill="1" applyAlignment="1">
      <alignment horizont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xf numFmtId="0" fontId="18" fillId="0" borderId="0" xfId="0" applyFont="1" applyProtection="1">
      <protection hidden="1"/>
    </xf>
    <xf numFmtId="0" fontId="0" fillId="9" borderId="1" xfId="0" applyFill="1" applyBorder="1" applyProtection="1">
      <protection hidden="1"/>
    </xf>
    <xf numFmtId="0" fontId="0" fillId="0" borderId="0" xfId="0" applyProtection="1">
      <protection hidden="1"/>
    </xf>
    <xf numFmtId="0" fontId="15" fillId="0" borderId="0" xfId="0" applyFont="1" applyAlignment="1" applyProtection="1">
      <alignment vertical="center" wrapText="1"/>
      <protection hidden="1"/>
    </xf>
    <xf numFmtId="0" fontId="15" fillId="9" borderId="1" xfId="0" applyFont="1" applyFill="1" applyBorder="1" applyAlignment="1" applyProtection="1">
      <alignment vertical="center" wrapText="1"/>
      <protection hidden="1"/>
    </xf>
    <xf numFmtId="0" fontId="15" fillId="8" borderId="0" xfId="0" applyFont="1" applyFill="1" applyAlignment="1" applyProtection="1">
      <alignment horizontal="center" wrapText="1"/>
      <protection hidden="1"/>
    </xf>
    <xf numFmtId="0" fontId="15" fillId="0" borderId="0" xfId="0" applyFont="1" applyAlignment="1" applyProtection="1">
      <alignment horizontal="center" vertical="center" wrapText="1"/>
      <protection hidden="1"/>
    </xf>
    <xf numFmtId="0" fontId="15" fillId="9" borderId="0" xfId="0" applyFont="1" applyFill="1" applyAlignment="1" applyProtection="1">
      <alignment horizontal="center" vertical="center" wrapText="1"/>
      <protection hidden="1"/>
    </xf>
    <xf numFmtId="0" fontId="15" fillId="10" borderId="0" xfId="0" applyFont="1" applyFill="1" applyAlignment="1" applyProtection="1">
      <alignment horizontal="center" vertical="center" wrapText="1"/>
      <protection hidden="1"/>
    </xf>
    <xf numFmtId="0" fontId="15" fillId="3" borderId="0" xfId="0" applyFont="1" applyFill="1" applyAlignment="1" applyProtection="1">
      <alignment horizontal="center" vertical="center" wrapText="1"/>
      <protection hidden="1"/>
    </xf>
    <xf numFmtId="0" fontId="15" fillId="5" borderId="0" xfId="0" applyFont="1" applyFill="1" applyAlignment="1" applyProtection="1">
      <alignment horizontal="center" wrapText="1"/>
      <protection hidden="1"/>
    </xf>
    <xf numFmtId="0" fontId="15" fillId="0" borderId="0" xfId="0" applyFont="1" applyAlignment="1" applyProtection="1">
      <alignment horizontal="center" wrapText="1"/>
      <protection hidden="1"/>
    </xf>
    <xf numFmtId="0" fontId="15" fillId="9" borderId="1" xfId="0" applyFont="1" applyFill="1" applyBorder="1" applyAlignment="1" applyProtection="1">
      <alignment horizontal="center" wrapText="1"/>
      <protection hidden="1"/>
    </xf>
    <xf numFmtId="0" fontId="17" fillId="0" borderId="0" xfId="0" applyFont="1" applyAlignment="1" applyProtection="1">
      <alignment horizontal="center" vertical="center" wrapText="1"/>
      <protection hidden="1"/>
    </xf>
    <xf numFmtId="0" fontId="2" fillId="12" borderId="0" xfId="0" applyFont="1" applyFill="1" applyAlignment="1" applyProtection="1">
      <alignment vertical="top"/>
      <protection hidden="1"/>
    </xf>
    <xf numFmtId="0" fontId="19" fillId="0" borderId="0" xfId="0" applyFont="1" applyAlignment="1" applyProtection="1">
      <alignment horizontal="center" vertical="center" wrapText="1"/>
      <protection hidden="1"/>
    </xf>
    <xf numFmtId="0" fontId="6" fillId="0" borderId="0" xfId="0" applyFont="1" applyAlignment="1" applyProtection="1">
      <alignment horizontal="center" vertical="center"/>
      <protection hidden="1"/>
    </xf>
    <xf numFmtId="0" fontId="21" fillId="0" borderId="7" xfId="0" applyFont="1" applyBorder="1" applyAlignment="1" applyProtection="1">
      <alignment horizontal="center" vertical="center"/>
      <protection hidden="1"/>
    </xf>
    <xf numFmtId="0" fontId="20" fillId="0" borderId="7" xfId="0" applyFont="1" applyBorder="1" applyAlignment="1" applyProtection="1">
      <alignment horizontal="center"/>
      <protection hidden="1"/>
    </xf>
    <xf numFmtId="0" fontId="20" fillId="0" borderId="0" xfId="0" applyFont="1" applyAlignment="1" applyProtection="1">
      <alignment horizontal="center"/>
      <protection hidden="1"/>
    </xf>
    <xf numFmtId="0" fontId="25" fillId="2" borderId="7" xfId="0" applyFont="1" applyFill="1" applyBorder="1" applyAlignment="1" applyProtection="1">
      <alignment horizontal="center"/>
      <protection hidden="1"/>
    </xf>
    <xf numFmtId="0" fontId="15" fillId="9" borderId="0" xfId="0" applyFont="1" applyFill="1" applyAlignment="1" applyProtection="1">
      <alignment horizontal="center" wrapText="1"/>
      <protection hidden="1"/>
    </xf>
    <xf numFmtId="0" fontId="15" fillId="15" borderId="0" xfId="0" applyFont="1" applyFill="1" applyAlignment="1" applyProtection="1">
      <alignment horizontal="center" wrapText="1"/>
      <protection hidden="1"/>
    </xf>
    <xf numFmtId="0" fontId="15" fillId="15" borderId="0" xfId="0" applyFont="1" applyFill="1" applyAlignment="1" applyProtection="1">
      <alignment horizontal="center" vertical="center" wrapText="1"/>
      <protection hidden="1"/>
    </xf>
    <xf numFmtId="0" fontId="6" fillId="0" borderId="0" xfId="0" applyFont="1" applyAlignment="1">
      <alignment horizontal="center" vertical="center"/>
    </xf>
    <xf numFmtId="0" fontId="23" fillId="3" borderId="7" xfId="0" applyFont="1" applyFill="1" applyBorder="1" applyAlignment="1">
      <alignment horizontal="center" vertical="center"/>
    </xf>
    <xf numFmtId="0" fontId="21" fillId="0" borderId="0" xfId="0" applyFont="1" applyAlignment="1" applyProtection="1">
      <alignment horizontal="center" vertical="center"/>
      <protection hidden="1"/>
    </xf>
    <xf numFmtId="0" fontId="20" fillId="0" borderId="7" xfId="0" applyFont="1" applyBorder="1" applyAlignment="1" applyProtection="1">
      <alignment horizontal="center" vertical="center"/>
      <protection hidden="1"/>
    </xf>
    <xf numFmtId="0" fontId="18" fillId="0" borderId="0" xfId="0" applyFont="1" applyAlignment="1" applyProtection="1">
      <alignment horizontal="center" vertical="center"/>
      <protection hidden="1"/>
    </xf>
    <xf numFmtId="0" fontId="20" fillId="0" borderId="0" xfId="0" applyFont="1" applyAlignment="1" applyProtection="1">
      <alignment horizontal="center" vertical="center"/>
      <protection hidden="1"/>
    </xf>
    <xf numFmtId="0" fontId="25" fillId="2" borderId="7" xfId="0" applyFont="1" applyFill="1" applyBorder="1" applyAlignment="1" applyProtection="1">
      <alignment horizontal="center" vertical="center"/>
      <protection hidden="1"/>
    </xf>
    <xf numFmtId="0" fontId="13" fillId="11" borderId="0" xfId="0" applyFont="1" applyFill="1" applyAlignment="1" applyProtection="1">
      <alignment horizontal="center" vertical="center"/>
      <protection hidden="1"/>
    </xf>
    <xf numFmtId="0" fontId="0" fillId="3" borderId="1" xfId="0" applyFill="1" applyBorder="1" applyAlignment="1">
      <alignment horizontal="center" vertical="center"/>
    </xf>
    <xf numFmtId="0" fontId="34" fillId="17" borderId="0" xfId="0" applyFont="1" applyFill="1"/>
    <xf numFmtId="0" fontId="35" fillId="17" borderId="0" xfId="0" applyFont="1" applyFill="1" applyProtection="1">
      <protection hidden="1"/>
    </xf>
    <xf numFmtId="0" fontId="36" fillId="18" borderId="21" xfId="0" applyFont="1" applyFill="1" applyBorder="1" applyAlignment="1">
      <alignment horizontal="center" vertical="center"/>
    </xf>
    <xf numFmtId="0" fontId="36" fillId="18" borderId="22" xfId="0" applyFont="1" applyFill="1" applyBorder="1" applyAlignment="1">
      <alignment horizontal="center" vertical="center"/>
    </xf>
    <xf numFmtId="0" fontId="36" fillId="18" borderId="23" xfId="0" applyFont="1" applyFill="1" applyBorder="1" applyAlignment="1">
      <alignment horizontal="center" vertical="center"/>
    </xf>
    <xf numFmtId="0" fontId="37" fillId="18" borderId="24" xfId="0" applyFont="1" applyFill="1" applyBorder="1" applyAlignment="1">
      <alignment horizontal="center"/>
    </xf>
    <xf numFmtId="1" fontId="34" fillId="0" borderId="25" xfId="0" applyNumberFormat="1" applyFont="1" applyBorder="1" applyAlignment="1" applyProtection="1">
      <alignment horizontal="center"/>
      <protection locked="0"/>
    </xf>
    <xf numFmtId="0" fontId="35" fillId="17" borderId="0" xfId="0" applyFont="1" applyFill="1"/>
    <xf numFmtId="0" fontId="37" fillId="18" borderId="26" xfId="0" applyFont="1" applyFill="1" applyBorder="1" applyAlignment="1">
      <alignment horizontal="center"/>
    </xf>
    <xf numFmtId="1" fontId="34" fillId="0" borderId="1" xfId="0" applyNumberFormat="1" applyFont="1" applyBorder="1" applyAlignment="1" applyProtection="1">
      <alignment horizontal="center"/>
      <protection locked="0"/>
    </xf>
    <xf numFmtId="0" fontId="37" fillId="18" borderId="27" xfId="0" applyFont="1" applyFill="1" applyBorder="1" applyAlignment="1">
      <alignment horizontal="center"/>
    </xf>
    <xf numFmtId="1" fontId="34" fillId="19" borderId="28" xfId="0" applyNumberFormat="1" applyFont="1" applyFill="1" applyBorder="1" applyAlignment="1" applyProtection="1">
      <alignment horizontal="center"/>
      <protection hidden="1"/>
    </xf>
    <xf numFmtId="0" fontId="34" fillId="19" borderId="29" xfId="0" applyFont="1" applyFill="1" applyBorder="1" applyAlignment="1" applyProtection="1">
      <alignment horizontal="center"/>
      <protection hidden="1"/>
    </xf>
    <xf numFmtId="1" fontId="0" fillId="6" borderId="0" xfId="0" applyNumberFormat="1" applyFill="1"/>
    <xf numFmtId="1" fontId="0" fillId="0" borderId="0" xfId="0" applyNumberFormat="1"/>
    <xf numFmtId="0" fontId="0" fillId="0" borderId="1" xfId="0" applyBorder="1" applyProtection="1">
      <protection hidden="1"/>
    </xf>
    <xf numFmtId="0" fontId="23" fillId="20" borderId="7" xfId="0" applyFont="1" applyFill="1" applyBorder="1" applyAlignment="1">
      <alignment horizontal="center" vertical="center"/>
    </xf>
    <xf numFmtId="0" fontId="6" fillId="0" borderId="0" xfId="0" applyFont="1" applyAlignment="1">
      <alignment vertical="center"/>
    </xf>
    <xf numFmtId="0" fontId="23" fillId="0" borderId="1" xfId="0" applyFont="1" applyBorder="1" applyAlignment="1">
      <alignment horizontal="center" vertical="center"/>
    </xf>
    <xf numFmtId="0" fontId="42" fillId="0" borderId="0" xfId="0" applyFont="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0" fillId="22" borderId="0" xfId="0" applyFill="1"/>
    <xf numFmtId="0" fontId="15" fillId="22" borderId="0" xfId="0" applyFont="1" applyFill="1" applyAlignment="1" applyProtection="1">
      <alignment horizontal="center" wrapText="1"/>
      <protection hidden="1"/>
    </xf>
    <xf numFmtId="0" fontId="25" fillId="12" borderId="7" xfId="0" applyFont="1" applyFill="1" applyBorder="1" applyAlignment="1" applyProtection="1">
      <alignment horizontal="center" vertical="center"/>
      <protection hidden="1"/>
    </xf>
    <xf numFmtId="0" fontId="15" fillId="12" borderId="0" xfId="0" applyFont="1" applyFill="1" applyAlignment="1" applyProtection="1">
      <alignment horizontal="center" wrapText="1"/>
      <protection hidden="1"/>
    </xf>
    <xf numFmtId="0" fontId="15" fillId="21" borderId="1" xfId="0" applyFont="1" applyFill="1" applyBorder="1" applyAlignment="1">
      <alignment horizontal="center" vertical="center" wrapText="1"/>
    </xf>
    <xf numFmtId="0" fontId="15" fillId="0" borderId="1" xfId="0" applyFont="1" applyBorder="1" applyAlignment="1">
      <alignment vertical="center"/>
    </xf>
    <xf numFmtId="0" fontId="15" fillId="21" borderId="1" xfId="0" applyFont="1" applyFill="1" applyBorder="1" applyAlignment="1">
      <alignment vertical="center"/>
    </xf>
    <xf numFmtId="0" fontId="0" fillId="4" borderId="11" xfId="0" applyFill="1" applyBorder="1" applyAlignment="1">
      <alignment horizontal="center" vertical="center"/>
    </xf>
    <xf numFmtId="0" fontId="0" fillId="4" borderId="0" xfId="0" applyFill="1" applyAlignment="1">
      <alignment horizontal="center" vertical="center"/>
    </xf>
    <xf numFmtId="0" fontId="0" fillId="4" borderId="9" xfId="0" applyFill="1" applyBorder="1"/>
    <xf numFmtId="0" fontId="0" fillId="4" borderId="10" xfId="0" applyFill="1" applyBorder="1"/>
    <xf numFmtId="0" fontId="0" fillId="4" borderId="12" xfId="0" applyFill="1" applyBorder="1" applyAlignment="1">
      <alignment horizontal="center" vertical="center"/>
    </xf>
    <xf numFmtId="0" fontId="9" fillId="4" borderId="11" xfId="0" applyFont="1" applyFill="1" applyBorder="1" applyAlignment="1">
      <alignment horizontal="right" vertical="center"/>
    </xf>
    <xf numFmtId="0" fontId="0" fillId="4" borderId="0" xfId="0" applyFill="1" applyAlignment="1">
      <alignment horizontal="right" vertical="center"/>
    </xf>
    <xf numFmtId="0" fontId="9" fillId="4" borderId="0" xfId="0" applyFont="1" applyFill="1" applyAlignment="1">
      <alignment horizontal="right" vertical="center"/>
    </xf>
    <xf numFmtId="0" fontId="0" fillId="4" borderId="11" xfId="0" applyFill="1" applyBorder="1" applyAlignment="1">
      <alignment horizontal="right"/>
    </xf>
    <xf numFmtId="0" fontId="0" fillId="4" borderId="0" xfId="0" applyFill="1" applyAlignment="1">
      <alignment horizontal="right"/>
    </xf>
    <xf numFmtId="0" fontId="0" fillId="4" borderId="13" xfId="0" applyFill="1" applyBorder="1"/>
    <xf numFmtId="0" fontId="2" fillId="4" borderId="0" xfId="0" applyFont="1" applyFill="1" applyAlignment="1">
      <alignment horizontal="right" vertical="center" wrapText="1"/>
    </xf>
    <xf numFmtId="0" fontId="26" fillId="4" borderId="0" xfId="0" applyFont="1" applyFill="1" applyAlignment="1">
      <alignment horizontal="right" vertical="center" wrapText="1"/>
    </xf>
    <xf numFmtId="0" fontId="0" fillId="4" borderId="12" xfId="0" applyFill="1" applyBorder="1"/>
    <xf numFmtId="0" fontId="0" fillId="4" borderId="14" xfId="0" applyFill="1" applyBorder="1"/>
    <xf numFmtId="0" fontId="0" fillId="0" borderId="11" xfId="0" applyBorder="1"/>
    <xf numFmtId="0" fontId="40" fillId="4" borderId="13" xfId="0" applyFont="1" applyFill="1" applyBorder="1" applyAlignment="1">
      <alignment horizontal="center"/>
    </xf>
    <xf numFmtId="0" fontId="0" fillId="16" borderId="0" xfId="0" applyFill="1" applyAlignment="1">
      <alignment horizontal="center" vertical="center"/>
    </xf>
    <xf numFmtId="0" fontId="43" fillId="23" borderId="1" xfId="0" applyFont="1" applyFill="1" applyBorder="1" applyAlignment="1">
      <alignment horizontal="center" vertical="center"/>
    </xf>
    <xf numFmtId="0" fontId="6" fillId="21" borderId="1" xfId="0" applyFont="1" applyFill="1" applyBorder="1" applyAlignment="1">
      <alignment horizontal="center" vertical="center"/>
    </xf>
    <xf numFmtId="0" fontId="6" fillId="0" borderId="1" xfId="0" applyFont="1" applyBorder="1" applyAlignment="1">
      <alignment horizontal="center" vertical="center"/>
    </xf>
    <xf numFmtId="0" fontId="13" fillId="11" borderId="0" xfId="0" applyFont="1" applyFill="1" applyProtection="1">
      <protection hidden="1"/>
    </xf>
    <xf numFmtId="0" fontId="2" fillId="12" borderId="0" xfId="0" applyFont="1" applyFill="1" applyAlignment="1" applyProtection="1">
      <alignment vertical="top" wrapText="1"/>
      <protection hidden="1"/>
    </xf>
    <xf numFmtId="0" fontId="23" fillId="20" borderId="15" xfId="0" applyFont="1" applyFill="1" applyBorder="1" applyAlignment="1">
      <alignment horizontal="center" vertical="center"/>
    </xf>
    <xf numFmtId="0" fontId="43" fillId="23" borderId="0" xfId="0" applyFont="1" applyFill="1" applyAlignment="1">
      <alignment horizontal="center" vertical="center"/>
    </xf>
    <xf numFmtId="0" fontId="23" fillId="8" borderId="1" xfId="0" applyFont="1" applyFill="1" applyBorder="1" applyAlignment="1">
      <alignment horizontal="center" vertical="center"/>
    </xf>
    <xf numFmtId="0" fontId="23" fillId="27"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0" fillId="28" borderId="0" xfId="0" applyFill="1"/>
    <xf numFmtId="0" fontId="43" fillId="0" borderId="0" xfId="0" applyFont="1" applyAlignment="1">
      <alignment horizontal="center" vertical="center"/>
    </xf>
    <xf numFmtId="0" fontId="47" fillId="9" borderId="25" xfId="0" applyFont="1" applyFill="1" applyBorder="1" applyAlignment="1">
      <alignment horizontal="center" vertical="center" wrapText="1"/>
    </xf>
    <xf numFmtId="0" fontId="47" fillId="9" borderId="25" xfId="0" applyFont="1" applyFill="1" applyBorder="1" applyAlignment="1">
      <alignment horizontal="center" vertical="center"/>
    </xf>
    <xf numFmtId="0" fontId="14" fillId="0" borderId="1" xfId="0" applyFont="1" applyBorder="1" applyAlignment="1">
      <alignment horizontal="center" vertical="center" wrapText="1"/>
    </xf>
    <xf numFmtId="0" fontId="14" fillId="0" borderId="28" xfId="0" applyFont="1" applyBorder="1" applyAlignment="1">
      <alignment horizontal="center" vertical="center" wrapText="1"/>
    </xf>
    <xf numFmtId="0" fontId="0" fillId="0" borderId="0" xfId="0" applyAlignment="1" applyProtection="1">
      <alignment horizontal="center" vertical="center"/>
      <protection hidden="1"/>
    </xf>
    <xf numFmtId="0" fontId="6" fillId="29" borderId="0" xfId="0" applyFont="1" applyFill="1" applyAlignment="1">
      <alignment vertical="center"/>
    </xf>
    <xf numFmtId="0" fontId="6" fillId="29" borderId="0" xfId="0" applyFont="1" applyFill="1" applyAlignment="1">
      <alignment horizontal="center" vertical="center"/>
    </xf>
    <xf numFmtId="0" fontId="15" fillId="29" borderId="0" xfId="0" applyFont="1" applyFill="1" applyAlignment="1">
      <alignment horizontal="center" vertical="center" wrapText="1"/>
    </xf>
    <xf numFmtId="0" fontId="15" fillId="29" borderId="0" xfId="0" applyFont="1" applyFill="1" applyAlignment="1">
      <alignment vertical="center"/>
    </xf>
    <xf numFmtId="0" fontId="43" fillId="29" borderId="0" xfId="0" applyFont="1" applyFill="1" applyAlignment="1">
      <alignment horizontal="center" vertical="center"/>
    </xf>
    <xf numFmtId="0" fontId="0" fillId="4" borderId="1" xfId="0" applyFill="1" applyBorder="1" applyAlignment="1" applyProtection="1">
      <alignment horizontal="center"/>
      <protection locked="0"/>
    </xf>
    <xf numFmtId="0" fontId="0" fillId="30" borderId="0" xfId="0" applyFill="1"/>
    <xf numFmtId="0" fontId="0" fillId="30" borderId="0" xfId="0" applyFill="1" applyAlignment="1">
      <alignment horizontal="center"/>
    </xf>
    <xf numFmtId="0" fontId="0" fillId="0" borderId="0" xfId="0" applyAlignment="1">
      <alignment horizontal="right"/>
    </xf>
    <xf numFmtId="0" fontId="0" fillId="16" borderId="0" xfId="0" applyFill="1" applyAlignment="1">
      <alignment horizontal="center"/>
    </xf>
    <xf numFmtId="0" fontId="6" fillId="15" borderId="1" xfId="0" applyFont="1" applyFill="1" applyBorder="1" applyAlignment="1">
      <alignment horizontal="center" vertical="center"/>
    </xf>
    <xf numFmtId="0" fontId="0" fillId="4" borderId="0" xfId="0" applyFill="1" applyProtection="1">
      <protection hidden="1"/>
    </xf>
    <xf numFmtId="0" fontId="15" fillId="4" borderId="0" xfId="0" applyFont="1" applyFill="1" applyAlignment="1" applyProtection="1">
      <alignment vertical="center" wrapText="1"/>
      <protection hidden="1"/>
    </xf>
    <xf numFmtId="0" fontId="15" fillId="4" borderId="0" xfId="0" applyFont="1" applyFill="1" applyAlignment="1" applyProtection="1">
      <alignment horizontal="center" wrapText="1"/>
      <protection hidden="1"/>
    </xf>
    <xf numFmtId="0" fontId="15" fillId="4" borderId="0" xfId="0" applyFont="1" applyFill="1" applyAlignment="1" applyProtection="1">
      <alignment horizontal="center" vertical="center" wrapText="1"/>
      <protection hidden="1"/>
    </xf>
    <xf numFmtId="0" fontId="17" fillId="4" borderId="0" xfId="0" applyFont="1" applyFill="1" applyAlignment="1" applyProtection="1">
      <alignment horizontal="center" vertical="center" wrapText="1"/>
      <protection hidden="1"/>
    </xf>
    <xf numFmtId="0" fontId="18" fillId="4" borderId="0" xfId="0" applyFont="1" applyFill="1" applyAlignment="1" applyProtection="1">
      <alignment horizontal="center" vertical="center"/>
      <protection hidden="1"/>
    </xf>
    <xf numFmtId="0" fontId="18" fillId="4" borderId="0" xfId="0" applyFont="1" applyFill="1" applyProtection="1">
      <protection hidden="1"/>
    </xf>
    <xf numFmtId="0" fontId="0" fillId="4" borderId="1" xfId="0" applyFill="1" applyBorder="1" applyProtection="1">
      <protection hidden="1"/>
    </xf>
    <xf numFmtId="0" fontId="23" fillId="4" borderId="0" xfId="0" applyFont="1" applyFill="1" applyAlignment="1" applyProtection="1">
      <alignment horizontal="left" vertical="center"/>
      <protection hidden="1"/>
    </xf>
    <xf numFmtId="0" fontId="14" fillId="4" borderId="0" xfId="0" applyFont="1" applyFill="1" applyAlignment="1" applyProtection="1">
      <alignment vertical="top" wrapText="1"/>
      <protection hidden="1"/>
    </xf>
    <xf numFmtId="0" fontId="6" fillId="4" borderId="0" xfId="0" applyFont="1" applyFill="1" applyAlignment="1" applyProtection="1">
      <alignment horizontal="center"/>
      <protection hidden="1"/>
    </xf>
    <xf numFmtId="0" fontId="2" fillId="4" borderId="0" xfId="0" applyFont="1" applyFill="1" applyAlignment="1" applyProtection="1">
      <alignment vertical="top"/>
      <protection hidden="1"/>
    </xf>
    <xf numFmtId="0" fontId="0" fillId="4" borderId="12" xfId="0" applyFill="1" applyBorder="1" applyAlignment="1" applyProtection="1">
      <alignment horizontal="left" vertical="center"/>
      <protection hidden="1"/>
    </xf>
    <xf numFmtId="0" fontId="0" fillId="4" borderId="12" xfId="0" applyFill="1" applyBorder="1" applyAlignment="1" applyProtection="1">
      <alignment horizontal="left" vertical="center" wrapText="1"/>
      <protection hidden="1"/>
    </xf>
    <xf numFmtId="0" fontId="16" fillId="4" borderId="0" xfId="0" applyFont="1" applyFill="1" applyAlignment="1" applyProtection="1">
      <alignment horizontal="center" vertical="center" wrapText="1"/>
      <protection hidden="1"/>
    </xf>
    <xf numFmtId="0" fontId="19" fillId="4" borderId="0" xfId="0" applyFont="1" applyFill="1" applyAlignment="1" applyProtection="1">
      <alignment horizontal="center" vertical="center" wrapText="1"/>
      <protection hidden="1"/>
    </xf>
    <xf numFmtId="0" fontId="20" fillId="4" borderId="0" xfId="0" applyFont="1" applyFill="1" applyAlignment="1" applyProtection="1">
      <alignment horizontal="center"/>
      <protection hidden="1"/>
    </xf>
    <xf numFmtId="0" fontId="6" fillId="4" borderId="0" xfId="0" applyFont="1" applyFill="1" applyAlignment="1" applyProtection="1">
      <alignment horizontal="left"/>
      <protection hidden="1"/>
    </xf>
    <xf numFmtId="0" fontId="0" fillId="4" borderId="0" xfId="0" applyFill="1" applyAlignment="1" applyProtection="1">
      <alignment vertical="center"/>
      <protection hidden="1"/>
    </xf>
    <xf numFmtId="0" fontId="9" fillId="4" borderId="0" xfId="0" applyFont="1" applyFill="1" applyAlignment="1" applyProtection="1">
      <alignment horizontal="center"/>
      <protection hidden="1"/>
    </xf>
    <xf numFmtId="0" fontId="6" fillId="4" borderId="0" xfId="0" applyFont="1" applyFill="1" applyAlignment="1" applyProtection="1">
      <alignment horizontal="center" vertical="center"/>
      <protection hidden="1"/>
    </xf>
    <xf numFmtId="0" fontId="0" fillId="4" borderId="0" xfId="0" applyFill="1" applyAlignment="1" applyProtection="1">
      <alignment horizontal="left" vertical="center"/>
      <protection hidden="1"/>
    </xf>
    <xf numFmtId="0" fontId="0" fillId="4" borderId="0" xfId="0" applyFill="1" applyAlignment="1" applyProtection="1">
      <alignment vertical="center" wrapText="1"/>
      <protection hidden="1"/>
    </xf>
    <xf numFmtId="0" fontId="0" fillId="4" borderId="0" xfId="0" applyFill="1" applyAlignment="1" applyProtection="1">
      <alignment horizontal="left" vertical="center" wrapText="1"/>
      <protection hidden="1"/>
    </xf>
    <xf numFmtId="0" fontId="21" fillId="4" borderId="7" xfId="0" applyFont="1" applyFill="1" applyBorder="1" applyAlignment="1" applyProtection="1">
      <alignment horizontal="center" vertical="center"/>
      <protection hidden="1"/>
    </xf>
    <xf numFmtId="0" fontId="21" fillId="4" borderId="0" xfId="0" applyFont="1" applyFill="1" applyAlignment="1" applyProtection="1">
      <alignment horizontal="center" vertical="center"/>
      <protection hidden="1"/>
    </xf>
    <xf numFmtId="0" fontId="20" fillId="4" borderId="7" xfId="0" applyFont="1" applyFill="1" applyBorder="1" applyAlignment="1" applyProtection="1">
      <alignment horizontal="center" vertical="center"/>
      <protection hidden="1"/>
    </xf>
    <xf numFmtId="0" fontId="20" fillId="4" borderId="0" xfId="0" applyFont="1" applyFill="1" applyAlignment="1" applyProtection="1">
      <alignment horizontal="center" vertical="center"/>
      <protection hidden="1"/>
    </xf>
    <xf numFmtId="0" fontId="23" fillId="4" borderId="0" xfId="0" applyFont="1" applyFill="1" applyAlignment="1" applyProtection="1">
      <alignment horizontal="left"/>
      <protection hidden="1"/>
    </xf>
    <xf numFmtId="0" fontId="0" fillId="8" borderId="7" xfId="0" applyFill="1" applyBorder="1" applyAlignment="1" applyProtection="1">
      <alignment horizontal="center" vertical="center"/>
      <protection hidden="1"/>
    </xf>
    <xf numFmtId="0" fontId="6" fillId="9" borderId="7" xfId="0" applyFont="1" applyFill="1" applyBorder="1" applyAlignment="1" applyProtection="1">
      <alignment horizontal="center" vertical="center"/>
      <protection hidden="1"/>
    </xf>
    <xf numFmtId="0" fontId="6" fillId="10" borderId="7" xfId="0" applyFont="1" applyFill="1" applyBorder="1" applyAlignment="1" applyProtection="1">
      <alignment horizontal="center" vertical="center"/>
      <protection hidden="1"/>
    </xf>
    <xf numFmtId="0" fontId="6" fillId="3" borderId="7" xfId="0" applyFont="1" applyFill="1" applyBorder="1" applyAlignment="1" applyProtection="1">
      <alignment horizontal="center" vertical="center"/>
      <protection hidden="1"/>
    </xf>
    <xf numFmtId="0" fontId="0" fillId="5" borderId="7" xfId="0" applyFill="1" applyBorder="1" applyAlignment="1" applyProtection="1">
      <alignment horizontal="center" vertical="center"/>
      <protection hidden="1"/>
    </xf>
    <xf numFmtId="0" fontId="6" fillId="8" borderId="7" xfId="0" applyFont="1" applyFill="1" applyBorder="1" applyAlignment="1" applyProtection="1">
      <alignment horizontal="center" vertical="center"/>
      <protection hidden="1"/>
    </xf>
    <xf numFmtId="0" fontId="6" fillId="12" borderId="7" xfId="0" applyFont="1" applyFill="1" applyBorder="1" applyAlignment="1" applyProtection="1">
      <alignment horizontal="center" vertical="center"/>
      <protection hidden="1"/>
    </xf>
    <xf numFmtId="0" fontId="15" fillId="4" borderId="0" xfId="0" applyFont="1" applyFill="1" applyAlignment="1" applyProtection="1">
      <alignment wrapText="1"/>
      <protection hidden="1"/>
    </xf>
    <xf numFmtId="0" fontId="16" fillId="4" borderId="0" xfId="0" applyFont="1" applyFill="1" applyAlignment="1" applyProtection="1">
      <alignment vertical="center" wrapText="1"/>
      <protection hidden="1"/>
    </xf>
    <xf numFmtId="0" fontId="21" fillId="4" borderId="7" xfId="0" applyFont="1" applyFill="1" applyBorder="1" applyAlignment="1" applyProtection="1">
      <alignment horizontal="center"/>
      <protection hidden="1"/>
    </xf>
    <xf numFmtId="0" fontId="20" fillId="4" borderId="7" xfId="0" applyFont="1" applyFill="1" applyBorder="1" applyAlignment="1" applyProtection="1">
      <alignment horizontal="center"/>
      <protection hidden="1"/>
    </xf>
    <xf numFmtId="0" fontId="9" fillId="4" borderId="0" xfId="0" applyFont="1" applyFill="1" applyAlignment="1">
      <alignment horizontal="center" vertical="center"/>
    </xf>
    <xf numFmtId="0" fontId="23" fillId="4" borderId="0" xfId="0" applyFont="1" applyFill="1" applyAlignment="1">
      <alignment horizontal="center" vertical="center"/>
    </xf>
    <xf numFmtId="0" fontId="6" fillId="4" borderId="0" xfId="0" applyFont="1" applyFill="1" applyAlignment="1">
      <alignment horizontal="center" vertical="center"/>
    </xf>
    <xf numFmtId="0" fontId="23" fillId="4" borderId="7" xfId="0" applyFont="1" applyFill="1" applyBorder="1" applyAlignment="1">
      <alignment horizontal="center" vertical="center"/>
    </xf>
    <xf numFmtId="0" fontId="23" fillId="0" borderId="0" xfId="0" applyFont="1" applyAlignment="1" applyProtection="1">
      <alignment horizontal="center" vertical="top" wrapText="1"/>
      <protection hidden="1"/>
    </xf>
    <xf numFmtId="0" fontId="0" fillId="0" borderId="0" xfId="0" applyAlignment="1" applyProtection="1">
      <alignment vertical="top" wrapText="1"/>
      <protection hidden="1"/>
    </xf>
    <xf numFmtId="0" fontId="15" fillId="0" borderId="0" xfId="0" applyFont="1" applyAlignment="1" applyProtection="1">
      <alignment vertical="top" wrapText="1"/>
      <protection hidden="1"/>
    </xf>
    <xf numFmtId="0" fontId="0" fillId="0" borderId="0" xfId="0" applyAlignment="1" applyProtection="1">
      <alignment horizontal="center" vertical="top" wrapText="1"/>
      <protection hidden="1"/>
    </xf>
    <xf numFmtId="0" fontId="14" fillId="25" borderId="18" xfId="0" applyFont="1" applyFill="1" applyBorder="1" applyAlignment="1" applyProtection="1">
      <alignment vertical="top" wrapText="1"/>
      <protection hidden="1"/>
    </xf>
    <xf numFmtId="0" fontId="14" fillId="0" borderId="0" xfId="0" applyFont="1" applyAlignment="1" applyProtection="1">
      <alignment vertical="top" wrapText="1"/>
      <protection hidden="1"/>
    </xf>
    <xf numFmtId="0" fontId="0" fillId="0" borderId="32" xfId="0" applyBorder="1" applyAlignment="1" applyProtection="1">
      <alignment horizontal="center" vertical="top" wrapText="1"/>
      <protection hidden="1"/>
    </xf>
    <xf numFmtId="0" fontId="0" fillId="26" borderId="36" xfId="0" applyFill="1" applyBorder="1" applyAlignment="1" applyProtection="1">
      <alignment horizontal="center" vertical="top" wrapText="1"/>
      <protection hidden="1"/>
    </xf>
    <xf numFmtId="0" fontId="0" fillId="26" borderId="37" xfId="0" applyFill="1" applyBorder="1" applyAlignment="1" applyProtection="1">
      <alignment horizontal="center" vertical="top" wrapText="1"/>
      <protection hidden="1"/>
    </xf>
    <xf numFmtId="0" fontId="0" fillId="0" borderId="2" xfId="0" applyBorder="1" applyAlignment="1" applyProtection="1">
      <alignment horizontal="center" vertical="top" wrapText="1"/>
      <protection hidden="1"/>
    </xf>
    <xf numFmtId="0" fontId="0" fillId="0" borderId="35" xfId="0" applyBorder="1" applyAlignment="1" applyProtection="1">
      <alignment horizontal="center" vertical="top" wrapText="1"/>
      <protection hidden="1"/>
    </xf>
    <xf numFmtId="0" fontId="0" fillId="26" borderId="38" xfId="0" applyFill="1" applyBorder="1" applyAlignment="1" applyProtection="1">
      <alignment horizontal="center" vertical="top" wrapText="1"/>
      <protection hidden="1"/>
    </xf>
    <xf numFmtId="0" fontId="15" fillId="16" borderId="0" xfId="0" applyFont="1" applyFill="1" applyAlignment="1" applyProtection="1">
      <alignment vertical="top" wrapText="1"/>
      <protection hidden="1"/>
    </xf>
    <xf numFmtId="0" fontId="0" fillId="7" borderId="10" xfId="0" applyFill="1" applyBorder="1" applyAlignment="1" applyProtection="1">
      <alignment vertical="top" wrapText="1"/>
      <protection hidden="1"/>
    </xf>
    <xf numFmtId="0" fontId="0" fillId="7" borderId="11" xfId="0" applyFill="1" applyBorder="1" applyAlignment="1" applyProtection="1">
      <alignment vertical="top" wrapText="1"/>
      <protection hidden="1"/>
    </xf>
    <xf numFmtId="0" fontId="0" fillId="0" borderId="1" xfId="0" applyBorder="1" applyAlignment="1" applyProtection="1">
      <alignment horizontal="center" vertical="top" wrapText="1"/>
      <protection hidden="1"/>
    </xf>
    <xf numFmtId="0" fontId="46" fillId="0" borderId="34" xfId="0" applyFont="1" applyBorder="1" applyAlignment="1" applyProtection="1">
      <alignment horizontal="center" vertical="top" wrapText="1"/>
      <protection hidden="1"/>
    </xf>
    <xf numFmtId="0" fontId="0" fillId="7" borderId="30" xfId="0" applyFill="1" applyBorder="1" applyAlignment="1" applyProtection="1">
      <alignment vertical="top" wrapText="1"/>
      <protection hidden="1"/>
    </xf>
    <xf numFmtId="0" fontId="30" fillId="7" borderId="14" xfId="0" applyFont="1" applyFill="1" applyBorder="1" applyAlignment="1" applyProtection="1">
      <alignment horizontal="center" vertical="top" wrapText="1"/>
      <protection hidden="1"/>
    </xf>
    <xf numFmtId="0" fontId="16" fillId="7" borderId="7" xfId="0" applyFont="1" applyFill="1" applyBorder="1" applyAlignment="1" applyProtection="1">
      <alignment horizontal="center" vertical="top" wrapText="1"/>
      <protection hidden="1"/>
    </xf>
    <xf numFmtId="0" fontId="16" fillId="0" borderId="0" xfId="0" applyFont="1" applyAlignment="1" applyProtection="1">
      <alignment horizontal="center" vertical="top" wrapText="1"/>
      <protection hidden="1"/>
    </xf>
    <xf numFmtId="0" fontId="0" fillId="0" borderId="34" xfId="0" applyBorder="1" applyAlignment="1" applyProtection="1">
      <alignment horizontal="center" vertical="top" wrapText="1"/>
      <protection hidden="1"/>
    </xf>
    <xf numFmtId="0" fontId="3" fillId="7" borderId="0" xfId="0" applyFont="1" applyFill="1" applyAlignment="1" applyProtection="1">
      <alignment vertical="top" wrapText="1"/>
      <protection hidden="1"/>
    </xf>
    <xf numFmtId="0" fontId="3" fillId="7" borderId="12" xfId="0" applyFont="1" applyFill="1" applyBorder="1" applyAlignment="1" applyProtection="1">
      <alignment horizontal="center" vertical="top" wrapText="1"/>
      <protection hidden="1"/>
    </xf>
    <xf numFmtId="0" fontId="16" fillId="7" borderId="18" xfId="0" applyFont="1" applyFill="1" applyBorder="1" applyAlignment="1" applyProtection="1">
      <alignment horizontal="center" vertical="top" wrapText="1"/>
      <protection hidden="1"/>
    </xf>
    <xf numFmtId="0" fontId="0" fillId="9" borderId="30" xfId="0" applyFill="1" applyBorder="1" applyAlignment="1" applyProtection="1">
      <alignment vertical="top" wrapText="1"/>
      <protection hidden="1"/>
    </xf>
    <xf numFmtId="0" fontId="0" fillId="9" borderId="13" xfId="0" applyFill="1" applyBorder="1" applyAlignment="1" applyProtection="1">
      <alignment vertical="top" wrapText="1"/>
      <protection hidden="1"/>
    </xf>
    <xf numFmtId="0" fontId="0" fillId="9" borderId="14" xfId="0" applyFill="1" applyBorder="1" applyAlignment="1" applyProtection="1">
      <alignment horizontal="center" vertical="top" wrapText="1"/>
      <protection hidden="1"/>
    </xf>
    <xf numFmtId="0" fontId="15" fillId="9" borderId="20" xfId="0" applyFont="1" applyFill="1" applyBorder="1" applyAlignment="1" applyProtection="1">
      <alignment horizontal="center" vertical="top" wrapText="1"/>
      <protection hidden="1"/>
    </xf>
    <xf numFmtId="0" fontId="15" fillId="0" borderId="0" xfId="0" applyFont="1" applyAlignment="1" applyProtection="1">
      <alignment horizontal="center" vertical="top" wrapText="1"/>
      <protection hidden="1"/>
    </xf>
    <xf numFmtId="0" fontId="3" fillId="7" borderId="13" xfId="0" applyFont="1" applyFill="1" applyBorder="1" applyAlignment="1" applyProtection="1">
      <alignment vertical="top" wrapText="1"/>
      <protection hidden="1"/>
    </xf>
    <xf numFmtId="0" fontId="3" fillId="7" borderId="14" xfId="0" applyFont="1" applyFill="1" applyBorder="1" applyAlignment="1" applyProtection="1">
      <alignment horizontal="center" vertical="top" wrapText="1"/>
      <protection hidden="1"/>
    </xf>
    <xf numFmtId="0" fontId="3" fillId="7" borderId="30" xfId="0" applyFont="1" applyFill="1" applyBorder="1" applyAlignment="1" applyProtection="1">
      <alignment vertical="top" wrapText="1"/>
      <protection hidden="1"/>
    </xf>
    <xf numFmtId="0" fontId="0" fillId="16" borderId="0" xfId="0" applyFill="1" applyAlignment="1" applyProtection="1">
      <alignment vertical="top" wrapText="1"/>
      <protection hidden="1"/>
    </xf>
    <xf numFmtId="0" fontId="0" fillId="0" borderId="0" xfId="0" applyAlignment="1" applyProtection="1">
      <alignment vertical="top"/>
      <protection hidden="1"/>
    </xf>
    <xf numFmtId="0" fontId="1" fillId="24" borderId="1" xfId="0" applyFont="1" applyFill="1" applyBorder="1" applyAlignment="1" applyProtection="1">
      <alignment vertical="top"/>
      <protection hidden="1"/>
    </xf>
    <xf numFmtId="0" fontId="10" fillId="0" borderId="1" xfId="0" applyFont="1" applyBorder="1" applyAlignment="1" applyProtection="1">
      <alignment horizontal="center" vertical="center"/>
      <protection hidden="1"/>
    </xf>
    <xf numFmtId="0" fontId="0" fillId="0" borderId="1" xfId="0" applyBorder="1" applyAlignment="1" applyProtection="1">
      <alignment horizontal="center" vertical="top"/>
      <protection hidden="1"/>
    </xf>
    <xf numFmtId="0" fontId="0" fillId="16" borderId="0" xfId="0" applyFill="1" applyAlignment="1" applyProtection="1">
      <alignment vertical="top"/>
      <protection hidden="1"/>
    </xf>
    <xf numFmtId="0" fontId="0" fillId="32" borderId="0" xfId="0" applyFill="1"/>
    <xf numFmtId="0" fontId="0" fillId="4" borderId="0" xfId="0" applyFill="1" applyAlignment="1" applyProtection="1">
      <alignment vertical="top"/>
      <protection hidden="1"/>
    </xf>
    <xf numFmtId="0" fontId="10" fillId="4" borderId="0" xfId="0" applyFont="1" applyFill="1" applyAlignment="1" applyProtection="1">
      <alignment horizontal="center" vertical="center"/>
      <protection hidden="1"/>
    </xf>
    <xf numFmtId="0" fontId="0" fillId="4" borderId="0" xfId="0" applyFill="1" applyAlignment="1" applyProtection="1">
      <alignment horizontal="center" vertical="top"/>
      <protection hidden="1"/>
    </xf>
    <xf numFmtId="0" fontId="10" fillId="4" borderId="0" xfId="0" applyFont="1" applyFill="1" applyAlignment="1" applyProtection="1">
      <alignment horizontal="center" vertical="top"/>
      <protection hidden="1"/>
    </xf>
    <xf numFmtId="0" fontId="0" fillId="4" borderId="0" xfId="0" applyFill="1" applyAlignment="1" applyProtection="1">
      <alignment vertical="top" wrapText="1"/>
      <protection hidden="1"/>
    </xf>
    <xf numFmtId="0" fontId="0" fillId="4" borderId="0" xfId="0" applyFill="1" applyAlignment="1" applyProtection="1">
      <alignment horizontal="center" vertical="top" wrapText="1"/>
      <protection hidden="1"/>
    </xf>
    <xf numFmtId="0" fontId="15" fillId="4" borderId="0" xfId="0" applyFont="1" applyFill="1" applyAlignment="1" applyProtection="1">
      <alignment vertical="top" wrapText="1"/>
      <protection hidden="1"/>
    </xf>
    <xf numFmtId="0" fontId="23" fillId="4" borderId="0" xfId="0" applyFont="1" applyFill="1" applyAlignment="1" applyProtection="1">
      <alignment horizontal="center" vertical="top" wrapText="1"/>
      <protection hidden="1"/>
    </xf>
    <xf numFmtId="0" fontId="16" fillId="4" borderId="0" xfId="0" applyFont="1" applyFill="1" applyAlignment="1" applyProtection="1">
      <alignment horizontal="center" vertical="top" wrapText="1"/>
      <protection hidden="1"/>
    </xf>
    <xf numFmtId="0" fontId="15" fillId="4" borderId="0" xfId="0" applyFont="1" applyFill="1" applyAlignment="1" applyProtection="1">
      <alignment horizontal="center" vertical="top" wrapText="1"/>
      <protection hidden="1"/>
    </xf>
    <xf numFmtId="0" fontId="10" fillId="4" borderId="41" xfId="0" applyFont="1" applyFill="1" applyBorder="1" applyAlignment="1" applyProtection="1">
      <alignment vertical="center"/>
      <protection hidden="1"/>
    </xf>
    <xf numFmtId="0" fontId="0" fillId="4" borderId="41" xfId="0" applyFill="1" applyBorder="1" applyAlignment="1" applyProtection="1">
      <alignment vertical="top"/>
      <protection hidden="1"/>
    </xf>
    <xf numFmtId="0" fontId="48" fillId="4" borderId="41" xfId="0" applyFont="1" applyFill="1" applyBorder="1" applyAlignment="1" applyProtection="1">
      <alignment vertical="top" wrapText="1"/>
      <protection hidden="1"/>
    </xf>
    <xf numFmtId="0" fontId="2" fillId="4" borderId="0" xfId="0" applyFont="1" applyFill="1" applyAlignment="1">
      <alignment horizontal="right" vertical="center"/>
    </xf>
    <xf numFmtId="0" fontId="22" fillId="4" borderId="0" xfId="0" applyFont="1" applyFill="1" applyAlignment="1">
      <alignment horizontal="right" vertical="center" wrapText="1"/>
    </xf>
    <xf numFmtId="0" fontId="38" fillId="17" borderId="11" xfId="0" applyFont="1" applyFill="1" applyBorder="1" applyAlignment="1">
      <alignment horizontal="center"/>
    </xf>
    <xf numFmtId="0" fontId="38" fillId="17" borderId="0" xfId="0" applyFont="1" applyFill="1" applyAlignment="1">
      <alignment horizontal="center"/>
    </xf>
    <xf numFmtId="0" fontId="2" fillId="3" borderId="6"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2" fillId="3" borderId="5" xfId="0" applyFont="1" applyFill="1" applyBorder="1" applyAlignment="1" applyProtection="1">
      <alignment horizontal="center"/>
      <protection locked="0"/>
    </xf>
    <xf numFmtId="0" fontId="0" fillId="0" borderId="6"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1" fillId="5" borderId="0" xfId="0" applyFont="1" applyFill="1" applyAlignment="1">
      <alignment horizontal="center"/>
    </xf>
    <xf numFmtId="0" fontId="0" fillId="4" borderId="1" xfId="0" applyFill="1" applyBorder="1" applyAlignment="1" applyProtection="1">
      <alignment horizontal="left"/>
      <protection locked="0"/>
    </xf>
    <xf numFmtId="0" fontId="4" fillId="4" borderId="0" xfId="0" applyFont="1" applyFill="1" applyAlignment="1">
      <alignment horizontal="center"/>
    </xf>
    <xf numFmtId="0" fontId="7" fillId="4" borderId="0" xfId="0" applyFont="1" applyFill="1" applyAlignment="1">
      <alignment horizontal="center" wrapText="1"/>
    </xf>
    <xf numFmtId="0" fontId="8" fillId="4" borderId="0" xfId="0" applyFont="1" applyFill="1" applyAlignment="1">
      <alignment horizontal="center"/>
    </xf>
    <xf numFmtId="0" fontId="0" fillId="4" borderId="2" xfId="0" applyFill="1" applyBorder="1" applyAlignment="1" applyProtection="1">
      <alignment horizontal="left"/>
      <protection locked="0"/>
    </xf>
    <xf numFmtId="0" fontId="0" fillId="4" borderId="3" xfId="0" applyFill="1" applyBorder="1" applyAlignment="1" applyProtection="1">
      <alignment horizontal="left"/>
      <protection locked="0"/>
    </xf>
    <xf numFmtId="0" fontId="0" fillId="4" borderId="4" xfId="0" applyFill="1" applyBorder="1" applyAlignment="1" applyProtection="1">
      <alignment horizontal="left"/>
      <protection locked="0"/>
    </xf>
    <xf numFmtId="0" fontId="1" fillId="5" borderId="0" xfId="0" applyFont="1" applyFill="1" applyAlignment="1">
      <alignment horizontal="left"/>
    </xf>
    <xf numFmtId="0" fontId="1" fillId="5" borderId="5" xfId="0" applyFont="1" applyFill="1" applyBorder="1" applyAlignment="1">
      <alignment horizontal="left"/>
    </xf>
    <xf numFmtId="0" fontId="2" fillId="4" borderId="0" xfId="0" applyFont="1" applyFill="1" applyAlignment="1">
      <alignment horizontal="left"/>
    </xf>
    <xf numFmtId="0" fontId="41" fillId="4" borderId="30" xfId="0" applyFont="1" applyFill="1" applyBorder="1" applyAlignment="1">
      <alignment horizontal="center"/>
    </xf>
    <xf numFmtId="0" fontId="41" fillId="4" borderId="13" xfId="0" applyFont="1" applyFill="1" applyBorder="1" applyAlignment="1">
      <alignment horizontal="center"/>
    </xf>
    <xf numFmtId="0" fontId="0" fillId="4" borderId="1" xfId="0" applyFill="1" applyBorder="1" applyAlignment="1">
      <alignment horizontal="left"/>
    </xf>
    <xf numFmtId="0" fontId="1" fillId="5" borderId="0" xfId="0" applyFont="1" applyFill="1" applyAlignment="1">
      <alignment horizontal="center" vertical="center" wrapText="1"/>
    </xf>
    <xf numFmtId="0" fontId="0" fillId="3" borderId="1" xfId="0" applyFill="1" applyBorder="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9" fillId="4" borderId="0" xfId="0" applyFont="1" applyFill="1" applyAlignment="1">
      <alignment horizontal="center" vertical="center" wrapText="1"/>
    </xf>
    <xf numFmtId="0" fontId="13" fillId="5" borderId="8" xfId="0" applyFont="1" applyFill="1" applyBorder="1" applyAlignment="1">
      <alignment horizontal="left"/>
    </xf>
    <xf numFmtId="0" fontId="13" fillId="5" borderId="9" xfId="0" applyFont="1" applyFill="1" applyBorder="1" applyAlignment="1">
      <alignment horizontal="left"/>
    </xf>
    <xf numFmtId="0" fontId="2" fillId="4" borderId="0" xfId="0" applyFont="1" applyFill="1" applyAlignment="1">
      <alignment horizontal="right"/>
    </xf>
    <xf numFmtId="0" fontId="2" fillId="4" borderId="5" xfId="0" applyFont="1" applyFill="1" applyBorder="1" applyAlignment="1">
      <alignment horizontal="right"/>
    </xf>
    <xf numFmtId="0" fontId="21" fillId="0" borderId="18" xfId="0" applyFont="1" applyBorder="1" applyAlignment="1" applyProtection="1">
      <alignment horizontal="center" vertical="center"/>
      <protection hidden="1"/>
    </xf>
    <xf numFmtId="0" fontId="21" fillId="0" borderId="19" xfId="0" applyFont="1" applyBorder="1" applyAlignment="1" applyProtection="1">
      <alignment horizontal="center" vertical="center"/>
      <protection hidden="1"/>
    </xf>
    <xf numFmtId="0" fontId="21" fillId="0" borderId="20" xfId="0" applyFont="1" applyBorder="1" applyAlignment="1" applyProtection="1">
      <alignment horizontal="center" vertical="center"/>
      <protection hidden="1"/>
    </xf>
    <xf numFmtId="0" fontId="15" fillId="4" borderId="0" xfId="0" applyFont="1" applyFill="1" applyAlignment="1" applyProtection="1">
      <alignment horizontal="center" vertical="center" wrapText="1"/>
      <protection hidden="1"/>
    </xf>
    <xf numFmtId="0" fontId="9" fillId="4" borderId="0" xfId="0" applyFont="1" applyFill="1" applyAlignment="1" applyProtection="1">
      <alignment horizontal="center"/>
      <protection hidden="1"/>
    </xf>
    <xf numFmtId="0" fontId="9" fillId="4" borderId="12" xfId="0" applyFont="1" applyFill="1" applyBorder="1" applyAlignment="1" applyProtection="1">
      <alignment horizontal="center"/>
      <protection hidden="1"/>
    </xf>
    <xf numFmtId="0" fontId="0" fillId="4" borderId="0" xfId="0" applyFill="1" applyAlignment="1" applyProtection="1">
      <alignment horizontal="left" vertical="center"/>
      <protection hidden="1"/>
    </xf>
    <xf numFmtId="0" fontId="0" fillId="4" borderId="0" xfId="0" applyFill="1" applyAlignment="1" applyProtection="1">
      <alignment horizontal="left" vertical="center" wrapText="1"/>
      <protection hidden="1"/>
    </xf>
    <xf numFmtId="0" fontId="22" fillId="12" borderId="0" xfId="0" applyFont="1" applyFill="1" applyAlignment="1" applyProtection="1">
      <alignment vertical="top" wrapText="1"/>
      <protection hidden="1"/>
    </xf>
    <xf numFmtId="0" fontId="39" fillId="4" borderId="0" xfId="0" applyFont="1" applyFill="1" applyAlignment="1" applyProtection="1">
      <alignment horizontal="left" vertical="top"/>
      <protection hidden="1"/>
    </xf>
    <xf numFmtId="0" fontId="13" fillId="4" borderId="0" xfId="0" applyFont="1" applyFill="1" applyAlignment="1" applyProtection="1">
      <alignment horizontal="left" vertical="top" wrapText="1"/>
      <protection hidden="1"/>
    </xf>
    <xf numFmtId="0" fontId="24" fillId="4" borderId="0" xfId="0" applyFont="1" applyFill="1" applyAlignment="1" applyProtection="1">
      <alignment horizontal="center"/>
      <protection hidden="1"/>
    </xf>
    <xf numFmtId="0" fontId="24" fillId="4" borderId="12" xfId="0" applyFont="1" applyFill="1" applyBorder="1" applyAlignment="1" applyProtection="1">
      <alignment horizontal="center"/>
      <protection hidden="1"/>
    </xf>
    <xf numFmtId="0" fontId="15" fillId="4" borderId="0" xfId="0" applyFont="1" applyFill="1" applyAlignment="1" applyProtection="1">
      <alignment horizontal="justify" vertical="top" wrapText="1"/>
      <protection hidden="1"/>
    </xf>
    <xf numFmtId="0" fontId="15" fillId="4" borderId="0" xfId="0" applyFont="1" applyFill="1" applyAlignment="1" applyProtection="1">
      <alignment horizontal="justify" vertical="top"/>
      <protection hidden="1"/>
    </xf>
    <xf numFmtId="0" fontId="13" fillId="11" borderId="0" xfId="0" applyFont="1" applyFill="1" applyProtection="1">
      <protection hidden="1"/>
    </xf>
    <xf numFmtId="0" fontId="16" fillId="7" borderId="0" xfId="0" applyFont="1" applyFill="1" applyAlignment="1" applyProtection="1">
      <alignment horizontal="center" vertical="center" wrapText="1"/>
      <protection hidden="1"/>
    </xf>
    <xf numFmtId="0" fontId="17" fillId="3" borderId="0" xfId="0" applyFont="1" applyFill="1" applyAlignment="1" applyProtection="1">
      <alignment horizontal="center" vertical="center" wrapText="1"/>
      <protection hidden="1"/>
    </xf>
    <xf numFmtId="0" fontId="17" fillId="12" borderId="0" xfId="0" applyFont="1" applyFill="1" applyAlignment="1" applyProtection="1">
      <alignment horizontal="center" vertical="center" wrapText="1"/>
      <protection hidden="1"/>
    </xf>
    <xf numFmtId="0" fontId="24" fillId="4" borderId="0" xfId="0" applyFont="1" applyFill="1" applyAlignment="1" applyProtection="1">
      <alignment horizontal="center" wrapText="1"/>
      <protection hidden="1"/>
    </xf>
    <xf numFmtId="0" fontId="1" fillId="14" borderId="0" xfId="0" applyFont="1" applyFill="1" applyAlignment="1" applyProtection="1">
      <alignment horizontal="center" vertical="center" textRotation="90" wrapText="1"/>
      <protection hidden="1"/>
    </xf>
    <xf numFmtId="0" fontId="2" fillId="12" borderId="0" xfId="0" applyFont="1" applyFill="1" applyAlignment="1" applyProtection="1">
      <alignment horizontal="left" vertical="top" wrapText="1"/>
      <protection hidden="1"/>
    </xf>
    <xf numFmtId="0" fontId="30" fillId="14" borderId="0" xfId="0" applyFont="1" applyFill="1" applyAlignment="1" applyProtection="1">
      <alignment horizontal="center" vertical="center" wrapText="1"/>
      <protection hidden="1"/>
    </xf>
    <xf numFmtId="0" fontId="2" fillId="12" borderId="0" xfId="0" applyFont="1" applyFill="1" applyAlignment="1" applyProtection="1">
      <alignment vertical="top" wrapText="1"/>
      <protection hidden="1"/>
    </xf>
    <xf numFmtId="0" fontId="17" fillId="5" borderId="0" xfId="0" applyFont="1" applyFill="1" applyAlignment="1" applyProtection="1">
      <alignment horizontal="center" vertical="center" wrapText="1"/>
      <protection hidden="1"/>
    </xf>
    <xf numFmtId="0" fontId="10" fillId="4" borderId="0" xfId="0" applyFont="1" applyFill="1" applyAlignment="1" applyProtection="1">
      <alignment horizontal="left" vertical="top" wrapText="1"/>
      <protection hidden="1"/>
    </xf>
    <xf numFmtId="0" fontId="0" fillId="4" borderId="0" xfId="0" applyFill="1" applyAlignment="1" applyProtection="1">
      <alignment horizontal="left" vertical="top"/>
      <protection hidden="1"/>
    </xf>
    <xf numFmtId="0" fontId="13" fillId="4" borderId="0" xfId="0" applyFont="1" applyFill="1" applyAlignment="1" applyProtection="1">
      <alignment horizontal="left"/>
      <protection hidden="1"/>
    </xf>
    <xf numFmtId="0" fontId="45" fillId="4" borderId="18" xfId="0" applyFont="1" applyFill="1" applyBorder="1" applyAlignment="1" applyProtection="1">
      <alignment horizontal="center" vertical="center"/>
      <protection hidden="1"/>
    </xf>
    <xf numFmtId="0" fontId="45" fillId="4" borderId="19" xfId="0" applyFont="1" applyFill="1" applyBorder="1" applyAlignment="1" applyProtection="1">
      <alignment horizontal="center" vertical="center"/>
      <protection hidden="1"/>
    </xf>
    <xf numFmtId="0" fontId="45" fillId="4" borderId="20" xfId="0" applyFont="1" applyFill="1" applyBorder="1" applyAlignment="1" applyProtection="1">
      <alignment horizontal="center" vertical="center"/>
      <protection hidden="1"/>
    </xf>
    <xf numFmtId="0" fontId="32" fillId="13" borderId="0" xfId="0" applyFont="1" applyFill="1" applyAlignment="1" applyProtection="1">
      <alignment horizontal="center" vertical="center" wrapText="1"/>
      <protection hidden="1"/>
    </xf>
    <xf numFmtId="0" fontId="32" fillId="13" borderId="13" xfId="0" applyFont="1" applyFill="1" applyBorder="1" applyAlignment="1" applyProtection="1">
      <alignment horizontal="center" vertical="center" wrapText="1"/>
      <protection hidden="1"/>
    </xf>
    <xf numFmtId="0" fontId="16" fillId="11" borderId="0" xfId="0" applyFont="1" applyFill="1" applyAlignment="1" applyProtection="1">
      <alignment horizontal="center" vertical="center" wrapText="1"/>
      <protection hidden="1"/>
    </xf>
    <xf numFmtId="0" fontId="15" fillId="4" borderId="0" xfId="0" applyFont="1" applyFill="1" applyAlignment="1" applyProtection="1">
      <alignment horizontal="center" wrapText="1"/>
      <protection hidden="1"/>
    </xf>
    <xf numFmtId="0" fontId="6" fillId="9" borderId="15" xfId="0" applyFont="1" applyFill="1" applyBorder="1" applyAlignment="1" applyProtection="1">
      <alignment horizontal="center" vertical="center"/>
      <protection hidden="1"/>
    </xf>
    <xf numFmtId="0" fontId="6" fillId="9" borderId="16" xfId="0" applyFont="1" applyFill="1" applyBorder="1" applyAlignment="1" applyProtection="1">
      <alignment horizontal="center" vertical="center"/>
      <protection hidden="1"/>
    </xf>
    <xf numFmtId="0" fontId="6" fillId="9" borderId="17" xfId="0" applyFont="1" applyFill="1" applyBorder="1" applyAlignment="1" applyProtection="1">
      <alignment horizontal="center" vertical="center"/>
      <protection hidden="1"/>
    </xf>
    <xf numFmtId="0" fontId="31" fillId="4" borderId="0" xfId="0" applyFont="1" applyFill="1" applyAlignment="1" applyProtection="1">
      <alignment horizontal="center"/>
      <protection hidden="1"/>
    </xf>
    <xf numFmtId="0" fontId="31" fillId="4" borderId="12" xfId="0" applyFont="1" applyFill="1" applyBorder="1" applyAlignment="1" applyProtection="1">
      <alignment horizontal="center"/>
      <protection hidden="1"/>
    </xf>
    <xf numFmtId="0" fontId="6" fillId="15" borderId="15" xfId="0" applyFont="1" applyFill="1" applyBorder="1" applyAlignment="1" applyProtection="1">
      <alignment horizontal="center" vertical="center"/>
      <protection hidden="1"/>
    </xf>
    <xf numFmtId="0" fontId="6" fillId="15" borderId="16" xfId="0" applyFont="1" applyFill="1" applyBorder="1" applyAlignment="1" applyProtection="1">
      <alignment horizontal="center" vertical="center"/>
      <protection hidden="1"/>
    </xf>
    <xf numFmtId="0" fontId="6" fillId="15" borderId="17" xfId="0" applyFont="1" applyFill="1" applyBorder="1" applyAlignment="1" applyProtection="1">
      <alignment horizontal="center" vertical="center"/>
      <protection hidden="1"/>
    </xf>
    <xf numFmtId="0" fontId="13" fillId="4" borderId="0" xfId="0" applyFont="1" applyFill="1" applyAlignment="1" applyProtection="1">
      <alignment horizontal="left" vertical="top"/>
      <protection hidden="1"/>
    </xf>
    <xf numFmtId="0" fontId="0" fillId="4" borderId="0" xfId="0" applyFill="1" applyAlignment="1">
      <alignment horizontal="left" vertical="top" wrapText="1"/>
    </xf>
    <xf numFmtId="0" fontId="20" fillId="4" borderId="0" xfId="0" applyFont="1" applyFill="1" applyAlignment="1">
      <alignment horizontal="center" vertical="center"/>
    </xf>
    <xf numFmtId="0" fontId="20" fillId="4" borderId="12" xfId="0" applyFont="1" applyFill="1" applyBorder="1" applyAlignment="1">
      <alignment horizontal="center" vertical="center"/>
    </xf>
    <xf numFmtId="0" fontId="1" fillId="11" borderId="0" xfId="0" applyFont="1" applyFill="1" applyAlignment="1">
      <alignment horizontal="left"/>
    </xf>
    <xf numFmtId="0" fontId="9" fillId="4" borderId="0" xfId="0" applyFont="1" applyFill="1" applyAlignment="1">
      <alignment horizontal="left"/>
    </xf>
    <xf numFmtId="0" fontId="33" fillId="4" borderId="0" xfId="0" applyFont="1" applyFill="1" applyAlignment="1">
      <alignment horizontal="left"/>
    </xf>
    <xf numFmtId="0" fontId="9" fillId="4" borderId="0" xfId="0" applyFont="1" applyFill="1" applyAlignment="1">
      <alignment horizontal="center" vertical="center"/>
    </xf>
    <xf numFmtId="0" fontId="23" fillId="20" borderId="15" xfId="0" applyFont="1" applyFill="1" applyBorder="1" applyAlignment="1">
      <alignment horizontal="center" vertical="center"/>
    </xf>
    <xf numFmtId="0" fontId="23" fillId="20" borderId="16" xfId="0" applyFont="1" applyFill="1" applyBorder="1" applyAlignment="1">
      <alignment horizontal="center" vertical="center"/>
    </xf>
    <xf numFmtId="0" fontId="23" fillId="20" borderId="17" xfId="0" applyFont="1" applyFill="1" applyBorder="1" applyAlignment="1">
      <alignment horizontal="center" vertical="center"/>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47" fillId="9" borderId="6" xfId="0" applyFont="1" applyFill="1" applyBorder="1" applyAlignment="1">
      <alignment horizontal="center" vertical="center"/>
    </xf>
    <xf numFmtId="0" fontId="47" fillId="9" borderId="0" xfId="0" applyFont="1" applyFill="1" applyAlignment="1">
      <alignment horizontal="center" vertical="center"/>
    </xf>
    <xf numFmtId="0" fontId="14" fillId="0" borderId="1" xfId="0" applyFont="1" applyBorder="1" applyAlignment="1">
      <alignment horizontal="center" vertical="center"/>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23" fillId="9" borderId="24" xfId="0" applyFont="1" applyFill="1" applyBorder="1" applyAlignment="1">
      <alignment horizontal="center" vertical="center"/>
    </xf>
    <xf numFmtId="0" fontId="23" fillId="9" borderId="25" xfId="0" applyFont="1" applyFill="1" applyBorder="1" applyAlignment="1">
      <alignment horizontal="center" vertical="center"/>
    </xf>
    <xf numFmtId="0" fontId="23" fillId="9" borderId="26" xfId="0" applyFont="1" applyFill="1" applyBorder="1" applyAlignment="1">
      <alignment horizontal="center" vertical="center"/>
    </xf>
    <xf numFmtId="0" fontId="23" fillId="9" borderId="1" xfId="0" applyFont="1" applyFill="1" applyBorder="1" applyAlignment="1">
      <alignment horizontal="center" vertical="center"/>
    </xf>
    <xf numFmtId="0" fontId="43" fillId="23" borderId="1" xfId="0" applyFont="1" applyFill="1" applyBorder="1" applyAlignment="1">
      <alignment horizontal="center" vertical="center" wrapText="1"/>
    </xf>
    <xf numFmtId="0" fontId="6" fillId="21" borderId="1" xfId="0" applyFont="1" applyFill="1" applyBorder="1" applyAlignment="1">
      <alignment horizontal="center" vertical="center"/>
    </xf>
    <xf numFmtId="0" fontId="6" fillId="0" borderId="1" xfId="0" applyFont="1" applyBorder="1" applyAlignment="1" applyProtection="1">
      <alignment horizontal="center" vertical="center"/>
      <protection locked="0"/>
    </xf>
    <xf numFmtId="0" fontId="43" fillId="23" borderId="1" xfId="0" applyFont="1" applyFill="1" applyBorder="1" applyAlignment="1">
      <alignment horizontal="center" vertical="center"/>
    </xf>
    <xf numFmtId="0" fontId="0" fillId="4" borderId="0" xfId="0" applyFill="1" applyAlignment="1" applyProtection="1">
      <alignment horizontal="left" vertical="top" wrapText="1"/>
      <protection hidden="1"/>
    </xf>
    <xf numFmtId="0" fontId="23" fillId="4" borderId="0" xfId="0" applyFont="1" applyFill="1" applyAlignment="1" applyProtection="1">
      <alignment horizontal="left" vertical="top"/>
      <protection hidden="1"/>
    </xf>
    <xf numFmtId="0" fontId="3" fillId="7" borderId="42" xfId="0" applyFont="1" applyFill="1" applyBorder="1" applyAlignment="1" applyProtection="1">
      <alignment horizontal="right" vertical="top" wrapText="1"/>
      <protection hidden="1"/>
    </xf>
    <xf numFmtId="0" fontId="0" fillId="4" borderId="0" xfId="0" applyFill="1" applyAlignment="1" applyProtection="1">
      <alignment horizontal="justify" vertical="top" wrapText="1"/>
      <protection hidden="1"/>
    </xf>
    <xf numFmtId="0" fontId="10" fillId="0" borderId="1" xfId="0" applyFont="1" applyBorder="1" applyAlignment="1" applyProtection="1">
      <alignment horizontal="center" vertical="center"/>
      <protection hidden="1"/>
    </xf>
    <xf numFmtId="0" fontId="48" fillId="0" borderId="1" xfId="0" applyFont="1" applyBorder="1" applyAlignment="1" applyProtection="1">
      <alignment horizontal="center" vertical="top" wrapText="1"/>
      <protection hidden="1"/>
    </xf>
    <xf numFmtId="0" fontId="48" fillId="0" borderId="1" xfId="0" applyFont="1" applyBorder="1" applyAlignment="1" applyProtection="1">
      <alignment horizontal="left" vertical="top" wrapText="1"/>
      <protection hidden="1"/>
    </xf>
    <xf numFmtId="0" fontId="0" fillId="4" borderId="0" xfId="0" applyFill="1" applyAlignment="1" applyProtection="1">
      <alignment horizontal="center" vertical="top"/>
      <protection hidden="1"/>
    </xf>
    <xf numFmtId="0" fontId="0" fillId="0" borderId="2" xfId="0" applyBorder="1" applyAlignment="1" applyProtection="1">
      <alignment horizontal="center" vertical="top"/>
      <protection hidden="1"/>
    </xf>
    <xf numFmtId="0" fontId="0" fillId="0" borderId="4" xfId="0" applyBorder="1" applyAlignment="1" applyProtection="1">
      <alignment horizontal="center" vertical="top"/>
      <protection hidden="1"/>
    </xf>
    <xf numFmtId="0" fontId="0" fillId="4" borderId="47" xfId="0" applyFill="1" applyBorder="1" applyAlignment="1" applyProtection="1">
      <alignment horizontal="justify" vertical="top" wrapText="1"/>
      <protection hidden="1"/>
    </xf>
    <xf numFmtId="0" fontId="1" fillId="24" borderId="2" xfId="0" applyFont="1" applyFill="1" applyBorder="1" applyAlignment="1" applyProtection="1">
      <alignment horizontal="center" vertical="top"/>
      <protection hidden="1"/>
    </xf>
    <xf numFmtId="0" fontId="1" fillId="24" borderId="3" xfId="0" applyFont="1" applyFill="1" applyBorder="1" applyAlignment="1" applyProtection="1">
      <alignment horizontal="center" vertical="top"/>
      <protection hidden="1"/>
    </xf>
    <xf numFmtId="0" fontId="1" fillId="24" borderId="4" xfId="0" applyFont="1" applyFill="1" applyBorder="1" applyAlignment="1" applyProtection="1">
      <alignment horizontal="center" vertical="top"/>
      <protection hidden="1"/>
    </xf>
    <xf numFmtId="0" fontId="1" fillId="24" borderId="1" xfId="0" applyFont="1" applyFill="1" applyBorder="1" applyAlignment="1" applyProtection="1">
      <alignment horizontal="center" vertical="top"/>
      <protection hidden="1"/>
    </xf>
    <xf numFmtId="0" fontId="10" fillId="0" borderId="31" xfId="0" applyFont="1" applyBorder="1" applyAlignment="1" applyProtection="1">
      <alignment horizontal="center" vertical="center"/>
      <protection hidden="1"/>
    </xf>
    <xf numFmtId="0" fontId="10" fillId="0" borderId="43" xfId="0" applyFont="1" applyBorder="1" applyAlignment="1" applyProtection="1">
      <alignment horizontal="center" vertical="center"/>
      <protection hidden="1"/>
    </xf>
    <xf numFmtId="0" fontId="48" fillId="0" borderId="44" xfId="0" applyFont="1" applyBorder="1" applyAlignment="1" applyProtection="1">
      <alignment horizontal="left" vertical="top" wrapText="1"/>
      <protection hidden="1"/>
    </xf>
    <xf numFmtId="0" fontId="48" fillId="0" borderId="41" xfId="0" applyFont="1" applyBorder="1" applyAlignment="1" applyProtection="1">
      <alignment horizontal="left" vertical="top" wrapText="1"/>
      <protection hidden="1"/>
    </xf>
    <xf numFmtId="0" fontId="48" fillId="0" borderId="45" xfId="0" applyFont="1" applyBorder="1" applyAlignment="1" applyProtection="1">
      <alignment horizontal="left" vertical="top" wrapText="1"/>
      <protection hidden="1"/>
    </xf>
    <xf numFmtId="0" fontId="48" fillId="0" borderId="46" xfId="0" applyFont="1" applyBorder="1" applyAlignment="1" applyProtection="1">
      <alignment horizontal="left" vertical="top" wrapText="1"/>
      <protection hidden="1"/>
    </xf>
    <xf numFmtId="0" fontId="48" fillId="0" borderId="47" xfId="0" applyFont="1" applyBorder="1" applyAlignment="1" applyProtection="1">
      <alignment horizontal="left" vertical="top" wrapText="1"/>
      <protection hidden="1"/>
    </xf>
    <xf numFmtId="0" fontId="48" fillId="0" borderId="48" xfId="0" applyFont="1" applyBorder="1" applyAlignment="1" applyProtection="1">
      <alignment horizontal="left" vertical="top" wrapText="1"/>
      <protection hidden="1"/>
    </xf>
    <xf numFmtId="0" fontId="0" fillId="0" borderId="1" xfId="0" applyBorder="1" applyAlignment="1" applyProtection="1">
      <alignment horizontal="center" vertical="top"/>
      <protection hidden="1"/>
    </xf>
    <xf numFmtId="0" fontId="48" fillId="0" borderId="0" xfId="0" applyFont="1" applyAlignment="1" applyProtection="1">
      <alignment horizontal="left" vertical="top" wrapText="1"/>
      <protection hidden="1"/>
    </xf>
    <xf numFmtId="0" fontId="42" fillId="31" borderId="0" xfId="0" applyFont="1" applyFill="1" applyAlignment="1" applyProtection="1">
      <alignment horizontal="left" vertical="top" wrapText="1"/>
      <protection hidden="1"/>
    </xf>
    <xf numFmtId="0" fontId="46" fillId="4" borderId="0" xfId="0" applyFont="1" applyFill="1" applyAlignment="1" applyProtection="1">
      <alignment horizontal="left" vertical="top" wrapText="1"/>
      <protection hidden="1"/>
    </xf>
    <xf numFmtId="0" fontId="14" fillId="0" borderId="33" xfId="0" applyFont="1" applyBorder="1" applyAlignment="1" applyProtection="1">
      <alignment horizontal="right" vertical="top" wrapText="1"/>
      <protection hidden="1"/>
    </xf>
    <xf numFmtId="0" fontId="14" fillId="0" borderId="3" xfId="0" applyFont="1" applyBorder="1" applyAlignment="1" applyProtection="1">
      <alignment horizontal="right" vertical="top" wrapText="1"/>
      <protection hidden="1"/>
    </xf>
    <xf numFmtId="0" fontId="14" fillId="0" borderId="4" xfId="0" applyFont="1" applyBorder="1" applyAlignment="1" applyProtection="1">
      <alignment horizontal="right" vertical="top" wrapText="1"/>
      <protection hidden="1"/>
    </xf>
    <xf numFmtId="0" fontId="0" fillId="0" borderId="2" xfId="0" applyBorder="1" applyAlignment="1" applyProtection="1">
      <alignment horizontal="left" vertical="top" wrapText="1"/>
      <protection hidden="1"/>
    </xf>
    <xf numFmtId="0" fontId="0" fillId="0" borderId="3" xfId="0" applyBorder="1" applyAlignment="1" applyProtection="1">
      <alignment horizontal="left" vertical="top" wrapText="1"/>
      <protection hidden="1"/>
    </xf>
    <xf numFmtId="0" fontId="0" fillId="0" borderId="4" xfId="0" applyBorder="1" applyAlignment="1" applyProtection="1">
      <alignment horizontal="left" vertical="top" wrapText="1"/>
      <protection hidden="1"/>
    </xf>
    <xf numFmtId="0" fontId="0" fillId="0" borderId="2" xfId="0" applyBorder="1" applyAlignment="1" applyProtection="1">
      <alignment vertical="top" wrapText="1"/>
      <protection hidden="1"/>
    </xf>
    <xf numFmtId="0" fontId="0" fillId="0" borderId="3" xfId="0" applyBorder="1" applyAlignment="1" applyProtection="1">
      <alignment vertical="top" wrapText="1"/>
      <protection hidden="1"/>
    </xf>
    <xf numFmtId="0" fontId="0" fillId="0" borderId="4" xfId="0" applyBorder="1" applyAlignment="1" applyProtection="1">
      <alignment vertical="top" wrapText="1"/>
      <protection hidden="1"/>
    </xf>
    <xf numFmtId="0" fontId="48" fillId="4" borderId="0" xfId="0" applyFont="1" applyFill="1" applyAlignment="1" applyProtection="1">
      <alignment horizontal="left" vertical="top" wrapText="1"/>
      <protection hidden="1"/>
    </xf>
    <xf numFmtId="0" fontId="0" fillId="0" borderId="1" xfId="0" applyBorder="1" applyAlignment="1" applyProtection="1">
      <alignment horizontal="left" vertical="top" wrapText="1"/>
      <protection hidden="1"/>
    </xf>
    <xf numFmtId="0" fontId="49" fillId="4" borderId="0" xfId="0" applyFont="1" applyFill="1" applyAlignment="1" applyProtection="1">
      <alignment horizontal="left" vertical="center" wrapText="1"/>
      <protection hidden="1"/>
    </xf>
    <xf numFmtId="0" fontId="22" fillId="0" borderId="24" xfId="0" applyFont="1" applyBorder="1" applyAlignment="1" applyProtection="1">
      <alignment horizontal="left" vertical="top" wrapText="1"/>
      <protection hidden="1"/>
    </xf>
    <xf numFmtId="0" fontId="22" fillId="0" borderId="39" xfId="0" applyFont="1" applyBorder="1" applyAlignment="1" applyProtection="1">
      <alignment horizontal="left" vertical="top" wrapText="1"/>
      <protection hidden="1"/>
    </xf>
    <xf numFmtId="0" fontId="22" fillId="0" borderId="25" xfId="0" applyFont="1" applyBorder="1" applyAlignment="1" applyProtection="1">
      <alignment horizontal="left" vertical="top" wrapText="1"/>
      <protection hidden="1"/>
    </xf>
    <xf numFmtId="0" fontId="22" fillId="0" borderId="26" xfId="0" applyFont="1" applyBorder="1" applyAlignment="1" applyProtection="1">
      <alignment horizontal="left" vertical="top" wrapText="1"/>
      <protection hidden="1"/>
    </xf>
    <xf numFmtId="0" fontId="22" fillId="0" borderId="4" xfId="0" applyFont="1" applyBorder="1" applyAlignment="1" applyProtection="1">
      <alignment horizontal="left" vertical="top" wrapText="1"/>
      <protection hidden="1"/>
    </xf>
    <xf numFmtId="0" fontId="22" fillId="0" borderId="1" xfId="0" applyFont="1" applyBorder="1" applyAlignment="1" applyProtection="1">
      <alignment horizontal="left" vertical="top" wrapText="1"/>
      <protection hidden="1"/>
    </xf>
    <xf numFmtId="0" fontId="1" fillId="7" borderId="8" xfId="0" applyFont="1" applyFill="1" applyBorder="1" applyAlignment="1" applyProtection="1">
      <alignment horizontal="center" vertical="top" wrapText="1"/>
      <protection hidden="1"/>
    </xf>
    <xf numFmtId="0" fontId="1" fillId="7" borderId="9" xfId="0" applyFont="1" applyFill="1" applyBorder="1" applyAlignment="1" applyProtection="1">
      <alignment horizontal="center" vertical="top" wrapText="1"/>
      <protection hidden="1"/>
    </xf>
    <xf numFmtId="0" fontId="0" fillId="4" borderId="0" xfId="0" applyFill="1" applyAlignment="1" applyProtection="1">
      <alignment horizontal="right" vertical="top" wrapText="1"/>
      <protection hidden="1"/>
    </xf>
    <xf numFmtId="0" fontId="1" fillId="7" borderId="8" xfId="0" applyFont="1" applyFill="1" applyBorder="1" applyAlignment="1" applyProtection="1">
      <alignment horizontal="left" vertical="top" wrapText="1"/>
      <protection hidden="1"/>
    </xf>
    <xf numFmtId="0" fontId="1" fillId="7" borderId="9" xfId="0" applyFont="1" applyFill="1" applyBorder="1" applyAlignment="1" applyProtection="1">
      <alignment horizontal="left" vertical="top" wrapText="1"/>
      <protection hidden="1"/>
    </xf>
    <xf numFmtId="0" fontId="1" fillId="7" borderId="10" xfId="0" applyFont="1" applyFill="1" applyBorder="1" applyAlignment="1" applyProtection="1">
      <alignment horizontal="left" vertical="top" wrapText="1"/>
      <protection hidden="1"/>
    </xf>
    <xf numFmtId="0" fontId="22" fillId="0" borderId="27" xfId="0" applyFont="1" applyBorder="1" applyAlignment="1" applyProtection="1">
      <alignment horizontal="left" vertical="top" wrapText="1"/>
      <protection hidden="1"/>
    </xf>
    <xf numFmtId="0" fontId="22" fillId="0" borderId="40" xfId="0" applyFont="1" applyBorder="1" applyAlignment="1" applyProtection="1">
      <alignment horizontal="left" vertical="top" wrapText="1"/>
      <protection hidden="1"/>
    </xf>
    <xf numFmtId="0" fontId="22" fillId="0" borderId="28" xfId="0" applyFont="1" applyBorder="1" applyAlignment="1" applyProtection="1">
      <alignment horizontal="left" vertical="top" wrapText="1"/>
      <protection hidden="1"/>
    </xf>
    <xf numFmtId="0" fontId="3" fillId="24" borderId="18" xfId="0" applyFont="1" applyFill="1" applyBorder="1" applyAlignment="1" applyProtection="1">
      <alignment horizontal="center" vertical="center" textRotation="90" wrapText="1"/>
      <protection hidden="1"/>
    </xf>
    <xf numFmtId="0" fontId="3" fillId="24" borderId="19" xfId="0" applyFont="1" applyFill="1" applyBorder="1" applyAlignment="1" applyProtection="1">
      <alignment horizontal="center" vertical="center" textRotation="90" wrapText="1"/>
      <protection hidden="1"/>
    </xf>
    <xf numFmtId="0" fontId="3" fillId="24" borderId="20" xfId="0" applyFont="1" applyFill="1" applyBorder="1" applyAlignment="1" applyProtection="1">
      <alignment horizontal="center" vertical="center" textRotation="90" wrapText="1"/>
      <protection hidden="1"/>
    </xf>
    <xf numFmtId="0" fontId="22" fillId="0" borderId="33" xfId="0" applyFont="1" applyBorder="1" applyAlignment="1" applyProtection="1">
      <alignment horizontal="left" vertical="top" wrapText="1"/>
      <protection hidden="1"/>
    </xf>
    <xf numFmtId="0" fontId="22" fillId="0" borderId="3" xfId="0" applyFont="1" applyBorder="1" applyAlignment="1" applyProtection="1">
      <alignment horizontal="left" vertical="top" wrapText="1"/>
      <protection hidden="1"/>
    </xf>
    <xf numFmtId="0" fontId="3" fillId="7" borderId="41" xfId="0" applyFont="1" applyFill="1" applyBorder="1" applyAlignment="1" applyProtection="1">
      <alignment horizontal="right" vertical="top" wrapText="1"/>
      <protection hidden="1"/>
    </xf>
    <xf numFmtId="0" fontId="0" fillId="9" borderId="13" xfId="0" applyFill="1" applyBorder="1" applyAlignment="1" applyProtection="1">
      <alignment horizontal="right" vertical="top" wrapText="1"/>
      <protection hidden="1"/>
    </xf>
  </cellXfs>
  <cellStyles count="1">
    <cellStyle name="Normal" xfId="0" builtinId="0"/>
  </cellStyles>
  <dxfs count="22">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7" tint="0.79998168889431442"/>
        </patternFill>
      </fill>
    </dxf>
    <dxf>
      <fill>
        <patternFill>
          <bgColor theme="7" tint="0.79998168889431442"/>
        </patternFill>
      </fill>
    </dxf>
    <dxf>
      <fill>
        <patternFill>
          <bgColor rgb="FFFFFFCC"/>
        </patternFill>
      </fill>
    </dxf>
    <dxf>
      <fill>
        <patternFill>
          <bgColor rgb="FFFF0000"/>
        </patternFill>
      </fill>
    </dxf>
  </dxfs>
  <tableStyles count="0" defaultTableStyle="TableStyleMedium2" defaultPivotStyle="PivotStyleLight16"/>
  <colors>
    <mruColors>
      <color rgb="FFDF4935"/>
      <color rgb="FFE87D6E"/>
      <color rgb="FFEFA399"/>
      <color rgb="FFF6CC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9</xdr:col>
      <xdr:colOff>123919</xdr:colOff>
      <xdr:row>0</xdr:row>
      <xdr:rowOff>7937</xdr:rowOff>
    </xdr:from>
    <xdr:to>
      <xdr:col>14</xdr:col>
      <xdr:colOff>294620</xdr:colOff>
      <xdr:row>4</xdr:row>
      <xdr:rowOff>128587</xdr:rowOff>
    </xdr:to>
    <xdr:pic>
      <xdr:nvPicPr>
        <xdr:cNvPr id="2" name="Imagen 1">
          <a:extLst>
            <a:ext uri="{FF2B5EF4-FFF2-40B4-BE49-F238E27FC236}">
              <a16:creationId xmlns:a16="http://schemas.microsoft.com/office/drawing/2014/main" id="{24B56A57-4E1F-30A2-641C-5C89D22A8E4A}"/>
            </a:ext>
          </a:extLst>
        </xdr:cNvPr>
        <xdr:cNvPicPr>
          <a:picLocks noChangeAspect="1" noChangeArrowheads="1"/>
        </xdr:cNvPicPr>
      </xdr:nvPicPr>
      <xdr:blipFill rotWithShape="1">
        <a:blip xmlns:r="http://schemas.openxmlformats.org/officeDocument/2006/relationships" r:embed="rId1">
          <a:lum bright="-20000" contrast="20000"/>
          <a:extLst>
            <a:ext uri="{28A0092B-C50C-407E-A947-70E740481C1C}">
              <a14:useLocalDpi xmlns:a14="http://schemas.microsoft.com/office/drawing/2010/main" val="0"/>
            </a:ext>
          </a:extLst>
        </a:blip>
        <a:srcRect r="1876"/>
        <a:stretch/>
      </xdr:blipFill>
      <xdr:spPr bwMode="auto">
        <a:xfrm>
          <a:off x="3469575" y="7937"/>
          <a:ext cx="2534351" cy="1680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330200</xdr:colOff>
      <xdr:row>41</xdr:row>
      <xdr:rowOff>57532</xdr:rowOff>
    </xdr:from>
    <xdr:to>
      <xdr:col>15</xdr:col>
      <xdr:colOff>69850</xdr:colOff>
      <xdr:row>46</xdr:row>
      <xdr:rowOff>0</xdr:rowOff>
    </xdr:to>
    <xdr:pic>
      <xdr:nvPicPr>
        <xdr:cNvPr id="3" name="1 Imagen">
          <a:extLst>
            <a:ext uri="{FF2B5EF4-FFF2-40B4-BE49-F238E27FC236}">
              <a16:creationId xmlns:a16="http://schemas.microsoft.com/office/drawing/2014/main" id="{0C3BF67A-5ACF-404C-AC0A-CE80BBA3DB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571" r="6571"/>
        <a:stretch/>
      </xdr:blipFill>
      <xdr:spPr>
        <a:xfrm>
          <a:off x="5354638" y="7971220"/>
          <a:ext cx="787400" cy="712405"/>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9</xdr:col>
      <xdr:colOff>762000</xdr:colOff>
      <xdr:row>0</xdr:row>
      <xdr:rowOff>0</xdr:rowOff>
    </xdr:from>
    <xdr:to>
      <xdr:col>9</xdr:col>
      <xdr:colOff>2819400</xdr:colOff>
      <xdr:row>2</xdr:row>
      <xdr:rowOff>209043</xdr:rowOff>
    </xdr:to>
    <xdr:pic>
      <xdr:nvPicPr>
        <xdr:cNvPr id="2" name="Imagen 1">
          <a:extLst>
            <a:ext uri="{FF2B5EF4-FFF2-40B4-BE49-F238E27FC236}">
              <a16:creationId xmlns:a16="http://schemas.microsoft.com/office/drawing/2014/main" id="{4F8CE5F2-A9A5-4D3E-B557-961232DB2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022" b="1022"/>
        <a:stretch/>
      </xdr:blipFill>
      <xdr:spPr bwMode="auto">
        <a:xfrm>
          <a:off x="6978650" y="0"/>
          <a:ext cx="2057400" cy="1866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177800</xdr:colOff>
      <xdr:row>0</xdr:row>
      <xdr:rowOff>167522</xdr:rowOff>
    </xdr:from>
    <xdr:to>
      <xdr:col>10</xdr:col>
      <xdr:colOff>5582</xdr:colOff>
      <xdr:row>0</xdr:row>
      <xdr:rowOff>780174</xdr:rowOff>
    </xdr:to>
    <xdr:pic>
      <xdr:nvPicPr>
        <xdr:cNvPr id="9" name="Imagen 8">
          <a:extLst>
            <a:ext uri="{FF2B5EF4-FFF2-40B4-BE49-F238E27FC236}">
              <a16:creationId xmlns:a16="http://schemas.microsoft.com/office/drawing/2014/main" id="{C29E560D-A4F8-770A-5383-8376412F43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601447" y="167522"/>
          <a:ext cx="918488" cy="612652"/>
        </a:xfrm>
        <a:prstGeom prst="rect">
          <a:avLst/>
        </a:prstGeom>
      </xdr:spPr>
    </xdr:pic>
    <xdr:clientData fLocksWithSheet="0"/>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0F9E-F6B9-4343-ADA2-25078C497FD3}">
  <dimension ref="A1:AF46"/>
  <sheetViews>
    <sheetView topLeftCell="A10" zoomScale="80" zoomScaleNormal="80" zoomScalePageLayoutView="115" workbookViewId="0">
      <selection activeCell="B26" sqref="B26:O26"/>
    </sheetView>
  </sheetViews>
  <sheetFormatPr baseColWidth="10" defaultColWidth="0" defaultRowHeight="15" zeroHeight="1" x14ac:dyDescent="0.2"/>
  <cols>
    <col min="1" max="1" width="3.83203125" style="98" customWidth="1"/>
    <col min="2" max="2" width="8.33203125" customWidth="1"/>
    <col min="3" max="5" width="6.1640625" customWidth="1"/>
    <col min="6" max="6" width="2.33203125" customWidth="1"/>
    <col min="7" max="7" width="6.1640625" customWidth="1"/>
    <col min="8" max="8" width="2.1640625" customWidth="1"/>
    <col min="9" max="13" width="6.1640625" customWidth="1"/>
    <col min="14" max="14" width="8.83203125" customWidth="1"/>
    <col min="15" max="15" width="6.1640625" style="2" customWidth="1"/>
    <col min="16" max="16" width="1.33203125" style="96" customWidth="1"/>
    <col min="17" max="17" width="0.33203125" style="2" customWidth="1"/>
    <col min="18" max="18" width="3" hidden="1" customWidth="1"/>
    <col min="19" max="19" width="10.5" hidden="1" customWidth="1"/>
    <col min="20" max="16384" width="6.1640625" hidden="1"/>
  </cols>
  <sheetData>
    <row r="1" spans="1:32" x14ac:dyDescent="0.2">
      <c r="A1" s="238" t="s">
        <v>15</v>
      </c>
      <c r="B1" s="238"/>
      <c r="C1" s="238"/>
      <c r="D1" s="238"/>
      <c r="E1" s="238"/>
      <c r="F1" s="238"/>
      <c r="G1" s="238"/>
      <c r="H1" s="238"/>
      <c r="I1" s="238"/>
      <c r="J1" s="2"/>
      <c r="K1" s="2"/>
      <c r="L1" s="2"/>
      <c r="M1" s="2"/>
      <c r="N1" s="2"/>
      <c r="P1" s="2"/>
      <c r="Q1"/>
      <c r="S1" t="s">
        <v>7</v>
      </c>
      <c r="T1" t="s">
        <v>9</v>
      </c>
    </row>
    <row r="2" spans="1:32" ht="55" customHeight="1" x14ac:dyDescent="0.2">
      <c r="A2" s="238"/>
      <c r="B2" s="238"/>
      <c r="C2" s="238"/>
      <c r="D2" s="238"/>
      <c r="E2" s="238"/>
      <c r="F2" s="238"/>
      <c r="G2" s="238"/>
      <c r="H2" s="238"/>
      <c r="I2" s="238"/>
      <c r="J2" s="2"/>
      <c r="K2" s="2"/>
      <c r="L2" s="2"/>
      <c r="M2" s="2"/>
      <c r="N2" s="2"/>
      <c r="P2" s="2"/>
      <c r="Q2"/>
      <c r="T2" t="s">
        <v>8</v>
      </c>
    </row>
    <row r="3" spans="1:32" ht="39" customHeight="1" x14ac:dyDescent="0.25">
      <c r="A3" s="239" t="s">
        <v>16</v>
      </c>
      <c r="B3" s="239"/>
      <c r="C3" s="239"/>
      <c r="D3" s="239"/>
      <c r="E3" s="239"/>
      <c r="F3" s="239"/>
      <c r="G3" s="239"/>
      <c r="H3" s="239"/>
      <c r="I3" s="239"/>
      <c r="J3" s="2"/>
      <c r="K3" s="2"/>
      <c r="L3" s="2"/>
      <c r="M3" s="2"/>
      <c r="N3" s="2"/>
      <c r="P3" s="2"/>
      <c r="Q3"/>
    </row>
    <row r="4" spans="1:32" x14ac:dyDescent="0.2">
      <c r="A4" s="240" t="s">
        <v>17</v>
      </c>
      <c r="B4" s="240"/>
      <c r="C4" s="240"/>
      <c r="D4" s="240"/>
      <c r="E4" s="240"/>
      <c r="F4" s="240"/>
      <c r="G4" s="240"/>
      <c r="H4" s="240"/>
      <c r="I4" s="240"/>
      <c r="J4" s="2"/>
      <c r="K4" s="2"/>
      <c r="L4" s="2"/>
      <c r="M4" s="2"/>
      <c r="N4" s="2"/>
      <c r="P4" s="2"/>
      <c r="Q4"/>
    </row>
    <row r="5" spans="1:32" ht="17" thickBot="1" x14ac:dyDescent="0.25">
      <c r="A5" s="2"/>
      <c r="B5" s="2"/>
      <c r="C5" s="2"/>
      <c r="D5" s="2"/>
      <c r="E5" s="2"/>
      <c r="F5" s="2"/>
      <c r="G5" s="2"/>
      <c r="H5" s="2"/>
      <c r="I5" s="2"/>
      <c r="J5" s="2"/>
      <c r="K5" s="2"/>
      <c r="L5" s="2"/>
      <c r="M5" s="2"/>
      <c r="N5" s="2"/>
      <c r="P5" s="2"/>
      <c r="Q5"/>
      <c r="AA5" s="52"/>
      <c r="AB5" s="53">
        <f>IF((AC7-AC5)&lt;AC8,1,0)</f>
        <v>0</v>
      </c>
      <c r="AC5" s="53">
        <f>IF(AD7&lt;AD8,1,0)</f>
        <v>0</v>
      </c>
      <c r="AD5" s="52"/>
      <c r="AE5" s="52"/>
      <c r="AF5" s="52"/>
    </row>
    <row r="6" spans="1:32" ht="7" customHeight="1" thickBot="1" x14ac:dyDescent="0.25">
      <c r="A6" s="4"/>
      <c r="B6" s="4"/>
      <c r="C6" s="4"/>
      <c r="D6" s="4"/>
      <c r="E6" s="4"/>
      <c r="F6" s="4"/>
      <c r="G6" s="4"/>
      <c r="H6" s="4"/>
      <c r="I6" s="4"/>
      <c r="J6" s="4"/>
      <c r="K6" s="4"/>
      <c r="L6" s="4"/>
      <c r="M6" s="4"/>
      <c r="N6" s="4"/>
      <c r="O6" s="4"/>
      <c r="P6" s="4"/>
      <c r="Q6"/>
      <c r="AA6" s="52"/>
      <c r="AB6" s="54" t="s">
        <v>167</v>
      </c>
      <c r="AC6" s="55" t="s">
        <v>168</v>
      </c>
      <c r="AD6" s="56" t="s">
        <v>169</v>
      </c>
      <c r="AE6" s="52"/>
      <c r="AF6" s="52"/>
    </row>
    <row r="7" spans="1:32" ht="16" x14ac:dyDescent="0.2">
      <c r="A7" s="246" t="s">
        <v>0</v>
      </c>
      <c r="B7" s="246"/>
      <c r="C7" s="246"/>
      <c r="D7" s="246"/>
      <c r="E7" s="4"/>
      <c r="F7" s="4"/>
      <c r="G7" s="4"/>
      <c r="H7" s="4"/>
      <c r="I7" s="4"/>
      <c r="J7" s="4"/>
      <c r="K7" s="4"/>
      <c r="L7" s="4"/>
      <c r="M7" s="4"/>
      <c r="N7" s="4"/>
      <c r="O7" s="4"/>
      <c r="P7" s="4"/>
      <c r="Q7"/>
      <c r="AA7" s="57" t="s">
        <v>170</v>
      </c>
      <c r="AB7" s="58">
        <f>V10</f>
        <v>0</v>
      </c>
      <c r="AC7" s="58">
        <f t="shared" ref="AC7" si="0">U10</f>
        <v>0</v>
      </c>
      <c r="AD7" s="58">
        <f>T10</f>
        <v>0</v>
      </c>
      <c r="AE7" s="59"/>
      <c r="AF7" s="59"/>
    </row>
    <row r="8" spans="1:32" ht="6.5" customHeight="1" x14ac:dyDescent="0.2">
      <c r="A8" s="5"/>
      <c r="B8" s="5"/>
      <c r="C8" s="5"/>
      <c r="D8" s="5"/>
      <c r="E8" s="4"/>
      <c r="F8" s="4"/>
      <c r="G8" s="4"/>
      <c r="H8" s="4"/>
      <c r="I8" s="4"/>
      <c r="J8" s="4"/>
      <c r="K8" s="4"/>
      <c r="L8" s="4"/>
      <c r="M8" s="4"/>
      <c r="N8" s="4"/>
      <c r="O8" s="4"/>
      <c r="P8" s="4"/>
      <c r="Q8"/>
      <c r="AA8" s="60" t="s">
        <v>171</v>
      </c>
      <c r="AB8" s="61">
        <f>V9</f>
        <v>0</v>
      </c>
      <c r="AC8" s="61">
        <f t="shared" ref="AC8" si="1">U9</f>
        <v>0</v>
      </c>
      <c r="AD8" s="61">
        <f>T9</f>
        <v>0</v>
      </c>
      <c r="AE8" s="59"/>
      <c r="AF8" s="59"/>
    </row>
    <row r="9" spans="1:32" ht="17" thickBot="1" x14ac:dyDescent="0.25">
      <c r="A9" s="4"/>
      <c r="B9" s="7" t="s">
        <v>5</v>
      </c>
      <c r="C9" s="237"/>
      <c r="D9" s="237"/>
      <c r="E9" s="237"/>
      <c r="F9" s="237"/>
      <c r="G9" s="237"/>
      <c r="H9" s="237"/>
      <c r="I9" s="237"/>
      <c r="J9" s="237"/>
      <c r="K9" s="237"/>
      <c r="L9" s="237"/>
      <c r="M9" s="237"/>
      <c r="N9" s="237"/>
      <c r="O9" s="237"/>
      <c r="P9" s="4"/>
      <c r="Q9"/>
      <c r="S9" t="s">
        <v>165</v>
      </c>
      <c r="T9">
        <f>E11</f>
        <v>0</v>
      </c>
      <c r="U9">
        <f>G11</f>
        <v>0</v>
      </c>
      <c r="V9">
        <f>I11</f>
        <v>0</v>
      </c>
      <c r="W9" t="str">
        <f>CONCATENATE(T9,"/",U9,"/",V9)</f>
        <v>0/0/0</v>
      </c>
      <c r="AA9" s="62" t="s">
        <v>172</v>
      </c>
      <c r="AB9" s="63">
        <f>AB7-AB5-AB8</f>
        <v>0</v>
      </c>
      <c r="AC9" s="63">
        <f>IF(AB5=1,AC7+12-AC5-AC8,AC7-AC5-AC8)</f>
        <v>0</v>
      </c>
      <c r="AD9" s="64">
        <f>IF(AD7&lt;AD8,AD7+30-AD8,AD7-AD8)</f>
        <v>0</v>
      </c>
      <c r="AE9" s="228"/>
      <c r="AF9" s="229"/>
    </row>
    <row r="10" spans="1:32" ht="16" x14ac:dyDescent="0.2">
      <c r="A10" s="4"/>
      <c r="B10" s="7" t="s">
        <v>6</v>
      </c>
      <c r="C10" s="4"/>
      <c r="D10" s="6"/>
      <c r="E10" s="6"/>
      <c r="F10" s="237"/>
      <c r="G10" s="237"/>
      <c r="H10" s="237"/>
      <c r="I10" s="237"/>
      <c r="J10" s="237"/>
      <c r="K10" s="9" t="s">
        <v>4</v>
      </c>
      <c r="L10" s="237"/>
      <c r="M10" s="237"/>
      <c r="N10" s="237"/>
      <c r="O10" s="237"/>
      <c r="P10" s="4"/>
      <c r="Q10"/>
      <c r="S10" t="s">
        <v>166</v>
      </c>
      <c r="T10">
        <f>E22</f>
        <v>0</v>
      </c>
      <c r="U10">
        <f>G22</f>
        <v>0</v>
      </c>
      <c r="V10">
        <f>I22</f>
        <v>0</v>
      </c>
      <c r="W10" t="str">
        <f>CONCATENATE(T10,"/",U10,"/",V10)</f>
        <v>0/0/0</v>
      </c>
      <c r="AA10" s="52"/>
      <c r="AB10" s="52"/>
      <c r="AC10" s="52"/>
      <c r="AD10" s="52"/>
      <c r="AE10" s="59"/>
      <c r="AF10" s="59"/>
    </row>
    <row r="11" spans="1:32" ht="16" x14ac:dyDescent="0.2">
      <c r="A11" s="4"/>
      <c r="B11" s="244" t="s">
        <v>1</v>
      </c>
      <c r="C11" s="244"/>
      <c r="D11" s="244"/>
      <c r="E11" s="123"/>
      <c r="F11" s="8" t="s">
        <v>2</v>
      </c>
      <c r="G11" s="123"/>
      <c r="H11" s="8" t="s">
        <v>2</v>
      </c>
      <c r="I11" s="123"/>
      <c r="J11" s="4"/>
      <c r="K11" s="244" t="s">
        <v>3</v>
      </c>
      <c r="L11" s="244"/>
      <c r="M11" s="244"/>
      <c r="N11" s="249" t="str">
        <f>IF(T12&lt;2,"FUERA DE RANGO",(CONCATENATE(AB9," años, ",AC9,(IF(AC9=1," mes"," meses")))))</f>
        <v>FUERA DE RANGO</v>
      </c>
      <c r="O11" s="249"/>
      <c r="P11" s="4"/>
      <c r="Q11"/>
      <c r="S11" t="s">
        <v>29</v>
      </c>
      <c r="AA11" s="52"/>
      <c r="AB11" s="52"/>
      <c r="AC11" s="52"/>
      <c r="AD11" s="52"/>
      <c r="AE11" s="59"/>
      <c r="AF11" s="59"/>
    </row>
    <row r="12" spans="1:32" x14ac:dyDescent="0.2">
      <c r="A12" s="4"/>
      <c r="B12" s="4"/>
      <c r="C12" s="4"/>
      <c r="D12" s="4"/>
      <c r="E12" s="4"/>
      <c r="F12" s="4"/>
      <c r="G12" s="4"/>
      <c r="H12" s="4"/>
      <c r="I12" s="4"/>
      <c r="J12" s="4"/>
      <c r="K12" s="4"/>
      <c r="L12" s="4"/>
      <c r="M12" s="4"/>
      <c r="N12" s="4"/>
      <c r="O12" s="4"/>
      <c r="P12" s="4"/>
      <c r="Q12"/>
      <c r="S12" t="s">
        <v>30</v>
      </c>
      <c r="T12" s="65">
        <f>AB9</f>
        <v>0</v>
      </c>
    </row>
    <row r="13" spans="1:32" x14ac:dyDescent="0.2">
      <c r="A13" s="246" t="s">
        <v>13</v>
      </c>
      <c r="B13" s="246"/>
      <c r="C13" s="246"/>
      <c r="D13" s="246"/>
      <c r="E13" s="4"/>
      <c r="F13" s="4"/>
      <c r="G13" s="4"/>
      <c r="H13" s="4"/>
      <c r="I13" s="4"/>
      <c r="J13" s="4"/>
      <c r="K13" s="4"/>
      <c r="L13" s="4"/>
      <c r="M13" s="4"/>
      <c r="N13" s="4"/>
      <c r="O13" s="4"/>
      <c r="P13" s="4"/>
      <c r="Q13"/>
      <c r="S13" t="s">
        <v>31</v>
      </c>
      <c r="T13" s="66">
        <f>AC9</f>
        <v>0</v>
      </c>
    </row>
    <row r="14" spans="1:32" ht="5.5" customHeight="1" x14ac:dyDescent="0.2">
      <c r="A14" s="5"/>
      <c r="B14" s="5"/>
      <c r="C14" s="5"/>
      <c r="D14" s="5"/>
      <c r="E14" s="4"/>
      <c r="F14" s="4"/>
      <c r="G14" s="4"/>
      <c r="H14" s="4"/>
      <c r="I14" s="4"/>
      <c r="J14" s="4"/>
      <c r="K14" s="4"/>
      <c r="L14" s="4"/>
      <c r="M14" s="4"/>
      <c r="N14" s="4"/>
      <c r="O14" s="4"/>
      <c r="P14" s="4"/>
      <c r="Q14"/>
    </row>
    <row r="15" spans="1:32" x14ac:dyDescent="0.2">
      <c r="A15" s="4"/>
      <c r="B15" s="7" t="s">
        <v>5</v>
      </c>
      <c r="C15" s="237"/>
      <c r="D15" s="237"/>
      <c r="E15" s="237"/>
      <c r="F15" s="237"/>
      <c r="G15" s="237"/>
      <c r="H15" s="237"/>
      <c r="I15" s="237"/>
      <c r="J15" s="237"/>
      <c r="K15" s="237"/>
      <c r="L15" s="237"/>
      <c r="M15" s="237"/>
      <c r="N15" s="237"/>
      <c r="O15" s="237"/>
      <c r="P15" s="4"/>
      <c r="Q15"/>
    </row>
    <row r="16" spans="1:32" x14ac:dyDescent="0.2">
      <c r="A16" s="4"/>
      <c r="B16" s="244" t="s">
        <v>14</v>
      </c>
      <c r="C16" s="244"/>
      <c r="D16" s="244"/>
      <c r="E16" s="244"/>
      <c r="F16" s="244"/>
      <c r="G16" s="245"/>
      <c r="H16" s="237"/>
      <c r="I16" s="237"/>
      <c r="J16" s="237"/>
      <c r="K16" s="237"/>
      <c r="L16" s="237"/>
      <c r="M16" s="237"/>
      <c r="N16" s="237"/>
      <c r="O16" s="237"/>
      <c r="P16" s="4"/>
      <c r="Q16"/>
    </row>
    <row r="17" spans="1:25" x14ac:dyDescent="0.2">
      <c r="A17" s="4"/>
      <c r="B17" s="4"/>
      <c r="C17" s="4"/>
      <c r="D17" s="4"/>
      <c r="E17" s="4"/>
      <c r="F17" s="4"/>
      <c r="G17" s="4"/>
      <c r="H17" s="4"/>
      <c r="I17" s="4"/>
      <c r="J17" s="4"/>
      <c r="K17" s="4"/>
      <c r="L17" s="4"/>
      <c r="M17" s="4"/>
      <c r="N17" s="4"/>
      <c r="O17" s="4"/>
      <c r="P17" s="4"/>
      <c r="Q17"/>
    </row>
    <row r="18" spans="1:25" x14ac:dyDescent="0.2">
      <c r="A18" s="246" t="s">
        <v>10</v>
      </c>
      <c r="B18" s="246"/>
      <c r="C18" s="246"/>
      <c r="D18" s="246"/>
      <c r="E18" s="4"/>
      <c r="F18" s="4"/>
      <c r="G18" s="4"/>
      <c r="H18" s="4"/>
      <c r="I18" s="4"/>
      <c r="J18" s="4"/>
      <c r="K18" s="4"/>
      <c r="L18" s="4"/>
      <c r="M18" s="4"/>
      <c r="N18" s="4"/>
      <c r="O18" s="4"/>
      <c r="P18" s="4"/>
      <c r="Q18"/>
    </row>
    <row r="19" spans="1:25" ht="5.5" customHeight="1" x14ac:dyDescent="0.2">
      <c r="A19" s="5"/>
      <c r="B19" s="5"/>
      <c r="C19" s="5"/>
      <c r="D19" s="5"/>
      <c r="E19" s="4"/>
      <c r="F19" s="4"/>
      <c r="G19" s="4"/>
      <c r="H19" s="4"/>
      <c r="I19" s="4"/>
      <c r="J19" s="4"/>
      <c r="K19" s="4"/>
      <c r="L19" s="4"/>
      <c r="M19" s="4"/>
      <c r="N19" s="4"/>
      <c r="O19" s="4"/>
      <c r="P19" s="4"/>
      <c r="Q19"/>
    </row>
    <row r="20" spans="1:25" x14ac:dyDescent="0.2">
      <c r="A20" s="4"/>
      <c r="B20" s="7" t="s">
        <v>5</v>
      </c>
      <c r="C20" s="241"/>
      <c r="D20" s="242"/>
      <c r="E20" s="242"/>
      <c r="F20" s="242"/>
      <c r="G20" s="242"/>
      <c r="H20" s="242"/>
      <c r="I20" s="242"/>
      <c r="J20" s="242"/>
      <c r="K20" s="242"/>
      <c r="L20" s="242"/>
      <c r="M20" s="242"/>
      <c r="N20" s="242"/>
      <c r="O20" s="243"/>
      <c r="P20" s="4"/>
      <c r="Q20"/>
    </row>
    <row r="21" spans="1:25" x14ac:dyDescent="0.2">
      <c r="A21" s="4"/>
      <c r="B21" s="7" t="s">
        <v>11</v>
      </c>
      <c r="C21" s="237"/>
      <c r="D21" s="237"/>
      <c r="E21" s="237"/>
      <c r="F21" s="237"/>
      <c r="G21" s="237"/>
      <c r="H21" s="237"/>
      <c r="I21" s="237"/>
      <c r="J21" s="237"/>
      <c r="K21" s="237"/>
      <c r="L21" s="237"/>
      <c r="M21" s="237"/>
      <c r="N21" s="237"/>
      <c r="O21" s="237"/>
      <c r="P21" s="4"/>
      <c r="Q21"/>
    </row>
    <row r="22" spans="1:25" x14ac:dyDescent="0.2">
      <c r="A22" s="4"/>
      <c r="B22" s="7" t="s">
        <v>12</v>
      </c>
      <c r="C22" s="4"/>
      <c r="D22" s="4"/>
      <c r="E22" s="123"/>
      <c r="F22" s="8" t="s">
        <v>2</v>
      </c>
      <c r="G22" s="123"/>
      <c r="H22" s="8" t="s">
        <v>2</v>
      </c>
      <c r="I22" s="123"/>
      <c r="J22" s="4"/>
      <c r="K22" s="4"/>
      <c r="L22" s="4"/>
      <c r="M22" s="4"/>
      <c r="N22" s="4"/>
      <c r="O22" s="4"/>
      <c r="P22" s="4"/>
      <c r="Q22"/>
    </row>
    <row r="23" spans="1:25" x14ac:dyDescent="0.2">
      <c r="A23" s="4"/>
      <c r="B23" s="4"/>
      <c r="C23" s="4"/>
      <c r="D23" s="4"/>
      <c r="E23" s="4"/>
      <c r="F23" s="6"/>
      <c r="G23" s="4"/>
      <c r="H23" s="4"/>
      <c r="I23" s="4"/>
      <c r="J23" s="4"/>
      <c r="K23" s="4"/>
      <c r="L23" s="4"/>
      <c r="M23" s="4"/>
      <c r="N23" s="4"/>
      <c r="O23" s="4"/>
      <c r="P23" s="4"/>
      <c r="Q23"/>
    </row>
    <row r="24" spans="1:25" x14ac:dyDescent="0.2">
      <c r="A24" s="2"/>
      <c r="B24" s="2"/>
      <c r="C24" s="2"/>
      <c r="D24" s="2"/>
      <c r="E24" s="2"/>
      <c r="F24" s="2"/>
      <c r="G24" s="2"/>
      <c r="H24" s="2"/>
      <c r="I24" s="2"/>
      <c r="J24" s="2"/>
      <c r="K24" s="2"/>
      <c r="L24" s="2"/>
      <c r="M24" s="2"/>
      <c r="N24" s="2"/>
      <c r="P24" s="2"/>
      <c r="Q24"/>
      <c r="X24" t="s">
        <v>27</v>
      </c>
      <c r="Y24" t="s">
        <v>24</v>
      </c>
    </row>
    <row r="25" spans="1:25" x14ac:dyDescent="0.2">
      <c r="A25" s="236" t="s">
        <v>18</v>
      </c>
      <c r="B25" s="236"/>
      <c r="C25" s="236"/>
      <c r="D25" s="236"/>
      <c r="E25" s="236"/>
      <c r="F25" s="236"/>
      <c r="G25" s="236"/>
      <c r="H25" s="236"/>
      <c r="I25" s="236"/>
      <c r="J25" s="236"/>
      <c r="K25" s="236"/>
      <c r="L25" s="236"/>
      <c r="M25" s="236"/>
      <c r="N25" s="236"/>
      <c r="O25" s="236"/>
      <c r="P25" s="236"/>
      <c r="Q25" s="11"/>
      <c r="R25" s="11"/>
      <c r="S25" t="s">
        <v>24</v>
      </c>
      <c r="T25" t="s">
        <v>19</v>
      </c>
      <c r="X25">
        <v>2</v>
      </c>
      <c r="Y25" t="s">
        <v>21</v>
      </c>
    </row>
    <row r="26" spans="1:25" x14ac:dyDescent="0.2">
      <c r="A26" s="4"/>
      <c r="B26" s="230" t="s">
        <v>20</v>
      </c>
      <c r="C26" s="231"/>
      <c r="D26" s="231"/>
      <c r="E26" s="231"/>
      <c r="F26" s="231"/>
      <c r="G26" s="231"/>
      <c r="H26" s="231"/>
      <c r="I26" s="231"/>
      <c r="J26" s="231"/>
      <c r="K26" s="231"/>
      <c r="L26" s="231"/>
      <c r="M26" s="231"/>
      <c r="N26" s="231"/>
      <c r="O26" s="232"/>
      <c r="P26" s="4"/>
      <c r="Q26"/>
      <c r="S26" t="s">
        <v>25</v>
      </c>
      <c r="T26" t="s">
        <v>20</v>
      </c>
      <c r="X26">
        <v>4</v>
      </c>
      <c r="Y26" t="s">
        <v>22</v>
      </c>
    </row>
    <row r="27" spans="1:25" x14ac:dyDescent="0.2">
      <c r="A27" s="4"/>
      <c r="B27" s="233" t="str">
        <f>IF(B26=T26,X34,X33)</f>
        <v>Edad fuera de rango</v>
      </c>
      <c r="C27" s="234"/>
      <c r="D27" s="234"/>
      <c r="E27" s="234"/>
      <c r="F27" s="234"/>
      <c r="G27" s="234"/>
      <c r="H27" s="234"/>
      <c r="I27" s="234"/>
      <c r="J27" s="234"/>
      <c r="K27" s="234"/>
      <c r="L27" s="234"/>
      <c r="M27" s="234"/>
      <c r="N27" s="234"/>
      <c r="O27" s="235"/>
      <c r="P27" s="4"/>
      <c r="Q27"/>
      <c r="X27">
        <v>10</v>
      </c>
      <c r="Y27" t="s">
        <v>23</v>
      </c>
    </row>
    <row r="28" spans="1:25" ht="5.5" customHeight="1" x14ac:dyDescent="0.2">
      <c r="A28" s="4"/>
      <c r="B28" s="4"/>
      <c r="C28" s="4"/>
      <c r="D28" s="4"/>
      <c r="E28" s="4"/>
      <c r="F28" s="4"/>
      <c r="G28" s="4"/>
      <c r="H28" s="4"/>
      <c r="I28" s="4"/>
      <c r="J28" s="4"/>
      <c r="K28" s="4"/>
      <c r="L28" s="4"/>
      <c r="M28" s="4"/>
      <c r="N28" s="4"/>
      <c r="O28" s="4"/>
      <c r="P28" s="4"/>
      <c r="Q28"/>
    </row>
    <row r="29" spans="1:25" x14ac:dyDescent="0.2">
      <c r="A29" s="2"/>
      <c r="B29" s="2"/>
      <c r="C29" s="2"/>
      <c r="D29" s="2"/>
      <c r="E29" s="2"/>
      <c r="F29" s="2"/>
      <c r="G29" s="2"/>
      <c r="H29" s="2"/>
      <c r="I29" s="2"/>
      <c r="J29" s="2"/>
      <c r="K29" s="2"/>
      <c r="L29" s="2"/>
      <c r="M29" s="2"/>
      <c r="N29" s="2"/>
      <c r="P29" s="2"/>
      <c r="Q29"/>
      <c r="X29" t="s">
        <v>28</v>
      </c>
      <c r="Y29" t="s">
        <v>25</v>
      </c>
    </row>
    <row r="30" spans="1:25" x14ac:dyDescent="0.2">
      <c r="A30" s="4"/>
      <c r="B30" s="4"/>
      <c r="C30" s="4"/>
      <c r="D30" s="4"/>
      <c r="E30" s="4"/>
      <c r="F30" s="4"/>
      <c r="G30" s="4"/>
      <c r="H30" s="4"/>
      <c r="I30" s="4"/>
      <c r="J30" s="4"/>
      <c r="K30" s="4"/>
      <c r="L30" s="4"/>
      <c r="M30" s="4"/>
      <c r="N30" s="4"/>
      <c r="O30" s="4"/>
      <c r="P30" s="4"/>
      <c r="Q30"/>
      <c r="X30">
        <v>2</v>
      </c>
      <c r="Y30" t="s">
        <v>21</v>
      </c>
    </row>
    <row r="31" spans="1:25" x14ac:dyDescent="0.2">
      <c r="A31" s="250" t="s">
        <v>35</v>
      </c>
      <c r="B31" s="250"/>
      <c r="C31" s="250"/>
      <c r="D31" s="250"/>
      <c r="E31" s="250"/>
      <c r="F31" s="12" t="s">
        <v>33</v>
      </c>
      <c r="G31" s="13"/>
      <c r="H31" s="13"/>
      <c r="I31" s="14">
        <v>0</v>
      </c>
      <c r="J31" s="14">
        <v>1</v>
      </c>
      <c r="K31" s="14">
        <v>2</v>
      </c>
      <c r="L31" s="14">
        <v>3</v>
      </c>
      <c r="M31" s="14">
        <v>7</v>
      </c>
      <c r="N31" s="14">
        <v>8</v>
      </c>
      <c r="O31" s="14">
        <v>9</v>
      </c>
      <c r="P31" s="4"/>
      <c r="Q31"/>
      <c r="X31">
        <v>4</v>
      </c>
      <c r="Y31" t="s">
        <v>26</v>
      </c>
    </row>
    <row r="32" spans="1:25" x14ac:dyDescent="0.2">
      <c r="A32" s="250"/>
      <c r="B32" s="250"/>
      <c r="C32" s="250"/>
      <c r="D32" s="250"/>
      <c r="E32" s="250"/>
      <c r="F32" s="2"/>
      <c r="G32" s="2"/>
      <c r="H32" s="2"/>
      <c r="I32" s="15" t="s">
        <v>32</v>
      </c>
      <c r="J32" s="15" t="s">
        <v>32</v>
      </c>
      <c r="K32" s="15" t="s">
        <v>32</v>
      </c>
      <c r="L32" s="15" t="s">
        <v>32</v>
      </c>
      <c r="M32" s="15" t="s">
        <v>32</v>
      </c>
      <c r="N32" s="15" t="s">
        <v>32</v>
      </c>
      <c r="O32" s="15" t="s">
        <v>32</v>
      </c>
      <c r="P32" s="4"/>
      <c r="Q32"/>
    </row>
    <row r="33" spans="1:24" x14ac:dyDescent="0.2">
      <c r="A33" s="250"/>
      <c r="B33" s="250"/>
      <c r="C33" s="250"/>
      <c r="D33" s="250"/>
      <c r="E33" s="250"/>
      <c r="F33" s="2" t="s">
        <v>34</v>
      </c>
      <c r="G33" s="2"/>
      <c r="H33" s="2"/>
      <c r="I33" s="3">
        <v>0</v>
      </c>
      <c r="J33" s="3">
        <v>1</v>
      </c>
      <c r="K33" s="3">
        <v>2</v>
      </c>
      <c r="L33" s="3">
        <v>2</v>
      </c>
      <c r="M33" s="3">
        <v>0</v>
      </c>
      <c r="N33" s="3">
        <v>0</v>
      </c>
      <c r="O33" s="3">
        <v>0</v>
      </c>
      <c r="P33" s="4"/>
      <c r="Q33"/>
      <c r="W33" t="s">
        <v>24</v>
      </c>
      <c r="X33" t="str">
        <f>IF(T12&lt;X25,"Edad fuera de rango",(IF(T12&lt;X26,Y25,(IF(T12&lt;X27,Y26,Y27)))))</f>
        <v>Edad fuera de rango</v>
      </c>
    </row>
    <row r="34" spans="1:24" x14ac:dyDescent="0.2">
      <c r="A34" s="4"/>
      <c r="B34" s="4"/>
      <c r="C34" s="4"/>
      <c r="D34" s="4"/>
      <c r="E34" s="4"/>
      <c r="F34" s="4"/>
      <c r="G34" s="4"/>
      <c r="H34" s="4"/>
      <c r="I34" s="4"/>
      <c r="J34" s="4"/>
      <c r="K34" s="4"/>
      <c r="L34" s="4"/>
      <c r="M34" s="4"/>
      <c r="N34" s="4"/>
      <c r="O34" s="4"/>
      <c r="P34" s="4"/>
      <c r="Q34"/>
      <c r="W34" t="s">
        <v>25</v>
      </c>
      <c r="X34" t="str">
        <f>IF(T12&lt;2,"Edad fuera de rango",(IF(T12&lt;X31,Y30,Y31)))</f>
        <v>Edad fuera de rango</v>
      </c>
    </row>
    <row r="35" spans="1:24" ht="9.5" customHeight="1" thickBot="1" x14ac:dyDescent="0.25">
      <c r="A35" s="2"/>
      <c r="B35" s="2"/>
      <c r="C35" s="2"/>
      <c r="D35" s="2"/>
      <c r="E35" s="2"/>
      <c r="F35" s="2"/>
      <c r="G35" s="2"/>
      <c r="H35" s="2"/>
      <c r="I35" s="2"/>
      <c r="J35" s="2"/>
      <c r="K35" s="2"/>
      <c r="L35" s="2"/>
      <c r="M35" s="2"/>
      <c r="N35" s="2"/>
      <c r="P35" s="2"/>
      <c r="Q35"/>
    </row>
    <row r="36" spans="1:24" ht="16" x14ac:dyDescent="0.2">
      <c r="A36" s="255" t="s">
        <v>36</v>
      </c>
      <c r="B36" s="256"/>
      <c r="C36" s="256"/>
      <c r="D36" s="256"/>
      <c r="E36" s="256"/>
      <c r="F36" s="85"/>
      <c r="G36" s="85"/>
      <c r="H36" s="85"/>
      <c r="I36" s="85"/>
      <c r="J36" s="85"/>
      <c r="K36" s="85"/>
      <c r="L36" s="85"/>
      <c r="M36" s="85"/>
      <c r="N36" s="85"/>
      <c r="O36" s="85"/>
      <c r="P36" s="86"/>
      <c r="Q36"/>
      <c r="S36" t="s">
        <v>200</v>
      </c>
      <c r="T36" s="76">
        <f>IF(B26=T26,T38,T37)</f>
        <v>4</v>
      </c>
    </row>
    <row r="37" spans="1:24" ht="16" customHeight="1" x14ac:dyDescent="0.2">
      <c r="A37" s="83"/>
      <c r="B37" s="84"/>
      <c r="C37" s="84"/>
      <c r="D37" s="84"/>
      <c r="E37" s="84"/>
      <c r="F37" s="84"/>
      <c r="G37" s="84"/>
      <c r="H37" s="84"/>
      <c r="I37" s="84"/>
      <c r="J37" s="84"/>
      <c r="K37" s="84"/>
      <c r="L37" s="254" t="s">
        <v>49</v>
      </c>
      <c r="M37" s="254"/>
      <c r="N37" s="254"/>
      <c r="O37" s="254"/>
      <c r="P37" s="87"/>
      <c r="Q37" s="16"/>
      <c r="S37" t="s">
        <v>24</v>
      </c>
      <c r="T37">
        <f>IF(T12&lt;X26,1,(IF(T12&lt;X27,2,3)))</f>
        <v>1</v>
      </c>
    </row>
    <row r="38" spans="1:24" ht="24.5" customHeight="1" x14ac:dyDescent="0.2">
      <c r="A38" s="88" t="s">
        <v>37</v>
      </c>
      <c r="B38" s="51">
        <f>A!AA14</f>
        <v>0</v>
      </c>
      <c r="C38" s="90" t="s">
        <v>40</v>
      </c>
      <c r="D38" s="51">
        <f>A!AA28</f>
        <v>0</v>
      </c>
      <c r="E38" s="90" t="s">
        <v>45</v>
      </c>
      <c r="F38" s="251">
        <f>A!AA38</f>
        <v>0</v>
      </c>
      <c r="G38" s="251"/>
      <c r="H38" s="89"/>
      <c r="I38" s="90" t="s">
        <v>46</v>
      </c>
      <c r="J38" s="51">
        <f>A!AA52</f>
        <v>0</v>
      </c>
      <c r="K38" s="226" t="s">
        <v>47</v>
      </c>
      <c r="L38" s="226"/>
      <c r="M38" s="51">
        <f>A!AA54</f>
        <v>0</v>
      </c>
      <c r="N38" s="84"/>
      <c r="O38" s="84"/>
      <c r="P38" s="87"/>
      <c r="Q38" s="16"/>
      <c r="S38" t="s">
        <v>25</v>
      </c>
      <c r="T38">
        <f>IF(T12&lt;X31,4,5)</f>
        <v>4</v>
      </c>
    </row>
    <row r="39" spans="1:24" ht="8" customHeight="1" x14ac:dyDescent="0.2">
      <c r="A39" s="88"/>
      <c r="B39" s="84"/>
      <c r="C39" s="90"/>
      <c r="D39" s="84"/>
      <c r="E39" s="90"/>
      <c r="F39" s="252"/>
      <c r="G39" s="252"/>
      <c r="H39" s="89"/>
      <c r="I39" s="90"/>
      <c r="J39" s="84"/>
      <c r="K39" s="226"/>
      <c r="L39" s="226"/>
      <c r="M39" s="84"/>
      <c r="N39" s="84"/>
      <c r="O39" s="84"/>
      <c r="P39" s="87"/>
      <c r="Q39" s="16"/>
    </row>
    <row r="40" spans="1:24" ht="30" customHeight="1" x14ac:dyDescent="0.2">
      <c r="A40" s="88" t="s">
        <v>38</v>
      </c>
      <c r="B40" s="51">
        <f>B!AA17</f>
        <v>0</v>
      </c>
      <c r="C40" s="90" t="s">
        <v>41</v>
      </c>
      <c r="D40" s="51">
        <f>B!AA35</f>
        <v>0</v>
      </c>
      <c r="E40" s="90" t="s">
        <v>44</v>
      </c>
      <c r="F40" s="251">
        <f>B!AA47</f>
        <v>0</v>
      </c>
      <c r="G40" s="251"/>
      <c r="H40" s="89"/>
      <c r="I40" s="90" t="s">
        <v>50</v>
      </c>
      <c r="J40" s="51">
        <f>B!AA27</f>
        <v>0</v>
      </c>
      <c r="K40" s="227" t="s">
        <v>164</v>
      </c>
      <c r="L40" s="227"/>
      <c r="M40" s="51">
        <f>IF(elemento30=0,B!AA49,"")</f>
        <v>0</v>
      </c>
      <c r="N40" s="95" t="s">
        <v>163</v>
      </c>
      <c r="O40" s="51">
        <f>B!AA51</f>
        <v>0</v>
      </c>
      <c r="P40" s="17"/>
      <c r="Q40" s="16"/>
    </row>
    <row r="41" spans="1:24" ht="11" hidden="1" customHeight="1" x14ac:dyDescent="0.2">
      <c r="A41" s="88"/>
      <c r="B41" s="16"/>
      <c r="C41" s="90"/>
      <c r="D41" s="16"/>
      <c r="E41" s="90"/>
      <c r="F41" s="253"/>
      <c r="G41" s="253"/>
      <c r="H41" s="89"/>
      <c r="I41" s="90"/>
      <c r="J41" s="16"/>
      <c r="K41" s="13"/>
      <c r="L41" s="13"/>
      <c r="N41" s="84"/>
      <c r="O41" s="16"/>
      <c r="P41" s="17"/>
      <c r="Q41" s="16"/>
    </row>
    <row r="42" spans="1:24" ht="7" customHeight="1" x14ac:dyDescent="0.2">
      <c r="A42" s="88"/>
      <c r="B42" s="84"/>
      <c r="C42" s="90"/>
      <c r="D42" s="84"/>
      <c r="E42" s="90"/>
      <c r="F42" s="84"/>
      <c r="G42" s="84"/>
      <c r="H42" s="89"/>
      <c r="I42" s="90"/>
      <c r="J42" s="84"/>
      <c r="K42" s="94"/>
      <c r="L42" s="94"/>
      <c r="M42" s="84"/>
      <c r="N42" s="84"/>
      <c r="O42" s="84"/>
      <c r="P42" s="87"/>
      <c r="Q42" s="84"/>
    </row>
    <row r="43" spans="1:24" ht="23.5" customHeight="1" x14ac:dyDescent="0.2">
      <c r="A43" s="88" t="s">
        <v>39</v>
      </c>
      <c r="B43" s="51">
        <f>'C'!AA12</f>
        <v>0</v>
      </c>
      <c r="C43" s="90" t="s">
        <v>42</v>
      </c>
      <c r="D43" s="51">
        <f>'C'!AA20</f>
        <v>0</v>
      </c>
      <c r="E43" s="90" t="s">
        <v>43</v>
      </c>
      <c r="F43" s="251">
        <f>'C'!AA28</f>
        <v>0</v>
      </c>
      <c r="G43" s="251"/>
      <c r="H43" s="89"/>
      <c r="I43" s="90" t="s">
        <v>51</v>
      </c>
      <c r="J43" s="51">
        <f>'C'!AA36</f>
        <v>0</v>
      </c>
      <c r="K43" s="226" t="s">
        <v>48</v>
      </c>
      <c r="L43" s="226"/>
      <c r="M43" s="51">
        <f>'C'!AA38</f>
        <v>0</v>
      </c>
      <c r="N43" s="84"/>
      <c r="O43" s="84"/>
      <c r="P43" s="87"/>
      <c r="Q43" s="84"/>
    </row>
    <row r="44" spans="1:24" ht="6.5" customHeight="1" x14ac:dyDescent="0.2">
      <c r="A44" s="88"/>
      <c r="B44" s="89"/>
      <c r="C44" s="90"/>
      <c r="D44" s="84"/>
      <c r="E44" s="90"/>
      <c r="F44" s="89"/>
      <c r="G44" s="89"/>
      <c r="H44" s="89"/>
      <c r="I44" s="90"/>
      <c r="J44" s="89"/>
      <c r="K44" s="89"/>
      <c r="L44" s="89"/>
      <c r="M44" s="16"/>
      <c r="N44" s="84"/>
      <c r="O44" s="84"/>
      <c r="P44" s="87"/>
      <c r="Q44" s="84"/>
    </row>
    <row r="45" spans="1:24" ht="17.5" customHeight="1" x14ac:dyDescent="0.2">
      <c r="A45" s="91"/>
      <c r="B45" s="92"/>
      <c r="C45" s="92"/>
      <c r="D45" s="92"/>
      <c r="E45" s="92"/>
      <c r="F45" s="92"/>
      <c r="G45" s="92"/>
      <c r="H45" s="92"/>
      <c r="I45" s="92"/>
      <c r="J45" s="92"/>
      <c r="K45" s="257" t="s">
        <v>157</v>
      </c>
      <c r="L45" s="258"/>
      <c r="M45" s="10">
        <f>D!R17</f>
        <v>0</v>
      </c>
      <c r="N45" s="2"/>
    </row>
    <row r="46" spans="1:24" ht="6" customHeight="1" thickBot="1" x14ac:dyDescent="0.25">
      <c r="A46" s="247"/>
      <c r="B46" s="248"/>
      <c r="C46" s="248"/>
      <c r="D46" s="99"/>
      <c r="E46" s="93"/>
      <c r="F46" s="93"/>
      <c r="G46" s="93"/>
      <c r="H46" s="93"/>
      <c r="I46" s="93"/>
      <c r="J46" s="93"/>
      <c r="K46" s="93"/>
      <c r="L46" s="93"/>
      <c r="M46" s="18"/>
      <c r="N46" s="93"/>
      <c r="O46" s="93"/>
      <c r="P46" s="97"/>
    </row>
  </sheetData>
  <sheetProtection algorithmName="SHA-512" hashValue="XZd5WEweiTlutGrRanK6DZVO6xkxTv9//v5auC0wR2N9eG6xJhi1+1V5qXGfjxpWN5ds3l6gl74KX/Y6IYxZUw==" saltValue="g3bwOn6WVG9I5khlyo8ZuA==" spinCount="100000" sheet="1" objects="1" scenarios="1" formatColumns="0" formatRows="0" selectLockedCells="1"/>
  <mergeCells count="35">
    <mergeCell ref="A46:C46"/>
    <mergeCell ref="N11:O11"/>
    <mergeCell ref="F10:J10"/>
    <mergeCell ref="L10:O10"/>
    <mergeCell ref="C9:O9"/>
    <mergeCell ref="K11:M11"/>
    <mergeCell ref="A31:E33"/>
    <mergeCell ref="F43:G43"/>
    <mergeCell ref="F38:G38"/>
    <mergeCell ref="F39:G39"/>
    <mergeCell ref="F40:G40"/>
    <mergeCell ref="F41:G41"/>
    <mergeCell ref="L37:O37"/>
    <mergeCell ref="A36:E36"/>
    <mergeCell ref="K45:L45"/>
    <mergeCell ref="K38:L38"/>
    <mergeCell ref="A1:I2"/>
    <mergeCell ref="A3:I3"/>
    <mergeCell ref="A4:I4"/>
    <mergeCell ref="C20:O20"/>
    <mergeCell ref="B16:G16"/>
    <mergeCell ref="A7:D7"/>
    <mergeCell ref="A18:D18"/>
    <mergeCell ref="H16:O16"/>
    <mergeCell ref="C15:O15"/>
    <mergeCell ref="A13:D13"/>
    <mergeCell ref="B11:D11"/>
    <mergeCell ref="K39:L39"/>
    <mergeCell ref="K40:L40"/>
    <mergeCell ref="K43:L43"/>
    <mergeCell ref="AE9:AF9"/>
    <mergeCell ref="B26:O26"/>
    <mergeCell ref="B27:O27"/>
    <mergeCell ref="A25:P25"/>
    <mergeCell ref="C21:O21"/>
  </mergeCells>
  <conditionalFormatting sqref="N11:O11">
    <cfRule type="expression" dxfId="21" priority="1">
      <formula>$T$12&lt;2</formula>
    </cfRule>
  </conditionalFormatting>
  <conditionalFormatting sqref="AB7:AD8">
    <cfRule type="containsBlanks" dxfId="20" priority="2">
      <formula>LEN(TRIM(AB7))=0</formula>
    </cfRule>
  </conditionalFormatting>
  <dataValidations count="2">
    <dataValidation type="list" allowBlank="1" showInputMessage="1" showErrorMessage="1" sqref="L10:O10" xr:uid="{F91EC2FC-ED7E-4A59-A825-F80176E56EB1}">
      <formula1>$T$1:$T$2</formula1>
    </dataValidation>
    <dataValidation type="list" allowBlank="1" showInputMessage="1" showErrorMessage="1" sqref="B26:O26" xr:uid="{7650571E-BE99-4192-884B-741CD078BBD1}">
      <formula1>$T$25:$T$26</formula1>
    </dataValidation>
  </dataValidations>
  <printOptions horizontalCentered="1"/>
  <pageMargins left="0.70866141732283472" right="0.70866141732283472" top="1.299212598425197" bottom="0.74803149606299213" header="0.31496062992125984" footer="0.31496062992125984"/>
  <pageSetup paperSize="9" scale="95" orientation="portrait"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7688B-FD79-4F9F-B08A-C352D40E3AD8}">
  <dimension ref="A1:AF56"/>
  <sheetViews>
    <sheetView view="pageLayout" topLeftCell="A19" zoomScaleNormal="100" workbookViewId="0">
      <selection activeCell="AA24" sqref="AA24:AA26"/>
    </sheetView>
  </sheetViews>
  <sheetFormatPr baseColWidth="10" defaultColWidth="0" defaultRowHeight="15" zeroHeight="1" x14ac:dyDescent="0.2"/>
  <cols>
    <col min="1" max="1" width="3.6640625" style="21" customWidth="1"/>
    <col min="2" max="2" width="3.5" style="21" customWidth="1"/>
    <col min="3" max="3" width="11.6640625" style="21" customWidth="1"/>
    <col min="4" max="4" width="5.33203125" style="21" customWidth="1"/>
    <col min="5" max="5" width="3.33203125" style="21" customWidth="1"/>
    <col min="6" max="11" width="3.1640625" style="21" customWidth="1"/>
    <col min="12" max="12" width="3.83203125" style="21" customWidth="1"/>
    <col min="13" max="13" width="1.1640625" style="21" customWidth="1"/>
    <col min="14" max="22" width="3.1640625" style="21" customWidth="1"/>
    <col min="23" max="23" width="1.5" style="21" customWidth="1"/>
    <col min="24" max="24" width="3.1640625" style="21" customWidth="1"/>
    <col min="25" max="25" width="2.6640625" style="21" customWidth="1"/>
    <col min="26" max="26" width="3.33203125" style="21" customWidth="1"/>
    <col min="27" max="27" width="8.5" style="47" customWidth="1"/>
    <col min="28" max="28" width="1.1640625" style="19" customWidth="1"/>
    <col min="29" max="29" width="1.83203125" style="19" customWidth="1"/>
    <col min="30" max="30" width="5.1640625" style="20" hidden="1" customWidth="1"/>
    <col min="31" max="31" width="5.1640625" style="21" hidden="1" customWidth="1"/>
    <col min="32" max="32" width="8.1640625" style="21" hidden="1" customWidth="1"/>
    <col min="33" max="16384" width="5.1640625" style="21" hidden="1"/>
  </cols>
  <sheetData>
    <row r="1" spans="1:32" ht="16" x14ac:dyDescent="0.2">
      <c r="A1" s="274" t="s">
        <v>53</v>
      </c>
      <c r="B1" s="274"/>
      <c r="C1" s="274"/>
      <c r="D1" s="274"/>
      <c r="E1" s="274"/>
      <c r="F1" s="274"/>
      <c r="G1" s="274"/>
      <c r="H1" s="274"/>
      <c r="I1" s="274"/>
      <c r="J1" s="274"/>
      <c r="K1" s="274"/>
      <c r="L1" s="274"/>
      <c r="M1" s="274"/>
      <c r="N1" s="274"/>
      <c r="O1" s="274"/>
      <c r="P1" s="274"/>
      <c r="Q1" s="274"/>
      <c r="R1" s="274"/>
      <c r="S1" s="274"/>
      <c r="T1" s="274"/>
      <c r="U1" s="274"/>
      <c r="V1" s="274"/>
      <c r="W1" s="274"/>
      <c r="X1" s="274"/>
      <c r="Y1" s="104"/>
      <c r="Z1" s="104"/>
      <c r="AA1" s="50"/>
      <c r="AB1" s="135"/>
      <c r="AC1" s="135"/>
    </row>
    <row r="2" spans="1:32" ht="5.5" customHeight="1" x14ac:dyDescent="0.2">
      <c r="A2" s="129"/>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34"/>
      <c r="AB2" s="135"/>
      <c r="AC2" s="135"/>
    </row>
    <row r="3" spans="1:32" s="22" customFormat="1" ht="30" customHeight="1" x14ac:dyDescent="0.2">
      <c r="A3" s="269" t="str">
        <f>CONCATENATE("*Elemento 30=",INGRESO!C13)</f>
        <v>*Elemento 30=</v>
      </c>
      <c r="B3" s="269"/>
      <c r="C3" s="269"/>
      <c r="D3" s="269"/>
      <c r="E3" s="269"/>
      <c r="F3" s="130"/>
      <c r="G3" s="262" t="s">
        <v>97</v>
      </c>
      <c r="H3" s="262"/>
      <c r="I3" s="262"/>
      <c r="J3" s="262"/>
      <c r="K3" s="262"/>
      <c r="L3" s="262"/>
      <c r="M3" s="130"/>
      <c r="N3" s="275" t="s">
        <v>65</v>
      </c>
      <c r="O3" s="275"/>
      <c r="P3" s="275"/>
      <c r="Q3" s="275"/>
      <c r="R3" s="275"/>
      <c r="T3" s="276" t="s">
        <v>65</v>
      </c>
      <c r="U3" s="276"/>
      <c r="V3" s="276"/>
      <c r="W3" s="277" t="s">
        <v>66</v>
      </c>
      <c r="X3" s="277"/>
      <c r="Y3" s="277"/>
      <c r="Z3" s="143"/>
      <c r="AA3" s="132"/>
      <c r="AB3" s="130"/>
      <c r="AC3" s="130"/>
      <c r="AD3" s="23"/>
    </row>
    <row r="4" spans="1:32" s="30" customFormat="1" ht="32" customHeight="1" x14ac:dyDescent="0.15">
      <c r="A4" s="131"/>
      <c r="B4" s="131"/>
      <c r="C4" s="131"/>
      <c r="D4" s="131"/>
      <c r="E4" s="131"/>
      <c r="F4" s="131"/>
      <c r="G4" s="262" t="s">
        <v>98</v>
      </c>
      <c r="H4" s="262"/>
      <c r="I4" s="262"/>
      <c r="J4" s="262"/>
      <c r="K4" s="262"/>
      <c r="L4" s="262"/>
      <c r="M4" s="131"/>
      <c r="N4" s="24" t="s">
        <v>62</v>
      </c>
      <c r="O4" s="25"/>
      <c r="P4" s="26" t="s">
        <v>63</v>
      </c>
      <c r="Q4" s="25"/>
      <c r="R4" s="27" t="s">
        <v>64</v>
      </c>
      <c r="S4" s="132"/>
      <c r="T4" s="132"/>
      <c r="U4" s="28" t="s">
        <v>62</v>
      </c>
      <c r="V4" s="132"/>
      <c r="W4" s="132"/>
      <c r="X4" s="79" t="s">
        <v>93</v>
      </c>
      <c r="Z4" s="131"/>
      <c r="AA4" s="132"/>
      <c r="AB4" s="131"/>
      <c r="AC4" s="131"/>
      <c r="AD4" s="31"/>
      <c r="AF4" s="77">
        <f>algoritmo</f>
        <v>4</v>
      </c>
    </row>
    <row r="5" spans="1:32" s="30" customFormat="1" ht="5" customHeight="1" x14ac:dyDescent="0.15">
      <c r="A5" s="131"/>
      <c r="B5" s="131"/>
      <c r="C5" s="131"/>
      <c r="D5" s="131"/>
      <c r="E5" s="131"/>
      <c r="F5" s="131"/>
      <c r="G5" s="131"/>
      <c r="H5" s="131"/>
      <c r="I5" s="131"/>
      <c r="J5" s="131"/>
      <c r="K5" s="131"/>
      <c r="L5" s="131"/>
      <c r="M5" s="131"/>
      <c r="N5" s="131"/>
      <c r="O5" s="132"/>
      <c r="P5" s="132"/>
      <c r="Q5" s="132"/>
      <c r="R5" s="132"/>
      <c r="S5" s="132"/>
      <c r="T5" s="132"/>
      <c r="U5" s="132"/>
      <c r="V5" s="132"/>
      <c r="W5" s="132"/>
      <c r="X5" s="131"/>
      <c r="Y5" s="131"/>
      <c r="Z5" s="131"/>
      <c r="AA5" s="133"/>
      <c r="AB5" s="133"/>
      <c r="AC5" s="133"/>
      <c r="AD5" s="31"/>
    </row>
    <row r="6" spans="1:32" s="30" customFormat="1" ht="21" customHeight="1" x14ac:dyDescent="0.15">
      <c r="A6" s="33" t="s">
        <v>54</v>
      </c>
      <c r="B6" s="267" t="s">
        <v>55</v>
      </c>
      <c r="C6" s="267"/>
      <c r="D6" s="267"/>
      <c r="E6" s="267"/>
      <c r="F6" s="267"/>
      <c r="G6" s="267"/>
      <c r="H6" s="267"/>
      <c r="I6" s="267"/>
      <c r="J6" s="267"/>
      <c r="K6" s="267"/>
      <c r="L6" s="267"/>
      <c r="M6" s="267"/>
      <c r="N6" s="267"/>
      <c r="O6" s="267"/>
      <c r="P6" s="267"/>
      <c r="Q6" s="267"/>
      <c r="R6" s="267"/>
      <c r="S6" s="267"/>
      <c r="T6" s="267"/>
      <c r="U6" s="267"/>
      <c r="V6" s="267"/>
      <c r="W6" s="267"/>
      <c r="X6" s="267"/>
      <c r="Z6" s="131"/>
      <c r="AA6" s="144" t="s">
        <v>59</v>
      </c>
      <c r="AB6" s="144"/>
      <c r="AC6" s="144"/>
      <c r="AD6" s="31" t="s">
        <v>199</v>
      </c>
      <c r="AE6" s="30" t="s">
        <v>198</v>
      </c>
    </row>
    <row r="7" spans="1:32" s="30" customFormat="1" ht="5" customHeight="1" thickBot="1"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31"/>
      <c r="Z7" s="131"/>
      <c r="AA7" s="132"/>
      <c r="AB7" s="131"/>
      <c r="AC7" s="131"/>
      <c r="AD7" s="31"/>
    </row>
    <row r="8" spans="1:32" ht="20" thickBot="1" x14ac:dyDescent="0.25">
      <c r="A8" s="129"/>
      <c r="B8" s="137">
        <v>50</v>
      </c>
      <c r="C8" s="265" t="s">
        <v>56</v>
      </c>
      <c r="D8" s="265"/>
      <c r="E8" s="265"/>
      <c r="F8" s="265"/>
      <c r="G8" s="265"/>
      <c r="H8" s="265"/>
      <c r="I8" s="265"/>
      <c r="J8" s="265"/>
      <c r="K8" s="265"/>
      <c r="L8" s="265"/>
      <c r="M8" s="141"/>
      <c r="N8" s="163" t="str">
        <f>IF(AF4=1,AE8,"")</f>
        <v/>
      </c>
      <c r="O8" s="149"/>
      <c r="P8" s="159" t="str">
        <f>IF(AF4=2,AE8,"")</f>
        <v/>
      </c>
      <c r="Q8" s="149"/>
      <c r="R8" s="149"/>
      <c r="S8" s="149"/>
      <c r="T8" s="149"/>
      <c r="U8" s="161">
        <f>IF(AF4=4,AE8,"")</f>
        <v>0</v>
      </c>
      <c r="V8" s="149"/>
      <c r="W8" s="149"/>
      <c r="X8" s="164" t="str">
        <f>IF(AF4=5,AE8,"")</f>
        <v/>
      </c>
      <c r="Y8" s="129"/>
      <c r="Z8" s="129"/>
      <c r="AA8" s="36">
        <f>LOOKUP(AD8,COD,PUNT)</f>
        <v>0</v>
      </c>
      <c r="AB8" s="135"/>
      <c r="AC8" s="135"/>
      <c r="AD8" s="20">
        <f>MAX(N8:X8)</f>
        <v>0</v>
      </c>
      <c r="AE8" s="21">
        <f>INGRESO!C32</f>
        <v>0</v>
      </c>
    </row>
    <row r="9" spans="1:32" ht="5" customHeight="1" thickBot="1" x14ac:dyDescent="0.25">
      <c r="A9" s="129"/>
      <c r="B9" s="137"/>
      <c r="C9" s="129"/>
      <c r="D9" s="129"/>
      <c r="E9" s="129"/>
      <c r="F9" s="129"/>
      <c r="G9" s="129"/>
      <c r="H9" s="129"/>
      <c r="I9" s="129"/>
      <c r="J9" s="129"/>
      <c r="K9" s="129"/>
      <c r="L9" s="129"/>
      <c r="M9" s="129"/>
      <c r="N9" s="35"/>
      <c r="O9" s="149"/>
      <c r="P9" s="35"/>
      <c r="Q9" s="149"/>
      <c r="R9" s="149"/>
      <c r="S9" s="149"/>
      <c r="T9" s="149"/>
      <c r="U9" s="35"/>
      <c r="V9" s="149"/>
      <c r="W9" s="149"/>
      <c r="X9" s="35"/>
      <c r="Y9" s="129"/>
      <c r="Z9" s="129"/>
      <c r="AA9" s="45" t="s">
        <v>52</v>
      </c>
      <c r="AB9" s="135"/>
      <c r="AC9" s="135"/>
      <c r="AD9" s="20">
        <f t="shared" ref="AD9:AD54" si="0">MAX(N9:X9)</f>
        <v>0</v>
      </c>
    </row>
    <row r="10" spans="1:32" ht="20" thickBot="1" x14ac:dyDescent="0.25">
      <c r="A10" s="129"/>
      <c r="B10" s="137">
        <v>51</v>
      </c>
      <c r="C10" s="265" t="s">
        <v>57</v>
      </c>
      <c r="D10" s="265"/>
      <c r="E10" s="265"/>
      <c r="F10" s="265"/>
      <c r="G10" s="265"/>
      <c r="H10" s="265"/>
      <c r="I10" s="265"/>
      <c r="J10" s="265"/>
      <c r="K10" s="265"/>
      <c r="L10" s="265"/>
      <c r="M10" s="141"/>
      <c r="N10" s="163" t="str">
        <f>IF(algoritmo=1,AE10,"")</f>
        <v/>
      </c>
      <c r="O10" s="149"/>
      <c r="P10" s="159" t="str">
        <f>IF(algoritmo=2,AE10,"")</f>
        <v/>
      </c>
      <c r="Q10" s="149"/>
      <c r="R10" s="160" t="str">
        <f>IF(algoritmo=3,AE10,"")</f>
        <v/>
      </c>
      <c r="S10" s="149"/>
      <c r="T10" s="149"/>
      <c r="U10" s="161">
        <f>IF(algoritmo=4,AE10,"")</f>
        <v>0</v>
      </c>
      <c r="V10" s="149"/>
      <c r="W10" s="149"/>
      <c r="X10" s="164" t="str">
        <f>IF(algoritmo=5,AE10,"")</f>
        <v/>
      </c>
      <c r="Y10" s="129"/>
      <c r="Z10" s="129"/>
      <c r="AA10" s="36">
        <f>LOOKUP(AD10,COD,PUNT)</f>
        <v>0</v>
      </c>
      <c r="AB10" s="135"/>
      <c r="AC10" s="135"/>
      <c r="AD10" s="20">
        <f t="shared" si="0"/>
        <v>0</v>
      </c>
      <c r="AE10" s="21">
        <f>INGRESO!C33</f>
        <v>0</v>
      </c>
    </row>
    <row r="11" spans="1:32" ht="5" customHeight="1" thickBot="1" x14ac:dyDescent="0.25">
      <c r="A11" s="129"/>
      <c r="B11" s="137"/>
      <c r="C11" s="129"/>
      <c r="D11" s="129"/>
      <c r="E11" s="129"/>
      <c r="F11" s="129"/>
      <c r="G11" s="129"/>
      <c r="H11" s="129"/>
      <c r="I11" s="129"/>
      <c r="J11" s="129"/>
      <c r="K11" s="129"/>
      <c r="L11" s="129"/>
      <c r="M11" s="129"/>
      <c r="N11" s="35"/>
      <c r="O11" s="149"/>
      <c r="P11" s="35"/>
      <c r="Q11" s="149"/>
      <c r="R11" s="35"/>
      <c r="S11" s="149"/>
      <c r="T11" s="149"/>
      <c r="U11" s="35"/>
      <c r="V11" s="149"/>
      <c r="W11" s="149"/>
      <c r="X11" s="35"/>
      <c r="Y11" s="129"/>
      <c r="Z11" s="129"/>
      <c r="AA11" s="45" t="s">
        <v>52</v>
      </c>
      <c r="AB11" s="135"/>
      <c r="AC11" s="135"/>
      <c r="AD11" s="20">
        <f t="shared" si="0"/>
        <v>0</v>
      </c>
    </row>
    <row r="12" spans="1:32" ht="27" customHeight="1" thickBot="1" x14ac:dyDescent="0.25">
      <c r="A12" s="129"/>
      <c r="B12" s="137">
        <v>57</v>
      </c>
      <c r="C12" s="266" t="s">
        <v>58</v>
      </c>
      <c r="D12" s="266"/>
      <c r="E12" s="266"/>
      <c r="F12" s="266"/>
      <c r="G12" s="266"/>
      <c r="H12" s="266"/>
      <c r="I12" s="266"/>
      <c r="J12" s="266"/>
      <c r="K12" s="266"/>
      <c r="L12" s="266"/>
      <c r="M12" s="142"/>
      <c r="N12" s="163" t="str">
        <f>IF(algoritmo=1,AE12,"")</f>
        <v/>
      </c>
      <c r="O12" s="149"/>
      <c r="P12" s="159" t="str">
        <f>IF(algoritmo=2,AE12,"")</f>
        <v/>
      </c>
      <c r="Q12" s="149"/>
      <c r="R12" s="160" t="str">
        <f>IF(algoritmo=3,AE12,"")</f>
        <v/>
      </c>
      <c r="S12" s="149"/>
      <c r="T12" s="149"/>
      <c r="U12" s="161">
        <f>IF(algoritmo=4,AE12,"")</f>
        <v>0</v>
      </c>
      <c r="V12" s="149"/>
      <c r="W12" s="149"/>
      <c r="X12" s="164" t="str">
        <f>IF(algoritmo=5,AE12,"")</f>
        <v/>
      </c>
      <c r="Y12" s="129"/>
      <c r="Z12" s="129"/>
      <c r="AA12" s="36">
        <f>LOOKUP(AD12,COD,PUNT)</f>
        <v>0</v>
      </c>
      <c r="AB12" s="135"/>
      <c r="AC12" s="135"/>
      <c r="AD12" s="20">
        <f t="shared" si="0"/>
        <v>0</v>
      </c>
      <c r="AE12" s="21">
        <f>INGRESO!C39</f>
        <v>0</v>
      </c>
    </row>
    <row r="13" spans="1:32" s="129" customFormat="1" ht="5" customHeight="1" thickBot="1" x14ac:dyDescent="0.3">
      <c r="B13" s="137"/>
      <c r="C13" s="138"/>
      <c r="D13" s="138"/>
      <c r="E13" s="138"/>
      <c r="F13" s="138"/>
      <c r="G13" s="138"/>
      <c r="H13" s="138"/>
      <c r="I13" s="138"/>
      <c r="J13" s="138"/>
      <c r="K13" s="138"/>
      <c r="L13" s="138"/>
      <c r="M13" s="138"/>
      <c r="O13" s="139"/>
      <c r="P13" s="139"/>
      <c r="Q13" s="139"/>
      <c r="R13" s="139"/>
      <c r="S13" s="139"/>
      <c r="T13" s="139"/>
      <c r="U13" s="139"/>
      <c r="V13" s="139"/>
      <c r="W13" s="139"/>
      <c r="AA13" s="134" t="s">
        <v>52</v>
      </c>
      <c r="AB13" s="135"/>
      <c r="AC13" s="135"/>
      <c r="AD13" s="136">
        <f t="shared" si="0"/>
        <v>0</v>
      </c>
    </row>
    <row r="14" spans="1:32" ht="20" thickBot="1" x14ac:dyDescent="0.3">
      <c r="A14" s="129"/>
      <c r="B14" s="129"/>
      <c r="C14" s="129"/>
      <c r="D14" s="129"/>
      <c r="E14" s="129"/>
      <c r="F14" s="129"/>
      <c r="G14" s="129"/>
      <c r="H14" s="129"/>
      <c r="I14" s="129"/>
      <c r="J14" s="129"/>
      <c r="K14" s="129"/>
      <c r="L14" s="129"/>
      <c r="M14" s="129"/>
      <c r="N14" s="129"/>
      <c r="O14" s="139"/>
      <c r="P14" s="139"/>
      <c r="Q14" s="139"/>
      <c r="R14" s="139"/>
      <c r="S14" s="139"/>
      <c r="T14" s="139"/>
      <c r="U14" s="139"/>
      <c r="V14" s="139"/>
      <c r="W14" s="139"/>
      <c r="X14" s="263" t="s">
        <v>60</v>
      </c>
      <c r="Y14" s="263"/>
      <c r="Z14" s="264"/>
      <c r="AA14" s="46">
        <f>SUM(AA12,AA10,AA8)</f>
        <v>0</v>
      </c>
      <c r="AB14" s="145"/>
      <c r="AC14" s="145"/>
      <c r="AD14" s="20">
        <f t="shared" si="0"/>
        <v>0</v>
      </c>
    </row>
    <row r="15" spans="1:32" s="129" customFormat="1" ht="7" customHeight="1" x14ac:dyDescent="0.2">
      <c r="AA15" s="134"/>
      <c r="AB15" s="135"/>
      <c r="AC15" s="135"/>
      <c r="AD15" s="136">
        <f t="shared" si="0"/>
        <v>0</v>
      </c>
    </row>
    <row r="16" spans="1:32" ht="21" customHeight="1" x14ac:dyDescent="0.2">
      <c r="A16" s="33" t="s">
        <v>67</v>
      </c>
      <c r="B16" s="267" t="s">
        <v>82</v>
      </c>
      <c r="C16" s="267"/>
      <c r="D16" s="267"/>
      <c r="E16" s="267"/>
      <c r="F16" s="267"/>
      <c r="G16" s="267"/>
      <c r="H16" s="267"/>
      <c r="I16" s="267"/>
      <c r="J16" s="267"/>
      <c r="K16" s="267"/>
      <c r="L16" s="267"/>
      <c r="M16" s="267"/>
      <c r="N16" s="267"/>
      <c r="O16" s="267"/>
      <c r="P16" s="267"/>
      <c r="Q16" s="267"/>
      <c r="R16" s="267"/>
      <c r="S16" s="267"/>
      <c r="T16" s="267"/>
      <c r="U16" s="267"/>
      <c r="V16" s="267"/>
      <c r="W16" s="267"/>
      <c r="X16" s="267"/>
      <c r="Y16" s="131"/>
      <c r="Z16" s="131"/>
      <c r="AA16" s="34" t="s">
        <v>59</v>
      </c>
      <c r="AB16" s="135"/>
      <c r="AC16" s="135"/>
      <c r="AD16" s="20">
        <f t="shared" si="0"/>
        <v>0</v>
      </c>
    </row>
    <row r="17" spans="1:31" ht="5" customHeight="1" thickBot="1" x14ac:dyDescent="0.25">
      <c r="A17" s="140"/>
      <c r="B17" s="140"/>
      <c r="C17" s="140"/>
      <c r="D17" s="140"/>
      <c r="E17" s="140"/>
      <c r="F17" s="140"/>
      <c r="G17" s="140"/>
      <c r="H17" s="140"/>
      <c r="I17" s="140"/>
      <c r="J17" s="140"/>
      <c r="K17" s="140"/>
      <c r="L17" s="140"/>
      <c r="M17" s="140"/>
      <c r="N17" s="140"/>
      <c r="O17" s="140"/>
      <c r="P17" s="140"/>
      <c r="Q17" s="140"/>
      <c r="R17" s="140"/>
      <c r="S17" s="140"/>
      <c r="T17" s="140"/>
      <c r="U17" s="140"/>
      <c r="V17" s="140"/>
      <c r="W17" s="140"/>
      <c r="X17" s="140"/>
      <c r="Y17" s="131"/>
      <c r="Z17" s="131"/>
      <c r="AA17" s="132"/>
      <c r="AB17" s="135"/>
      <c r="AC17" s="135"/>
      <c r="AD17" s="20">
        <f t="shared" si="0"/>
        <v>0</v>
      </c>
    </row>
    <row r="18" spans="1:31" ht="20" thickBot="1" x14ac:dyDescent="0.25">
      <c r="A18" s="129"/>
      <c r="B18" s="137">
        <v>49</v>
      </c>
      <c r="C18" s="265" t="s">
        <v>77</v>
      </c>
      <c r="D18" s="265"/>
      <c r="E18" s="265"/>
      <c r="F18" s="265"/>
      <c r="G18" s="265"/>
      <c r="H18" s="265"/>
      <c r="I18" s="265"/>
      <c r="J18" s="265"/>
      <c r="K18" s="265"/>
      <c r="L18" s="265"/>
      <c r="M18" s="150"/>
      <c r="N18" s="35"/>
      <c r="O18" s="149"/>
      <c r="P18" s="159" t="str">
        <f>IF(algoritmo=2,AE18,"")</f>
        <v/>
      </c>
      <c r="Q18" s="149"/>
      <c r="R18" s="149"/>
      <c r="S18" s="149"/>
      <c r="T18" s="149"/>
      <c r="U18" s="149"/>
      <c r="V18" s="149"/>
      <c r="W18" s="149"/>
      <c r="X18" s="164" t="str">
        <f>IF(algoritmo=5,AE18,"")</f>
        <v/>
      </c>
      <c r="Y18" s="129"/>
      <c r="Z18" s="129"/>
      <c r="AA18" s="36">
        <f>LOOKUP(AD18,COD,PUNT)</f>
        <v>0</v>
      </c>
      <c r="AB18" s="135"/>
      <c r="AC18" s="135"/>
      <c r="AD18" s="20">
        <f t="shared" si="0"/>
        <v>0</v>
      </c>
      <c r="AE18" s="21">
        <f>INGRESO!C31</f>
        <v>0</v>
      </c>
    </row>
    <row r="19" spans="1:31" ht="5" customHeight="1" thickBot="1" x14ac:dyDescent="0.25">
      <c r="A19" s="129"/>
      <c r="B19" s="137"/>
      <c r="C19" s="147"/>
      <c r="D19" s="147"/>
      <c r="E19" s="147"/>
      <c r="F19" s="147"/>
      <c r="G19" s="147"/>
      <c r="H19" s="147"/>
      <c r="I19" s="147"/>
      <c r="J19" s="147"/>
      <c r="K19" s="147"/>
      <c r="L19" s="147"/>
      <c r="M19" s="147"/>
      <c r="N19" s="35"/>
      <c r="O19" s="149"/>
      <c r="P19" s="35"/>
      <c r="Q19" s="149"/>
      <c r="R19" s="149"/>
      <c r="S19" s="149"/>
      <c r="T19" s="149"/>
      <c r="U19" s="149"/>
      <c r="V19" s="149"/>
      <c r="W19" s="149"/>
      <c r="X19" s="35"/>
      <c r="Y19" s="129"/>
      <c r="Z19" s="129"/>
      <c r="AA19" s="45" t="s">
        <v>52</v>
      </c>
      <c r="AB19" s="135"/>
      <c r="AC19" s="135"/>
      <c r="AD19" s="20">
        <f t="shared" si="0"/>
        <v>0</v>
      </c>
    </row>
    <row r="20" spans="1:31" ht="20" thickBot="1" x14ac:dyDescent="0.25">
      <c r="A20" s="129"/>
      <c r="B20" s="137">
        <v>62</v>
      </c>
      <c r="C20" s="265" t="s">
        <v>78</v>
      </c>
      <c r="D20" s="265"/>
      <c r="E20" s="265"/>
      <c r="F20" s="265"/>
      <c r="G20" s="265"/>
      <c r="H20" s="265"/>
      <c r="I20" s="265"/>
      <c r="J20" s="265"/>
      <c r="K20" s="265"/>
      <c r="L20" s="265"/>
      <c r="M20" s="141"/>
      <c r="N20" s="163" t="str">
        <f>IF(algoritmo=1,AE20,"")</f>
        <v/>
      </c>
      <c r="O20" s="149"/>
      <c r="P20" s="159" t="str">
        <f>IF(algoritmo=2,AE20,"")</f>
        <v/>
      </c>
      <c r="Q20" s="149"/>
      <c r="R20" s="149"/>
      <c r="S20" s="149"/>
      <c r="T20" s="149"/>
      <c r="U20" s="161">
        <f>IF(algoritmo=4,AE20,"")</f>
        <v>0</v>
      </c>
      <c r="V20" s="149"/>
      <c r="W20" s="149"/>
      <c r="X20" s="164" t="str">
        <f>IF(algoritmo=5,AE20,"")</f>
        <v/>
      </c>
      <c r="Y20" s="129"/>
      <c r="Z20" s="129"/>
      <c r="AA20" s="36">
        <f>LOOKUP(AD20,COD,PUNT)</f>
        <v>0</v>
      </c>
      <c r="AB20" s="135"/>
      <c r="AC20" s="135"/>
      <c r="AD20" s="20">
        <f t="shared" si="0"/>
        <v>0</v>
      </c>
      <c r="AE20" s="21">
        <f>INGRESO!C44</f>
        <v>0</v>
      </c>
    </row>
    <row r="21" spans="1:31" ht="5" customHeight="1" thickBot="1" x14ac:dyDescent="0.25">
      <c r="A21" s="129"/>
      <c r="B21" s="137"/>
      <c r="C21" s="147"/>
      <c r="D21" s="147"/>
      <c r="E21" s="147"/>
      <c r="F21" s="147"/>
      <c r="G21" s="147"/>
      <c r="H21" s="147"/>
      <c r="I21" s="147"/>
      <c r="J21" s="147"/>
      <c r="K21" s="147"/>
      <c r="L21" s="147"/>
      <c r="M21" s="147"/>
      <c r="N21" s="35"/>
      <c r="O21" s="149"/>
      <c r="P21" s="35"/>
      <c r="Q21" s="149"/>
      <c r="R21" s="149"/>
      <c r="S21" s="149"/>
      <c r="T21" s="149"/>
      <c r="U21" s="35"/>
      <c r="V21" s="149"/>
      <c r="W21" s="149"/>
      <c r="X21" s="35"/>
      <c r="Y21" s="129"/>
      <c r="Z21" s="129"/>
      <c r="AA21" s="45" t="s">
        <v>52</v>
      </c>
      <c r="AB21" s="135"/>
      <c r="AC21" s="135"/>
      <c r="AD21" s="20">
        <f t="shared" si="0"/>
        <v>0</v>
      </c>
    </row>
    <row r="22" spans="1:31" ht="19" customHeight="1" thickBot="1" x14ac:dyDescent="0.25">
      <c r="A22" s="129"/>
      <c r="B22" s="137">
        <v>63</v>
      </c>
      <c r="C22" s="266" t="s">
        <v>79</v>
      </c>
      <c r="D22" s="266"/>
      <c r="E22" s="266"/>
      <c r="F22" s="266"/>
      <c r="G22" s="266"/>
      <c r="H22" s="266"/>
      <c r="I22" s="266"/>
      <c r="J22" s="266"/>
      <c r="K22" s="266"/>
      <c r="L22" s="266"/>
      <c r="M22" s="142"/>
      <c r="N22" s="163" t="str">
        <f>IF(algoritmo=1,AE22,"")</f>
        <v/>
      </c>
      <c r="O22" s="149"/>
      <c r="P22" s="159" t="str">
        <f>IF(algoritmo=2,AE22,"")</f>
        <v/>
      </c>
      <c r="Q22" s="149"/>
      <c r="R22" s="149"/>
      <c r="S22" s="149"/>
      <c r="T22" s="149"/>
      <c r="U22" s="161">
        <f>IF(algoritmo=4,AE22,"")</f>
        <v>0</v>
      </c>
      <c r="V22" s="149"/>
      <c r="W22" s="149"/>
      <c r="X22" s="164" t="str">
        <f>IF(algoritmo=5,AE22,"")</f>
        <v/>
      </c>
      <c r="Y22" s="129"/>
      <c r="Z22" s="129"/>
      <c r="AA22" s="36">
        <f>LOOKUP(AD22,COD,PUNT)</f>
        <v>0</v>
      </c>
      <c r="AB22" s="135"/>
      <c r="AC22" s="135"/>
      <c r="AD22" s="20">
        <f t="shared" si="0"/>
        <v>0</v>
      </c>
      <c r="AE22" s="21">
        <f>INGRESO!C45</f>
        <v>0</v>
      </c>
    </row>
    <row r="23" spans="1:31" ht="5" customHeight="1" thickBot="1" x14ac:dyDescent="0.25">
      <c r="A23" s="129"/>
      <c r="B23" s="137"/>
      <c r="C23" s="151"/>
      <c r="D23" s="151"/>
      <c r="E23" s="151"/>
      <c r="F23" s="151"/>
      <c r="G23" s="151"/>
      <c r="H23" s="151"/>
      <c r="I23" s="151"/>
      <c r="J23" s="151"/>
      <c r="K23" s="151"/>
      <c r="L23" s="151"/>
      <c r="M23" s="151"/>
      <c r="N23" s="149"/>
      <c r="O23" s="149"/>
      <c r="P23" s="35"/>
      <c r="Q23" s="149"/>
      <c r="R23" s="149"/>
      <c r="S23" s="149"/>
      <c r="T23" s="149"/>
      <c r="U23" s="149"/>
      <c r="V23" s="149"/>
      <c r="W23" s="149"/>
      <c r="X23" s="35"/>
      <c r="Y23" s="129"/>
      <c r="Z23" s="129"/>
      <c r="AA23" s="47" t="s">
        <v>52</v>
      </c>
      <c r="AB23" s="135"/>
      <c r="AC23" s="135"/>
      <c r="AD23" s="20">
        <f t="shared" si="0"/>
        <v>0</v>
      </c>
    </row>
    <row r="24" spans="1:31" ht="28" customHeight="1" thickBot="1" x14ac:dyDescent="0.25">
      <c r="A24" s="129"/>
      <c r="B24" s="137">
        <v>64</v>
      </c>
      <c r="C24" s="266" t="s">
        <v>81</v>
      </c>
      <c r="D24" s="266"/>
      <c r="E24" s="266"/>
      <c r="F24" s="266"/>
      <c r="G24" s="266"/>
      <c r="H24" s="266"/>
      <c r="I24" s="266"/>
      <c r="J24" s="266"/>
      <c r="K24" s="266"/>
      <c r="L24" s="266"/>
      <c r="M24" s="152"/>
      <c r="N24" s="149"/>
      <c r="O24" s="149"/>
      <c r="P24" s="159" t="str">
        <f>IF(algoritmo=2,AE24,"")</f>
        <v/>
      </c>
      <c r="Q24" s="149"/>
      <c r="R24" s="149"/>
      <c r="S24" s="149"/>
      <c r="T24" s="149"/>
      <c r="U24" s="149"/>
      <c r="V24" s="149"/>
      <c r="W24" s="149"/>
      <c r="X24" s="164" t="str">
        <f>IF(algoritmo=5,AE24,"")</f>
        <v/>
      </c>
      <c r="Y24" s="129"/>
      <c r="Z24" s="129"/>
      <c r="AA24" s="259">
        <f>IF('P1'!T12&lt;10,(LOOKUP(AD24,COD,PUNT)),(LOOKUP(AD26,COD,PUNT)))</f>
        <v>0</v>
      </c>
      <c r="AB24" s="135"/>
      <c r="AC24" s="135"/>
      <c r="AD24" s="20">
        <f t="shared" si="0"/>
        <v>0</v>
      </c>
      <c r="AE24" s="21">
        <f>INGRESO!C46</f>
        <v>0</v>
      </c>
    </row>
    <row r="25" spans="1:31" ht="5" customHeight="1" thickBot="1" x14ac:dyDescent="0.25">
      <c r="A25" s="129"/>
      <c r="B25" s="137"/>
      <c r="C25" s="147"/>
      <c r="D25" s="147"/>
      <c r="E25" s="147"/>
      <c r="F25" s="147"/>
      <c r="G25" s="147"/>
      <c r="H25" s="147"/>
      <c r="I25" s="147"/>
      <c r="J25" s="147"/>
      <c r="K25" s="147"/>
      <c r="L25" s="147"/>
      <c r="M25" s="147"/>
      <c r="N25" s="149"/>
      <c r="O25" s="149"/>
      <c r="P25" s="149"/>
      <c r="Q25" s="149"/>
      <c r="R25" s="149"/>
      <c r="S25" s="149"/>
      <c r="T25" s="149"/>
      <c r="U25" s="149"/>
      <c r="V25" s="149"/>
      <c r="W25" s="149"/>
      <c r="X25" s="35"/>
      <c r="Y25" s="129"/>
      <c r="Z25" s="129"/>
      <c r="AA25" s="260"/>
      <c r="AB25" s="135"/>
      <c r="AC25" s="135"/>
      <c r="AD25" s="20">
        <f t="shared" si="0"/>
        <v>0</v>
      </c>
    </row>
    <row r="26" spans="1:31" ht="18" customHeight="1" thickBot="1" x14ac:dyDescent="0.25">
      <c r="A26" s="129"/>
      <c r="B26" s="137">
        <v>65</v>
      </c>
      <c r="C26" s="265" t="s">
        <v>80</v>
      </c>
      <c r="D26" s="265"/>
      <c r="E26" s="265"/>
      <c r="F26" s="265"/>
      <c r="G26" s="265"/>
      <c r="H26" s="265"/>
      <c r="I26" s="265"/>
      <c r="J26" s="265"/>
      <c r="K26" s="265"/>
      <c r="L26" s="265"/>
      <c r="M26" s="150"/>
      <c r="N26" s="149"/>
      <c r="O26" s="149"/>
      <c r="P26" s="149"/>
      <c r="Q26" s="149"/>
      <c r="R26" s="160" t="str">
        <f>IF(algoritmo=3,AE26,"")</f>
        <v/>
      </c>
      <c r="S26" s="149"/>
      <c r="T26" s="149"/>
      <c r="U26" s="149"/>
      <c r="V26" s="149"/>
      <c r="W26" s="149"/>
      <c r="X26" s="164" t="str">
        <f>IF(algoritmo=5,AE26,"")</f>
        <v/>
      </c>
      <c r="Y26" s="129"/>
      <c r="Z26" s="129"/>
      <c r="AA26" s="261"/>
      <c r="AB26" s="135"/>
      <c r="AC26" s="135"/>
      <c r="AD26" s="20">
        <f t="shared" si="0"/>
        <v>0</v>
      </c>
      <c r="AE26" s="21">
        <f>INGRESO!C47</f>
        <v>0</v>
      </c>
    </row>
    <row r="27" spans="1:31" ht="5" customHeight="1" thickBot="1" x14ac:dyDescent="0.3">
      <c r="A27" s="129"/>
      <c r="B27" s="146"/>
      <c r="C27" s="129"/>
      <c r="D27" s="129"/>
      <c r="E27" s="129"/>
      <c r="F27" s="129"/>
      <c r="G27" s="129"/>
      <c r="H27" s="129"/>
      <c r="I27" s="129"/>
      <c r="J27" s="129"/>
      <c r="K27" s="129"/>
      <c r="L27" s="129"/>
      <c r="M27" s="129"/>
      <c r="N27" s="129"/>
      <c r="O27" s="139"/>
      <c r="P27" s="139"/>
      <c r="Q27" s="139"/>
      <c r="R27" s="139"/>
      <c r="S27" s="139"/>
      <c r="T27" s="139"/>
      <c r="U27" s="139"/>
      <c r="V27" s="139"/>
      <c r="W27" s="139"/>
      <c r="X27" s="129"/>
      <c r="Y27" s="129"/>
      <c r="Z27" s="129"/>
      <c r="AA27" s="45" t="s">
        <v>52</v>
      </c>
      <c r="AB27" s="135"/>
      <c r="AC27" s="135"/>
      <c r="AD27" s="20">
        <f t="shared" si="0"/>
        <v>0</v>
      </c>
    </row>
    <row r="28" spans="1:31" ht="20" thickBot="1" x14ac:dyDescent="0.25">
      <c r="A28" s="129"/>
      <c r="B28" s="129"/>
      <c r="C28" s="129"/>
      <c r="D28" s="129"/>
      <c r="E28" s="129"/>
      <c r="F28" s="129"/>
      <c r="G28" s="129"/>
      <c r="H28" s="129"/>
      <c r="I28" s="129"/>
      <c r="J28" s="129"/>
      <c r="K28" s="129"/>
      <c r="L28" s="129"/>
      <c r="M28" s="129"/>
      <c r="N28" s="129"/>
      <c r="O28" s="129"/>
      <c r="P28" s="129"/>
      <c r="Q28" s="129"/>
      <c r="R28" s="129"/>
      <c r="S28" s="129"/>
      <c r="T28" s="129"/>
      <c r="U28" s="129"/>
      <c r="V28" s="129"/>
      <c r="W28" s="129"/>
      <c r="X28" s="263" t="s">
        <v>68</v>
      </c>
      <c r="Y28" s="263"/>
      <c r="Z28" s="264"/>
      <c r="AA28" s="46">
        <f>SUM(AA26,AA24,AA22,AA20,AA18)</f>
        <v>0</v>
      </c>
      <c r="AB28" s="135"/>
      <c r="AC28" s="135"/>
      <c r="AD28" s="20">
        <f t="shared" si="0"/>
        <v>0</v>
      </c>
    </row>
    <row r="29" spans="1:31" ht="5.5" customHeight="1" x14ac:dyDescent="0.2">
      <c r="A29" s="129"/>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34"/>
      <c r="AB29" s="135"/>
      <c r="AC29" s="135"/>
      <c r="AD29" s="20">
        <f t="shared" si="0"/>
        <v>0</v>
      </c>
    </row>
    <row r="30" spans="1:31" ht="21" customHeight="1" x14ac:dyDescent="0.2">
      <c r="A30" s="33" t="s">
        <v>69</v>
      </c>
      <c r="B30" s="267" t="s">
        <v>83</v>
      </c>
      <c r="C30" s="267"/>
      <c r="D30" s="267"/>
      <c r="E30" s="267"/>
      <c r="F30" s="267"/>
      <c r="G30" s="267"/>
      <c r="H30" s="267"/>
      <c r="I30" s="267"/>
      <c r="J30" s="267"/>
      <c r="K30" s="267"/>
      <c r="L30" s="267"/>
      <c r="M30" s="267"/>
      <c r="N30" s="267"/>
      <c r="O30" s="267"/>
      <c r="P30" s="267"/>
      <c r="Q30" s="267"/>
      <c r="R30" s="267"/>
      <c r="S30" s="267"/>
      <c r="T30" s="267"/>
      <c r="U30" s="267"/>
      <c r="V30" s="267"/>
      <c r="W30" s="267"/>
      <c r="X30" s="267"/>
      <c r="Y30" s="131"/>
      <c r="Z30" s="131"/>
      <c r="AA30" s="144" t="s">
        <v>59</v>
      </c>
      <c r="AB30" s="135"/>
      <c r="AC30" s="135"/>
      <c r="AD30" s="20">
        <f t="shared" si="0"/>
        <v>0</v>
      </c>
    </row>
    <row r="31" spans="1:31" ht="5" customHeight="1" thickBot="1" x14ac:dyDescent="0.25">
      <c r="A31" s="140"/>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31"/>
      <c r="Z31" s="131"/>
      <c r="AA31" s="132"/>
      <c r="AB31" s="135"/>
      <c r="AC31" s="135"/>
      <c r="AD31" s="20">
        <f t="shared" si="0"/>
        <v>0</v>
      </c>
    </row>
    <row r="32" spans="1:31" ht="20" thickBot="1" x14ac:dyDescent="0.25">
      <c r="A32" s="129"/>
      <c r="B32" s="137">
        <v>52</v>
      </c>
      <c r="C32" s="265" t="s">
        <v>84</v>
      </c>
      <c r="D32" s="265"/>
      <c r="E32" s="265"/>
      <c r="F32" s="265"/>
      <c r="G32" s="265"/>
      <c r="H32" s="265"/>
      <c r="I32" s="265"/>
      <c r="J32" s="265"/>
      <c r="K32" s="265"/>
      <c r="L32" s="265"/>
      <c r="M32" s="141"/>
      <c r="N32" s="163" t="str">
        <f>IF(algoritmo=1,AE32,"")</f>
        <v/>
      </c>
      <c r="O32" s="149"/>
      <c r="P32" s="159" t="str">
        <f>IF(algoritmo=2,AE32,"")</f>
        <v/>
      </c>
      <c r="Q32" s="149"/>
      <c r="R32" s="160" t="str">
        <f>IF(algoritmo=3,AE32,"")</f>
        <v/>
      </c>
      <c r="S32" s="149"/>
      <c r="T32" s="149"/>
      <c r="U32" s="161">
        <f>IF(algoritmo=4,AE32,"")</f>
        <v>0</v>
      </c>
      <c r="V32" s="149"/>
      <c r="W32" s="149"/>
      <c r="X32" s="164" t="str">
        <f>IF(algoritmo=5,AE32,"")</f>
        <v/>
      </c>
      <c r="Y32" s="129"/>
      <c r="Z32" s="129"/>
      <c r="AA32" s="36">
        <f>LOOKUP(AD32,COD,PUNT)</f>
        <v>0</v>
      </c>
      <c r="AB32" s="135"/>
      <c r="AC32" s="135"/>
      <c r="AD32" s="20">
        <f t="shared" si="0"/>
        <v>0</v>
      </c>
      <c r="AE32" s="21">
        <f>INGRESO!C34</f>
        <v>0</v>
      </c>
    </row>
    <row r="33" spans="1:31" ht="5" customHeight="1" thickBot="1" x14ac:dyDescent="0.25">
      <c r="A33" s="129"/>
      <c r="B33" s="137"/>
      <c r="C33" s="150"/>
      <c r="D33" s="150"/>
      <c r="E33" s="150"/>
      <c r="F33" s="150"/>
      <c r="G33" s="150"/>
      <c r="H33" s="150"/>
      <c r="I33" s="150"/>
      <c r="J33" s="150"/>
      <c r="K33" s="150"/>
      <c r="L33" s="150"/>
      <c r="M33" s="150"/>
      <c r="N33" s="35"/>
      <c r="O33" s="149"/>
      <c r="P33" s="35"/>
      <c r="Q33" s="149"/>
      <c r="R33" s="35"/>
      <c r="S33" s="149"/>
      <c r="T33" s="149"/>
      <c r="U33" s="35"/>
      <c r="V33" s="149"/>
      <c r="W33" s="149"/>
      <c r="X33" s="35"/>
      <c r="Y33" s="129"/>
      <c r="Z33" s="129"/>
      <c r="AA33" s="45" t="s">
        <v>52</v>
      </c>
      <c r="AB33" s="135"/>
      <c r="AC33" s="135"/>
      <c r="AD33" s="20">
        <f t="shared" si="0"/>
        <v>0</v>
      </c>
    </row>
    <row r="34" spans="1:31" ht="20" thickBot="1" x14ac:dyDescent="0.25">
      <c r="A34" s="129"/>
      <c r="B34" s="137">
        <v>53</v>
      </c>
      <c r="C34" s="265" t="s">
        <v>85</v>
      </c>
      <c r="D34" s="265"/>
      <c r="E34" s="265"/>
      <c r="F34" s="265"/>
      <c r="G34" s="265"/>
      <c r="H34" s="265"/>
      <c r="I34" s="265"/>
      <c r="J34" s="265"/>
      <c r="K34" s="265"/>
      <c r="L34" s="265"/>
      <c r="M34" s="141"/>
      <c r="N34" s="163" t="str">
        <f>IF(algoritmo=1,AE34,"")</f>
        <v/>
      </c>
      <c r="O34" s="149"/>
      <c r="P34" s="159" t="str">
        <f>IF(algoritmo=2,AE34,"")</f>
        <v/>
      </c>
      <c r="Q34" s="149"/>
      <c r="R34" s="160" t="str">
        <f>IF(algoritmo=3,AE34,"")</f>
        <v/>
      </c>
      <c r="S34" s="149"/>
      <c r="T34" s="149"/>
      <c r="U34" s="161">
        <f>IF(algoritmo=4,AE34,"")</f>
        <v>0</v>
      </c>
      <c r="V34" s="149"/>
      <c r="W34" s="149"/>
      <c r="X34" s="164" t="str">
        <f>IF(algoritmo=5,AE34,"")</f>
        <v/>
      </c>
      <c r="Y34" s="129"/>
      <c r="Z34" s="129"/>
      <c r="AA34" s="36">
        <f>LOOKUP(AD34,COD,PUNT)</f>
        <v>0</v>
      </c>
      <c r="AB34" s="135"/>
      <c r="AC34" s="135"/>
      <c r="AD34" s="20">
        <f t="shared" si="0"/>
        <v>0</v>
      </c>
      <c r="AE34" s="21">
        <f>INGRESO!C35</f>
        <v>0</v>
      </c>
    </row>
    <row r="35" spans="1:31" ht="5" customHeight="1" thickBot="1" x14ac:dyDescent="0.25">
      <c r="A35" s="129"/>
      <c r="B35" s="137"/>
      <c r="C35" s="150"/>
      <c r="D35" s="150"/>
      <c r="E35" s="150"/>
      <c r="F35" s="150"/>
      <c r="G35" s="150"/>
      <c r="H35" s="150"/>
      <c r="I35" s="150"/>
      <c r="J35" s="150"/>
      <c r="K35" s="150"/>
      <c r="L35" s="150"/>
      <c r="M35" s="150"/>
      <c r="N35" s="35"/>
      <c r="O35" s="149"/>
      <c r="P35" s="35"/>
      <c r="Q35" s="149"/>
      <c r="R35" s="35"/>
      <c r="S35" s="149"/>
      <c r="T35" s="149"/>
      <c r="U35" s="35"/>
      <c r="V35" s="149"/>
      <c r="W35" s="149"/>
      <c r="X35" s="35"/>
      <c r="Y35" s="129"/>
      <c r="Z35" s="129"/>
      <c r="AA35" s="45" t="s">
        <v>52</v>
      </c>
      <c r="AB35" s="135"/>
      <c r="AC35" s="135"/>
      <c r="AD35" s="20">
        <f t="shared" si="0"/>
        <v>0</v>
      </c>
    </row>
    <row r="36" spans="1:31" ht="20" thickBot="1" x14ac:dyDescent="0.25">
      <c r="A36" s="129"/>
      <c r="B36" s="137">
        <v>54</v>
      </c>
      <c r="C36" s="266" t="s">
        <v>86</v>
      </c>
      <c r="D36" s="266"/>
      <c r="E36" s="266"/>
      <c r="F36" s="266"/>
      <c r="G36" s="266"/>
      <c r="H36" s="266"/>
      <c r="I36" s="266"/>
      <c r="J36" s="266"/>
      <c r="K36" s="266"/>
      <c r="L36" s="266"/>
      <c r="M36" s="142"/>
      <c r="N36" s="163" t="str">
        <f>IF(algoritmo=1,AE36,"")</f>
        <v/>
      </c>
      <c r="O36" s="149"/>
      <c r="P36" s="159" t="str">
        <f>IF(algoritmo=2,AE36,"")</f>
        <v/>
      </c>
      <c r="Q36" s="149"/>
      <c r="R36" s="160" t="str">
        <f>IF(algoritmo=3,AE36,"")</f>
        <v/>
      </c>
      <c r="S36" s="149"/>
      <c r="T36" s="149"/>
      <c r="U36" s="161">
        <f>IF(algoritmo=4,AE36,"")</f>
        <v>0</v>
      </c>
      <c r="V36" s="149"/>
      <c r="W36" s="149"/>
      <c r="X36" s="164" t="str">
        <f>IF(algoritmo=5,AE36,"")</f>
        <v/>
      </c>
      <c r="Y36" s="129"/>
      <c r="Z36" s="129"/>
      <c r="AA36" s="36">
        <f>LOOKUP(AD36,COD,PUNT)</f>
        <v>0</v>
      </c>
      <c r="AB36" s="135"/>
      <c r="AC36" s="135"/>
      <c r="AD36" s="20">
        <f t="shared" si="0"/>
        <v>0</v>
      </c>
      <c r="AE36" s="21">
        <f>INGRESO!C36</f>
        <v>0</v>
      </c>
    </row>
    <row r="37" spans="1:31" ht="5" customHeight="1" thickBot="1" x14ac:dyDescent="0.3">
      <c r="A37" s="129"/>
      <c r="B37" s="146"/>
      <c r="C37" s="151"/>
      <c r="D37" s="151"/>
      <c r="E37" s="151"/>
      <c r="F37" s="151"/>
      <c r="G37" s="151"/>
      <c r="H37" s="151"/>
      <c r="I37" s="151"/>
      <c r="J37" s="151"/>
      <c r="K37" s="151"/>
      <c r="L37" s="151"/>
      <c r="M37" s="151"/>
      <c r="N37" s="129"/>
      <c r="O37" s="139"/>
      <c r="P37" s="139"/>
      <c r="Q37" s="139"/>
      <c r="R37" s="139"/>
      <c r="S37" s="139"/>
      <c r="T37" s="139"/>
      <c r="U37" s="139"/>
      <c r="V37" s="139"/>
      <c r="W37" s="139"/>
      <c r="X37" s="129"/>
      <c r="Y37" s="129"/>
      <c r="Z37" s="129"/>
      <c r="AA37" s="47" t="s">
        <v>52</v>
      </c>
      <c r="AB37" s="135"/>
      <c r="AC37" s="135"/>
      <c r="AD37" s="20">
        <f t="shared" si="0"/>
        <v>0</v>
      </c>
    </row>
    <row r="38" spans="1:31" ht="20" thickBot="1" x14ac:dyDescent="0.3">
      <c r="A38" s="129"/>
      <c r="B38" s="129"/>
      <c r="C38" s="150"/>
      <c r="D38" s="150"/>
      <c r="E38" s="150"/>
      <c r="F38" s="150"/>
      <c r="G38" s="150"/>
      <c r="H38" s="150"/>
      <c r="I38" s="150"/>
      <c r="J38" s="150"/>
      <c r="K38" s="150"/>
      <c r="L38" s="150"/>
      <c r="M38" s="150"/>
      <c r="N38" s="129"/>
      <c r="O38" s="139"/>
      <c r="P38" s="139"/>
      <c r="Q38" s="139"/>
      <c r="R38" s="139"/>
      <c r="S38" s="139"/>
      <c r="T38" s="139"/>
      <c r="U38" s="139"/>
      <c r="V38" s="139"/>
      <c r="W38" s="139"/>
      <c r="X38" s="263" t="s">
        <v>74</v>
      </c>
      <c r="Y38" s="263"/>
      <c r="Z38" s="264"/>
      <c r="AA38" s="46">
        <f>SUM(AA36,AA34,AA32)</f>
        <v>0</v>
      </c>
      <c r="AB38" s="135"/>
      <c r="AC38" s="135"/>
      <c r="AD38" s="20">
        <f t="shared" si="0"/>
        <v>0</v>
      </c>
    </row>
    <row r="39" spans="1:31" ht="6" customHeight="1" x14ac:dyDescent="0.2">
      <c r="A39" s="129"/>
      <c r="B39" s="129"/>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34"/>
      <c r="AB39" s="135"/>
      <c r="AC39" s="135"/>
      <c r="AD39" s="20">
        <f t="shared" si="0"/>
        <v>0</v>
      </c>
    </row>
    <row r="40" spans="1:31" ht="21" customHeight="1" x14ac:dyDescent="0.2">
      <c r="A40" s="33" t="s">
        <v>72</v>
      </c>
      <c r="B40" s="267" t="s">
        <v>87</v>
      </c>
      <c r="C40" s="267"/>
      <c r="D40" s="267"/>
      <c r="E40" s="267"/>
      <c r="F40" s="267"/>
      <c r="G40" s="267"/>
      <c r="H40" s="267"/>
      <c r="I40" s="267"/>
      <c r="J40" s="267"/>
      <c r="K40" s="267"/>
      <c r="L40" s="267"/>
      <c r="M40" s="267"/>
      <c r="N40" s="267"/>
      <c r="O40" s="267"/>
      <c r="P40" s="267"/>
      <c r="Q40" s="267"/>
      <c r="R40" s="267"/>
      <c r="S40" s="267"/>
      <c r="T40" s="267"/>
      <c r="U40" s="267"/>
      <c r="V40" s="267"/>
      <c r="W40" s="267"/>
      <c r="X40" s="267"/>
      <c r="Y40" s="131"/>
      <c r="Z40" s="131"/>
      <c r="AA40" s="144" t="s">
        <v>59</v>
      </c>
      <c r="AB40" s="135"/>
      <c r="AC40" s="135"/>
      <c r="AD40" s="20">
        <f t="shared" si="0"/>
        <v>0</v>
      </c>
    </row>
    <row r="41" spans="1:31" ht="5" customHeight="1" thickBot="1" x14ac:dyDescent="0.25">
      <c r="A41" s="140"/>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31"/>
      <c r="Z41" s="131"/>
      <c r="AA41" s="132"/>
      <c r="AB41" s="135"/>
      <c r="AC41" s="135"/>
      <c r="AD41" s="20">
        <f t="shared" si="0"/>
        <v>0</v>
      </c>
    </row>
    <row r="42" spans="1:31" ht="20" thickBot="1" x14ac:dyDescent="0.25">
      <c r="A42" s="129"/>
      <c r="B42" s="137">
        <v>31</v>
      </c>
      <c r="C42" s="265" t="s">
        <v>88</v>
      </c>
      <c r="D42" s="265"/>
      <c r="E42" s="265"/>
      <c r="F42" s="265"/>
      <c r="G42" s="265"/>
      <c r="H42" s="265"/>
      <c r="I42" s="265"/>
      <c r="J42" s="265"/>
      <c r="K42" s="265"/>
      <c r="L42" s="265"/>
      <c r="M42" s="150"/>
      <c r="N42" s="163" t="str">
        <f>IF(algoritmo=1,AE42,"")</f>
        <v/>
      </c>
      <c r="O42" s="149"/>
      <c r="P42" s="159" t="str">
        <f>IF(algoritmo=2,AE42,"")</f>
        <v/>
      </c>
      <c r="Q42" s="149"/>
      <c r="R42" s="160" t="str">
        <f>IF(algoritmo=3,AE42,"")</f>
        <v/>
      </c>
      <c r="S42" s="149"/>
      <c r="T42" s="149"/>
      <c r="U42" s="161">
        <f>IF(algoritmo=4,AE42,"")</f>
        <v>0</v>
      </c>
      <c r="V42" s="149"/>
      <c r="W42" s="149"/>
      <c r="X42" s="164" t="str">
        <f>IF(algoritmo=5,AE42,"")</f>
        <v/>
      </c>
      <c r="Y42" s="129"/>
      <c r="Z42" s="129"/>
      <c r="AA42" s="36">
        <f>LOOKUP(AD42,COD,PUNT)</f>
        <v>0</v>
      </c>
      <c r="AB42" s="135"/>
      <c r="AC42" s="135"/>
      <c r="AD42" s="20">
        <f t="shared" si="0"/>
        <v>0</v>
      </c>
      <c r="AE42" s="21">
        <f>INGRESO!C14</f>
        <v>0</v>
      </c>
    </row>
    <row r="43" spans="1:31" ht="5" customHeight="1" thickBot="1" x14ac:dyDescent="0.25">
      <c r="A43" s="129"/>
      <c r="B43" s="137"/>
      <c r="C43" s="147"/>
      <c r="D43" s="147"/>
      <c r="E43" s="147"/>
      <c r="F43" s="147"/>
      <c r="G43" s="147"/>
      <c r="H43" s="147"/>
      <c r="I43" s="147"/>
      <c r="J43" s="147"/>
      <c r="K43" s="147"/>
      <c r="L43" s="147"/>
      <c r="M43" s="147"/>
      <c r="N43" s="35"/>
      <c r="O43" s="149"/>
      <c r="P43" s="35"/>
      <c r="Q43" s="149"/>
      <c r="R43" s="35"/>
      <c r="S43" s="149"/>
      <c r="T43" s="149"/>
      <c r="U43" s="35"/>
      <c r="V43" s="149"/>
      <c r="W43" s="149"/>
      <c r="X43" s="35"/>
      <c r="Y43" s="129"/>
      <c r="Z43" s="129"/>
      <c r="AA43" s="45" t="s">
        <v>52</v>
      </c>
      <c r="AB43" s="135"/>
      <c r="AC43" s="135"/>
      <c r="AD43" s="20">
        <f t="shared" si="0"/>
        <v>0</v>
      </c>
    </row>
    <row r="44" spans="1:31" ht="20" thickBot="1" x14ac:dyDescent="0.25">
      <c r="A44" s="129"/>
      <c r="B44" s="137">
        <v>55</v>
      </c>
      <c r="C44" s="265" t="s">
        <v>89</v>
      </c>
      <c r="D44" s="265"/>
      <c r="E44" s="265"/>
      <c r="F44" s="265"/>
      <c r="G44" s="265"/>
      <c r="H44" s="265"/>
      <c r="I44" s="265"/>
      <c r="J44" s="265"/>
      <c r="K44" s="265"/>
      <c r="L44" s="265"/>
      <c r="M44" s="141"/>
      <c r="N44" s="163" t="str">
        <f>IF(algoritmo=1,AE44,"")</f>
        <v/>
      </c>
      <c r="O44" s="149"/>
      <c r="P44" s="159" t="str">
        <f>IF(algoritmo=2,AE44,"")</f>
        <v/>
      </c>
      <c r="Q44" s="149"/>
      <c r="R44" s="160" t="str">
        <f>IF(algoritmo=3,AE44,"")</f>
        <v/>
      </c>
      <c r="S44" s="149"/>
      <c r="T44" s="149"/>
      <c r="U44" s="161">
        <f>IF(algoritmo=4,AE44,"")</f>
        <v>0</v>
      </c>
      <c r="V44" s="149"/>
      <c r="W44" s="149"/>
      <c r="X44" s="164" t="str">
        <f>IF(algoritmo=5,AE44,"")</f>
        <v/>
      </c>
      <c r="Y44" s="129"/>
      <c r="Z44" s="129"/>
      <c r="AA44" s="36">
        <f>LOOKUP(AD44,COD,PUNT)</f>
        <v>0</v>
      </c>
      <c r="AB44" s="135"/>
      <c r="AC44" s="135"/>
      <c r="AD44" s="20">
        <f t="shared" si="0"/>
        <v>0</v>
      </c>
      <c r="AE44" s="21">
        <f>INGRESO!C37</f>
        <v>0</v>
      </c>
    </row>
    <row r="45" spans="1:31" ht="5" customHeight="1" thickBot="1" x14ac:dyDescent="0.25">
      <c r="A45" s="129"/>
      <c r="B45" s="137"/>
      <c r="C45" s="147"/>
      <c r="D45" s="147"/>
      <c r="E45" s="147"/>
      <c r="F45" s="147"/>
      <c r="G45" s="147"/>
      <c r="H45" s="147"/>
      <c r="I45" s="147"/>
      <c r="J45" s="147"/>
      <c r="K45" s="147"/>
      <c r="L45" s="147"/>
      <c r="M45" s="147"/>
      <c r="N45" s="35"/>
      <c r="O45" s="149"/>
      <c r="P45" s="35"/>
      <c r="Q45" s="149"/>
      <c r="R45" s="35"/>
      <c r="S45" s="149"/>
      <c r="T45" s="149"/>
      <c r="U45" s="35"/>
      <c r="V45" s="149"/>
      <c r="W45" s="149"/>
      <c r="X45" s="35"/>
      <c r="Y45" s="129"/>
      <c r="Z45" s="129"/>
      <c r="AA45" s="45" t="s">
        <v>52</v>
      </c>
      <c r="AB45" s="135"/>
      <c r="AC45" s="135"/>
      <c r="AD45" s="20">
        <f t="shared" si="0"/>
        <v>0</v>
      </c>
    </row>
    <row r="46" spans="1:31" ht="20" thickBot="1" x14ac:dyDescent="0.25">
      <c r="A46" s="129"/>
      <c r="B46" s="137">
        <v>56</v>
      </c>
      <c r="C46" s="266" t="s">
        <v>90</v>
      </c>
      <c r="D46" s="266"/>
      <c r="E46" s="266"/>
      <c r="F46" s="266"/>
      <c r="G46" s="266"/>
      <c r="H46" s="266"/>
      <c r="I46" s="266"/>
      <c r="J46" s="266"/>
      <c r="K46" s="266"/>
      <c r="L46" s="266"/>
      <c r="M46" s="142"/>
      <c r="N46" s="163" t="str">
        <f>IF(algoritmo=1,AE46,"")</f>
        <v/>
      </c>
      <c r="O46" s="149"/>
      <c r="P46" s="159" t="str">
        <f>IF(algoritmo=2,AE46,"")</f>
        <v/>
      </c>
      <c r="Q46" s="149"/>
      <c r="R46" s="160" t="str">
        <f>IF(algoritmo=3,AE46,"")</f>
        <v/>
      </c>
      <c r="S46" s="149"/>
      <c r="T46" s="149"/>
      <c r="U46" s="161">
        <f>IF(algoritmo=4,AE46,"")</f>
        <v>0</v>
      </c>
      <c r="V46" s="149"/>
      <c r="W46" s="149"/>
      <c r="X46" s="164" t="str">
        <f>IF(algoritmo=5,AE46,"")</f>
        <v/>
      </c>
      <c r="Y46" s="129"/>
      <c r="Z46" s="129"/>
      <c r="AA46" s="36">
        <f>LOOKUP(AD46,COD,PUNT)</f>
        <v>0</v>
      </c>
      <c r="AB46" s="135"/>
      <c r="AC46" s="135"/>
      <c r="AD46" s="20">
        <f t="shared" si="0"/>
        <v>0</v>
      </c>
      <c r="AE46" s="21">
        <f>INGRESO!C38</f>
        <v>0</v>
      </c>
    </row>
    <row r="47" spans="1:31" ht="5" customHeight="1" thickBot="1" x14ac:dyDescent="0.25">
      <c r="A47" s="129"/>
      <c r="B47" s="137"/>
      <c r="C47" s="151"/>
      <c r="D47" s="151"/>
      <c r="E47" s="151"/>
      <c r="F47" s="151"/>
      <c r="G47" s="151"/>
      <c r="H47" s="151"/>
      <c r="I47" s="151"/>
      <c r="J47" s="151"/>
      <c r="K47" s="151"/>
      <c r="L47" s="151"/>
      <c r="M47" s="151"/>
      <c r="N47" s="35"/>
      <c r="O47" s="149"/>
      <c r="P47" s="35"/>
      <c r="Q47" s="149"/>
      <c r="R47" s="35"/>
      <c r="S47" s="149"/>
      <c r="T47" s="149"/>
      <c r="U47" s="35"/>
      <c r="V47" s="149"/>
      <c r="W47" s="149"/>
      <c r="X47" s="35"/>
      <c r="Y47" s="129"/>
      <c r="Z47" s="129"/>
      <c r="AA47" s="47" t="s">
        <v>52</v>
      </c>
      <c r="AB47" s="135"/>
      <c r="AC47" s="135"/>
      <c r="AD47" s="20">
        <f t="shared" si="0"/>
        <v>0</v>
      </c>
    </row>
    <row r="48" spans="1:31" ht="20" thickBot="1" x14ac:dyDescent="0.25">
      <c r="A48" s="129"/>
      <c r="B48" s="137">
        <v>58</v>
      </c>
      <c r="C48" s="265" t="s">
        <v>91</v>
      </c>
      <c r="D48" s="265"/>
      <c r="E48" s="265"/>
      <c r="F48" s="265"/>
      <c r="G48" s="265"/>
      <c r="H48" s="265"/>
      <c r="I48" s="265"/>
      <c r="J48" s="265"/>
      <c r="K48" s="265"/>
      <c r="L48" s="265"/>
      <c r="M48" s="150"/>
      <c r="N48" s="163" t="str">
        <f>IF(algoritmo=1,AE48,"")</f>
        <v/>
      </c>
      <c r="O48" s="149"/>
      <c r="P48" s="159" t="str">
        <f>IF(algoritmo=2,AE48,"")</f>
        <v/>
      </c>
      <c r="Q48" s="149"/>
      <c r="R48" s="160" t="str">
        <f>IF(algoritmo=3,AE48,"")</f>
        <v/>
      </c>
      <c r="S48" s="149"/>
      <c r="T48" s="149"/>
      <c r="U48" s="161">
        <f>IF(algoritmo=4,AE48,"")</f>
        <v>0</v>
      </c>
      <c r="V48" s="149"/>
      <c r="W48" s="149"/>
      <c r="X48" s="164" t="str">
        <f>IF(algoritmo=5,AE48,"")</f>
        <v/>
      </c>
      <c r="Y48" s="129"/>
      <c r="Z48" s="129"/>
      <c r="AA48" s="36">
        <f>LOOKUP(AD48,COD,PUNT)</f>
        <v>0</v>
      </c>
      <c r="AB48" s="135"/>
      <c r="AC48" s="135"/>
      <c r="AD48" s="20">
        <f t="shared" si="0"/>
        <v>0</v>
      </c>
      <c r="AE48" s="21">
        <f>INGRESO!C40</f>
        <v>0</v>
      </c>
    </row>
    <row r="49" spans="1:31" ht="5" customHeight="1" thickBot="1" x14ac:dyDescent="0.25">
      <c r="A49" s="129"/>
      <c r="B49" s="137"/>
      <c r="C49" s="147"/>
      <c r="D49" s="147"/>
      <c r="E49" s="147"/>
      <c r="F49" s="147"/>
      <c r="G49" s="147"/>
      <c r="H49" s="147"/>
      <c r="I49" s="147"/>
      <c r="J49" s="147"/>
      <c r="K49" s="147"/>
      <c r="L49" s="147"/>
      <c r="M49" s="147"/>
      <c r="N49" s="35"/>
      <c r="O49" s="149"/>
      <c r="P49" s="35"/>
      <c r="Q49" s="149"/>
      <c r="R49" s="35"/>
      <c r="S49" s="149"/>
      <c r="T49" s="149"/>
      <c r="U49" s="35"/>
      <c r="V49" s="149"/>
      <c r="W49" s="149"/>
      <c r="X49" s="35"/>
      <c r="Y49" s="129"/>
      <c r="Z49" s="129"/>
      <c r="AA49" s="45" t="s">
        <v>52</v>
      </c>
      <c r="AB49" s="135"/>
      <c r="AC49" s="135"/>
      <c r="AD49" s="20">
        <f t="shared" si="0"/>
        <v>0</v>
      </c>
    </row>
    <row r="50" spans="1:31" ht="20" thickBot="1" x14ac:dyDescent="0.25">
      <c r="A50" s="129"/>
      <c r="B50" s="137">
        <v>59</v>
      </c>
      <c r="C50" s="265" t="s">
        <v>92</v>
      </c>
      <c r="D50" s="265"/>
      <c r="E50" s="265"/>
      <c r="F50" s="265"/>
      <c r="G50" s="265"/>
      <c r="H50" s="265"/>
      <c r="I50" s="265"/>
      <c r="J50" s="265"/>
      <c r="K50" s="265"/>
      <c r="L50" s="265"/>
      <c r="M50" s="150"/>
      <c r="N50" s="163" t="str">
        <f>IF(algoritmo=1,AE50,"")</f>
        <v/>
      </c>
      <c r="O50" s="149"/>
      <c r="P50" s="159" t="str">
        <f>IF(algoritmo=2,AE50,"")</f>
        <v/>
      </c>
      <c r="Q50" s="149"/>
      <c r="R50" s="160" t="str">
        <f>IF(algoritmo=3,AE50,"")</f>
        <v/>
      </c>
      <c r="S50" s="149"/>
      <c r="T50" s="149"/>
      <c r="U50" s="161">
        <f>IF(algoritmo=4,AE50,"")</f>
        <v>0</v>
      </c>
      <c r="V50" s="149"/>
      <c r="W50" s="149"/>
      <c r="X50" s="164" t="str">
        <f>IF(algoritmo=5,AE50,"")</f>
        <v/>
      </c>
      <c r="Y50" s="129"/>
      <c r="Z50" s="129"/>
      <c r="AA50" s="36">
        <f>LOOKUP(AD50,COD,PUNT)</f>
        <v>0</v>
      </c>
      <c r="AB50" s="135"/>
      <c r="AC50" s="135"/>
      <c r="AD50" s="20">
        <f t="shared" si="0"/>
        <v>0</v>
      </c>
      <c r="AE50" s="21">
        <f>INGRESO!C41</f>
        <v>0</v>
      </c>
    </row>
    <row r="51" spans="1:31" ht="5" customHeight="1" thickBot="1" x14ac:dyDescent="0.3">
      <c r="A51" s="129"/>
      <c r="B51" s="146"/>
      <c r="C51" s="147"/>
      <c r="D51" s="147"/>
      <c r="E51" s="147"/>
      <c r="F51" s="147"/>
      <c r="G51" s="147"/>
      <c r="H51" s="147"/>
      <c r="I51" s="147"/>
      <c r="J51" s="147"/>
      <c r="K51" s="147"/>
      <c r="L51" s="147"/>
      <c r="M51" s="147"/>
      <c r="N51" s="129"/>
      <c r="O51" s="139"/>
      <c r="P51" s="139"/>
      <c r="Q51" s="139"/>
      <c r="R51" s="139"/>
      <c r="S51" s="139"/>
      <c r="T51" s="139"/>
      <c r="U51" s="139"/>
      <c r="V51" s="139"/>
      <c r="W51" s="139"/>
      <c r="X51" s="129"/>
      <c r="Y51" s="129"/>
      <c r="Z51" s="129"/>
      <c r="AA51" s="45" t="s">
        <v>52</v>
      </c>
      <c r="AB51" s="135"/>
      <c r="AC51" s="135"/>
      <c r="AD51" s="20">
        <f t="shared" si="0"/>
        <v>0</v>
      </c>
    </row>
    <row r="52" spans="1:31" ht="20" thickBot="1" x14ac:dyDescent="0.25">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263" t="s">
        <v>73</v>
      </c>
      <c r="Y52" s="263"/>
      <c r="Z52" s="264"/>
      <c r="AA52" s="46">
        <f>SUM(AA50,AA48,AA46,AA44,AA42)</f>
        <v>0</v>
      </c>
      <c r="AB52" s="135"/>
      <c r="AC52" s="135"/>
      <c r="AD52" s="20">
        <f t="shared" si="0"/>
        <v>0</v>
      </c>
    </row>
    <row r="53" spans="1:31" ht="7" customHeight="1" thickBot="1" x14ac:dyDescent="0.25">
      <c r="A53" s="272" t="s">
        <v>76</v>
      </c>
      <c r="B53" s="273"/>
      <c r="C53" s="273"/>
      <c r="D53" s="273"/>
      <c r="E53" s="273"/>
      <c r="F53" s="273"/>
      <c r="G53" s="273"/>
      <c r="H53" s="273"/>
      <c r="I53" s="273"/>
      <c r="J53" s="273"/>
      <c r="K53" s="273"/>
      <c r="L53" s="273"/>
      <c r="M53" s="273"/>
      <c r="N53" s="273"/>
      <c r="O53" s="129"/>
      <c r="P53" s="129"/>
      <c r="Q53" s="129"/>
      <c r="R53" s="129"/>
      <c r="S53" s="129"/>
      <c r="T53" s="129"/>
      <c r="U53" s="129"/>
      <c r="V53" s="129"/>
      <c r="W53" s="129"/>
      <c r="X53" s="148"/>
      <c r="Y53" s="148"/>
      <c r="Z53" s="148"/>
      <c r="AA53" s="48"/>
      <c r="AB53" s="135"/>
      <c r="AC53" s="135"/>
      <c r="AD53" s="20">
        <f t="shared" si="0"/>
        <v>0</v>
      </c>
    </row>
    <row r="54" spans="1:31" ht="22" thickBot="1" x14ac:dyDescent="0.3">
      <c r="A54" s="273"/>
      <c r="B54" s="273"/>
      <c r="C54" s="273"/>
      <c r="D54" s="273"/>
      <c r="E54" s="273"/>
      <c r="F54" s="273"/>
      <c r="G54" s="273"/>
      <c r="H54" s="273"/>
      <c r="I54" s="273"/>
      <c r="J54" s="273"/>
      <c r="K54" s="273"/>
      <c r="L54" s="273"/>
      <c r="M54" s="273"/>
      <c r="N54" s="273"/>
      <c r="O54" s="129"/>
      <c r="P54" s="270" t="s">
        <v>75</v>
      </c>
      <c r="Q54" s="270"/>
      <c r="R54" s="270"/>
      <c r="S54" s="270"/>
      <c r="T54" s="270"/>
      <c r="U54" s="270"/>
      <c r="V54" s="270"/>
      <c r="W54" s="270"/>
      <c r="X54" s="270"/>
      <c r="Y54" s="270"/>
      <c r="Z54" s="271"/>
      <c r="AA54" s="78">
        <f>SUM(AA52,AA38,AA28,AA14)</f>
        <v>0</v>
      </c>
      <c r="AB54" s="135"/>
      <c r="AC54" s="135"/>
      <c r="AD54" s="20">
        <f t="shared" si="0"/>
        <v>0</v>
      </c>
    </row>
    <row r="55" spans="1:31" ht="15" customHeight="1" x14ac:dyDescent="0.2">
      <c r="A55" s="273"/>
      <c r="B55" s="273"/>
      <c r="C55" s="273"/>
      <c r="D55" s="273"/>
      <c r="E55" s="273"/>
      <c r="F55" s="273"/>
      <c r="G55" s="273"/>
      <c r="H55" s="273"/>
      <c r="I55" s="273"/>
      <c r="J55" s="273"/>
      <c r="K55" s="273"/>
      <c r="L55" s="273"/>
      <c r="M55" s="273"/>
      <c r="N55" s="273"/>
      <c r="O55" s="129"/>
      <c r="P55" s="129"/>
      <c r="Q55" s="129"/>
      <c r="R55" s="129"/>
      <c r="S55" s="129"/>
      <c r="T55" s="129"/>
      <c r="U55" s="129"/>
      <c r="V55" s="129"/>
      <c r="W55" s="129"/>
      <c r="X55" s="129"/>
      <c r="Y55" s="129"/>
      <c r="Z55" s="129"/>
      <c r="AA55" s="134"/>
      <c r="AB55" s="135"/>
      <c r="AC55" s="135"/>
    </row>
    <row r="56" spans="1:31" x14ac:dyDescent="0.2">
      <c r="A56" s="268"/>
      <c r="B56" s="268"/>
      <c r="C56" s="268"/>
      <c r="D56" s="268"/>
      <c r="E56" s="268"/>
      <c r="F56" s="268"/>
      <c r="G56" s="268"/>
      <c r="H56" s="268"/>
      <c r="I56" s="268"/>
      <c r="J56" s="268"/>
      <c r="K56" s="268"/>
      <c r="L56" s="268"/>
      <c r="M56" s="268"/>
      <c r="N56" s="268"/>
      <c r="O56" s="129"/>
      <c r="P56" s="129"/>
      <c r="Q56" s="129"/>
      <c r="R56" s="129"/>
      <c r="S56" s="129"/>
      <c r="T56" s="129"/>
      <c r="U56" s="129"/>
      <c r="V56" s="129"/>
      <c r="W56" s="129"/>
      <c r="X56" s="129"/>
      <c r="Y56" s="129"/>
      <c r="Z56" s="129"/>
      <c r="AA56" s="134"/>
      <c r="AB56" s="135"/>
      <c r="AC56" s="135"/>
    </row>
  </sheetData>
  <sheetProtection algorithmName="SHA-512" hashValue="AokCKrrVb3NUJ3yd4SemQzo2u1W1tNb6l2oS/RXQxY5fKD5uMyQmMcrWXKdQGx+UUkidaCWNNR8gxI5wLU8qjA==" saltValue="R8UFBx9lN4F7Wt6Wb/SF3g==" spinCount="100000" sheet="1" selectLockedCells="1"/>
  <mergeCells count="35">
    <mergeCell ref="A1:X1"/>
    <mergeCell ref="B6:X6"/>
    <mergeCell ref="N3:R3"/>
    <mergeCell ref="T3:V3"/>
    <mergeCell ref="W3:Y3"/>
    <mergeCell ref="G3:L3"/>
    <mergeCell ref="X38:Z38"/>
    <mergeCell ref="A56:N56"/>
    <mergeCell ref="A3:E3"/>
    <mergeCell ref="B16:X16"/>
    <mergeCell ref="C18:L18"/>
    <mergeCell ref="C20:L20"/>
    <mergeCell ref="C22:L22"/>
    <mergeCell ref="C24:L24"/>
    <mergeCell ref="C50:L50"/>
    <mergeCell ref="C26:L26"/>
    <mergeCell ref="X28:Z28"/>
    <mergeCell ref="P54:Z54"/>
    <mergeCell ref="A53:N55"/>
    <mergeCell ref="AA24:AA26"/>
    <mergeCell ref="G4:L4"/>
    <mergeCell ref="X52:Z52"/>
    <mergeCell ref="C8:L8"/>
    <mergeCell ref="C10:L10"/>
    <mergeCell ref="C12:L12"/>
    <mergeCell ref="C32:L32"/>
    <mergeCell ref="C34:L34"/>
    <mergeCell ref="C36:L36"/>
    <mergeCell ref="B40:X40"/>
    <mergeCell ref="C42:L42"/>
    <mergeCell ref="C44:L44"/>
    <mergeCell ref="X14:Z14"/>
    <mergeCell ref="C46:L46"/>
    <mergeCell ref="C48:L48"/>
    <mergeCell ref="B30:X30"/>
  </mergeCells>
  <printOptions horizontalCentered="1"/>
  <pageMargins left="0.23622047244094491" right="0.23622047244094491" top="0.9055118110236221" bottom="0" header="0" footer="0"/>
  <pageSetup paperSize="9" scale="96" orientation="portrait" horizontalDpi="1200" verticalDpi="1200" r:id="rId1"/>
  <ignoredErrors>
    <ignoredError sqref="R26 U8 N8 P8 X8"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6167D-F115-4B69-9993-96495AFA5390}">
  <dimension ref="A1:AE55"/>
  <sheetViews>
    <sheetView view="pageLayout" zoomScaleNormal="100" workbookViewId="0">
      <selection activeCell="U21" sqref="U21"/>
    </sheetView>
  </sheetViews>
  <sheetFormatPr baseColWidth="10" defaultColWidth="0" defaultRowHeight="14.5" customHeight="1" zeroHeight="1" x14ac:dyDescent="0.2"/>
  <cols>
    <col min="1" max="1" width="3.6640625" style="129" customWidth="1"/>
    <col min="2" max="2" width="3.5" style="129" customWidth="1"/>
    <col min="3" max="3" width="11.6640625" style="129" customWidth="1"/>
    <col min="4" max="4" width="5.33203125" style="129" customWidth="1"/>
    <col min="5" max="5" width="3.33203125" style="129" customWidth="1"/>
    <col min="6" max="11" width="3.1640625" style="129" customWidth="1"/>
    <col min="12" max="12" width="3.83203125" style="129" customWidth="1"/>
    <col min="13" max="13" width="1.1640625" style="129" customWidth="1"/>
    <col min="14" max="22" width="3.1640625" style="129" customWidth="1"/>
    <col min="23" max="23" width="1.5" style="129" customWidth="1"/>
    <col min="24" max="24" width="3.1640625" style="129" customWidth="1"/>
    <col min="25" max="25" width="2.6640625" style="129" customWidth="1"/>
    <col min="26" max="26" width="3.33203125" style="129" customWidth="1"/>
    <col min="27" max="27" width="8.5" style="135" customWidth="1"/>
    <col min="28" max="28" width="1.1640625" style="135" customWidth="1"/>
    <col min="29" max="29" width="1.1640625" style="135" hidden="1" customWidth="1"/>
    <col min="30" max="30" width="5.1640625" style="136" hidden="1" customWidth="1"/>
    <col min="31" max="31" width="0" style="129" hidden="1" customWidth="1"/>
    <col min="32" max="16384" width="5.1640625" style="129" hidden="1"/>
  </cols>
  <sheetData>
    <row r="1" spans="1:31" s="21" customFormat="1" ht="16" x14ac:dyDescent="0.2">
      <c r="A1" s="274" t="s">
        <v>94</v>
      </c>
      <c r="B1" s="274"/>
      <c r="C1" s="274"/>
      <c r="D1" s="274"/>
      <c r="E1" s="274"/>
      <c r="F1" s="274"/>
      <c r="G1" s="274"/>
      <c r="H1" s="274"/>
      <c r="I1" s="274"/>
      <c r="J1" s="274"/>
      <c r="K1" s="274"/>
      <c r="L1" s="274"/>
      <c r="M1" s="274"/>
      <c r="N1" s="274"/>
      <c r="O1" s="274"/>
      <c r="P1" s="274"/>
      <c r="Q1" s="274"/>
      <c r="R1" s="274"/>
      <c r="S1" s="274"/>
      <c r="T1" s="274"/>
      <c r="U1" s="274"/>
      <c r="V1" s="274"/>
      <c r="W1" s="274"/>
      <c r="X1" s="274"/>
      <c r="Y1" s="104"/>
      <c r="Z1" s="104"/>
      <c r="AA1" s="104"/>
      <c r="AB1" s="135"/>
      <c r="AC1" s="19"/>
      <c r="AD1" s="20"/>
    </row>
    <row r="2" spans="1:31" s="21" customFormat="1" ht="5.5" customHeight="1" x14ac:dyDescent="0.2">
      <c r="A2" s="286" t="str">
        <f>CONCATENATE("*Elemento 30=",'P1'!D46)</f>
        <v>*Elemento 30=</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135"/>
      <c r="AC2" s="19"/>
      <c r="AD2" s="67"/>
    </row>
    <row r="3" spans="1:31" s="21" customFormat="1" ht="32.5" customHeight="1" x14ac:dyDescent="0.2">
      <c r="A3" s="284" t="s">
        <v>96</v>
      </c>
      <c r="B3" s="285"/>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135"/>
      <c r="AC3" s="19"/>
      <c r="AD3" s="20"/>
    </row>
    <row r="4" spans="1:31" s="22" customFormat="1" ht="28.5" customHeight="1" x14ac:dyDescent="0.2">
      <c r="A4" s="130"/>
      <c r="B4" s="130"/>
      <c r="C4" s="130"/>
      <c r="D4" s="130"/>
      <c r="E4" s="130"/>
      <c r="F4" s="130"/>
      <c r="G4" s="262" t="s">
        <v>97</v>
      </c>
      <c r="H4" s="262"/>
      <c r="I4" s="262"/>
      <c r="J4" s="262"/>
      <c r="K4" s="262"/>
      <c r="L4" s="262"/>
      <c r="M4" s="130"/>
      <c r="N4" s="275" t="s">
        <v>65</v>
      </c>
      <c r="O4" s="275"/>
      <c r="P4" s="275"/>
      <c r="Q4" s="275"/>
      <c r="R4" s="275"/>
      <c r="T4" s="276" t="s">
        <v>65</v>
      </c>
      <c r="U4" s="276"/>
      <c r="V4" s="276"/>
      <c r="W4" s="283" t="s">
        <v>66</v>
      </c>
      <c r="X4" s="283"/>
      <c r="Y4" s="283"/>
      <c r="Z4" s="143"/>
      <c r="AA4" s="130"/>
      <c r="AB4" s="130"/>
      <c r="AD4" s="23"/>
    </row>
    <row r="5" spans="1:31" s="30" customFormat="1" ht="35" customHeight="1" x14ac:dyDescent="0.15">
      <c r="A5" s="131"/>
      <c r="B5" s="131"/>
      <c r="C5" s="131"/>
      <c r="D5" s="131"/>
      <c r="E5" s="131"/>
      <c r="F5" s="131"/>
      <c r="G5" s="262" t="s">
        <v>98</v>
      </c>
      <c r="H5" s="262"/>
      <c r="I5" s="262"/>
      <c r="J5" s="262"/>
      <c r="K5" s="262"/>
      <c r="L5" s="262"/>
      <c r="M5" s="131"/>
      <c r="N5" s="24" t="s">
        <v>62</v>
      </c>
      <c r="O5" s="25"/>
      <c r="P5" s="26" t="s">
        <v>63</v>
      </c>
      <c r="Q5" s="25"/>
      <c r="R5" s="27" t="s">
        <v>64</v>
      </c>
      <c r="S5" s="132"/>
      <c r="T5" s="132"/>
      <c r="U5" s="28" t="s">
        <v>62</v>
      </c>
      <c r="V5" s="132"/>
      <c r="W5" s="132"/>
      <c r="X5" s="29" t="s">
        <v>93</v>
      </c>
      <c r="Y5" s="131"/>
      <c r="Z5" s="131"/>
      <c r="AA5" s="131"/>
      <c r="AB5" s="131"/>
      <c r="AD5" s="31"/>
    </row>
    <row r="6" spans="1:31" s="30" customFormat="1" ht="5" customHeight="1" x14ac:dyDescent="0.15">
      <c r="A6" s="131"/>
      <c r="B6" s="131"/>
      <c r="C6" s="131"/>
      <c r="D6" s="131"/>
      <c r="E6" s="131"/>
      <c r="F6" s="131"/>
      <c r="G6" s="131"/>
      <c r="H6" s="131"/>
      <c r="I6" s="131"/>
      <c r="J6" s="131"/>
      <c r="K6" s="131"/>
      <c r="L6" s="131"/>
      <c r="M6" s="131"/>
      <c r="N6" s="131"/>
      <c r="O6" s="132"/>
      <c r="P6" s="132"/>
      <c r="Q6" s="132"/>
      <c r="R6" s="132"/>
      <c r="S6" s="132"/>
      <c r="T6" s="132"/>
      <c r="U6" s="132"/>
      <c r="V6" s="132"/>
      <c r="W6" s="132"/>
      <c r="X6" s="131"/>
      <c r="Y6" s="131"/>
      <c r="Z6" s="131"/>
      <c r="AA6" s="133"/>
      <c r="AB6" s="133"/>
      <c r="AC6" s="32"/>
      <c r="AD6" s="31"/>
    </row>
    <row r="7" spans="1:31" s="30" customFormat="1" ht="21" customHeight="1" x14ac:dyDescent="0.15">
      <c r="A7" s="33" t="s">
        <v>95</v>
      </c>
      <c r="B7" s="282" t="s">
        <v>100</v>
      </c>
      <c r="C7" s="282"/>
      <c r="D7" s="282"/>
      <c r="E7" s="282"/>
      <c r="F7" s="282"/>
      <c r="G7" s="282"/>
      <c r="H7" s="282"/>
      <c r="I7" s="282"/>
      <c r="J7" s="282"/>
      <c r="K7" s="282"/>
      <c r="L7" s="282"/>
      <c r="M7" s="282"/>
      <c r="N7" s="282"/>
      <c r="O7" s="282"/>
      <c r="P7" s="282"/>
      <c r="Q7" s="282"/>
      <c r="R7" s="282"/>
      <c r="S7" s="282"/>
      <c r="T7" s="282"/>
      <c r="U7" s="282"/>
      <c r="V7" s="282"/>
      <c r="W7" s="282"/>
      <c r="X7" s="282"/>
      <c r="Y7" s="131"/>
      <c r="Z7" s="131"/>
      <c r="AA7" s="144" t="s">
        <v>59</v>
      </c>
      <c r="AB7" s="144"/>
      <c r="AC7" s="34"/>
      <c r="AD7" s="31" t="s">
        <v>199</v>
      </c>
      <c r="AE7" s="30" t="s">
        <v>198</v>
      </c>
    </row>
    <row r="8" spans="1:31" s="30" customFormat="1" ht="5" customHeight="1" thickBot="1" x14ac:dyDescent="0.2">
      <c r="A8" s="140"/>
      <c r="B8" s="140"/>
      <c r="C8" s="140"/>
      <c r="D8" s="140"/>
      <c r="E8" s="140"/>
      <c r="F8" s="140"/>
      <c r="G8" s="140"/>
      <c r="H8" s="140"/>
      <c r="I8" s="140"/>
      <c r="J8" s="140"/>
      <c r="K8" s="140"/>
      <c r="L8" s="140"/>
      <c r="M8" s="140"/>
      <c r="N8" s="140"/>
      <c r="O8" s="140"/>
      <c r="P8" s="140"/>
      <c r="Q8" s="140"/>
      <c r="R8" s="140"/>
      <c r="S8" s="140"/>
      <c r="T8" s="140"/>
      <c r="U8" s="140"/>
      <c r="V8" s="140"/>
      <c r="W8" s="140"/>
      <c r="X8" s="140"/>
      <c r="Y8" s="131"/>
      <c r="Z8" s="131"/>
      <c r="AA8" s="132"/>
      <c r="AB8" s="131"/>
      <c r="AD8" s="31"/>
    </row>
    <row r="9" spans="1:31" s="21" customFormat="1" ht="19" customHeight="1" thickBot="1" x14ac:dyDescent="0.25">
      <c r="A9" s="129"/>
      <c r="B9" s="137">
        <v>42</v>
      </c>
      <c r="C9" s="265" t="s">
        <v>103</v>
      </c>
      <c r="D9" s="265"/>
      <c r="E9" s="265"/>
      <c r="F9" s="265"/>
      <c r="G9" s="265"/>
      <c r="H9" s="265"/>
      <c r="I9" s="265"/>
      <c r="J9" s="265"/>
      <c r="K9" s="265"/>
      <c r="L9" s="265"/>
      <c r="M9" s="141"/>
      <c r="N9" s="158" t="str">
        <f>IF(algoritmo=1,AE9,"")</f>
        <v/>
      </c>
      <c r="O9" s="149"/>
      <c r="P9" s="159" t="str">
        <f>IF(algoritmo=2,AE9,"")</f>
        <v/>
      </c>
      <c r="Q9" s="149"/>
      <c r="R9" s="160" t="str">
        <f>IF(algoritmo=3,AE9,"")</f>
        <v/>
      </c>
      <c r="S9" s="149"/>
      <c r="T9" s="149"/>
      <c r="U9" s="161">
        <f>IF(algoritmo=4,AE9,"")</f>
        <v>0</v>
      </c>
      <c r="V9" s="149"/>
      <c r="W9" s="149"/>
      <c r="X9" s="162" t="str">
        <f>IF(algoritmo=5,AE9,"")</f>
        <v/>
      </c>
      <c r="Y9" s="129"/>
      <c r="Z9" s="129"/>
      <c r="AA9" s="153">
        <f>LOOKUP(AD9,COD,PUNT)</f>
        <v>0</v>
      </c>
      <c r="AB9" s="135"/>
      <c r="AC9" s="19"/>
      <c r="AD9" s="20">
        <f>MAX(N9:X9)</f>
        <v>0</v>
      </c>
      <c r="AE9" s="21">
        <f>INGRESO!C24</f>
        <v>0</v>
      </c>
    </row>
    <row r="10" spans="1:31" s="21" customFormat="1" ht="5" customHeight="1" thickBot="1" x14ac:dyDescent="0.25">
      <c r="A10" s="129"/>
      <c r="B10" s="137"/>
      <c r="C10" s="129"/>
      <c r="D10" s="129"/>
      <c r="E10" s="129"/>
      <c r="F10" s="129"/>
      <c r="G10" s="129"/>
      <c r="H10" s="129"/>
      <c r="I10" s="129"/>
      <c r="J10" s="129"/>
      <c r="K10" s="129"/>
      <c r="L10" s="129"/>
      <c r="M10" s="129"/>
      <c r="N10" s="117"/>
      <c r="O10" s="149"/>
      <c r="P10" s="35"/>
      <c r="Q10" s="149"/>
      <c r="R10" s="35"/>
      <c r="S10" s="149"/>
      <c r="T10" s="149"/>
      <c r="U10" s="35"/>
      <c r="V10" s="149"/>
      <c r="W10" s="149"/>
      <c r="X10" s="117"/>
      <c r="Y10" s="129"/>
      <c r="Z10" s="129"/>
      <c r="AA10" s="154" t="s">
        <v>52</v>
      </c>
      <c r="AB10" s="135"/>
      <c r="AC10" s="19"/>
      <c r="AD10" s="20">
        <f t="shared" ref="AD10:AD49" si="0">MAX(N10:X10)</f>
        <v>0</v>
      </c>
    </row>
    <row r="11" spans="1:31" s="21" customFormat="1" ht="19" customHeight="1" thickBot="1" x14ac:dyDescent="0.25">
      <c r="A11" s="129"/>
      <c r="B11" s="137">
        <v>43</v>
      </c>
      <c r="C11" s="265" t="s">
        <v>104</v>
      </c>
      <c r="D11" s="265"/>
      <c r="E11" s="265"/>
      <c r="F11" s="265"/>
      <c r="G11" s="265"/>
      <c r="H11" s="265"/>
      <c r="I11" s="265"/>
      <c r="J11" s="265"/>
      <c r="K11" s="265"/>
      <c r="L11" s="265"/>
      <c r="M11" s="141"/>
      <c r="N11" s="158" t="str">
        <f>IF(algoritmo=1,AE11,"")</f>
        <v/>
      </c>
      <c r="O11" s="149"/>
      <c r="P11" s="159" t="str">
        <f>IF(algoritmo=2,AE11,"")</f>
        <v/>
      </c>
      <c r="Q11" s="149"/>
      <c r="R11" s="160" t="str">
        <f>IF(algoritmo=3,AE11,"")</f>
        <v/>
      </c>
      <c r="S11" s="149"/>
      <c r="T11" s="149"/>
      <c r="U11" s="161">
        <f>IF(algoritmo=4,AE11,"")</f>
        <v>0</v>
      </c>
      <c r="V11" s="149"/>
      <c r="W11" s="149"/>
      <c r="X11" s="162" t="str">
        <f>IF(algoritmo=5,AE11,"")</f>
        <v/>
      </c>
      <c r="Y11" s="129"/>
      <c r="Z11" s="129"/>
      <c r="AA11" s="153">
        <f>LOOKUP(AD11,COD,PUNT)</f>
        <v>0</v>
      </c>
      <c r="AB11" s="135"/>
      <c r="AC11" s="19"/>
      <c r="AD11" s="20">
        <f t="shared" si="0"/>
        <v>0</v>
      </c>
      <c r="AE11" s="21">
        <f>INGRESO!C25</f>
        <v>0</v>
      </c>
    </row>
    <row r="12" spans="1:31" s="21" customFormat="1" ht="5" customHeight="1" thickBot="1" x14ac:dyDescent="0.25">
      <c r="A12" s="129"/>
      <c r="B12" s="137"/>
      <c r="C12" s="129"/>
      <c r="D12" s="129"/>
      <c r="E12" s="129"/>
      <c r="F12" s="129"/>
      <c r="G12" s="129"/>
      <c r="H12" s="129"/>
      <c r="I12" s="129"/>
      <c r="J12" s="129"/>
      <c r="K12" s="129"/>
      <c r="L12" s="129"/>
      <c r="M12" s="129"/>
      <c r="N12" s="117"/>
      <c r="O12" s="149"/>
      <c r="P12" s="35"/>
      <c r="Q12" s="149"/>
      <c r="R12" s="35"/>
      <c r="S12" s="149"/>
      <c r="T12" s="149"/>
      <c r="U12" s="35"/>
      <c r="V12" s="149"/>
      <c r="W12" s="149"/>
      <c r="X12" s="117"/>
      <c r="Y12" s="129"/>
      <c r="Z12" s="129"/>
      <c r="AA12" s="154" t="s">
        <v>52</v>
      </c>
      <c r="AB12" s="135"/>
      <c r="AC12" s="19"/>
      <c r="AD12" s="20">
        <f t="shared" ref="AD12:AD13" si="1">MAX(N12:X12)</f>
        <v>0</v>
      </c>
    </row>
    <row r="13" spans="1:31" s="21" customFormat="1" ht="19" customHeight="1" thickBot="1" x14ac:dyDescent="0.25">
      <c r="A13" s="129"/>
      <c r="B13" s="137">
        <v>44</v>
      </c>
      <c r="C13" s="266" t="s">
        <v>105</v>
      </c>
      <c r="D13" s="266"/>
      <c r="E13" s="266"/>
      <c r="F13" s="266"/>
      <c r="G13" s="266"/>
      <c r="H13" s="266"/>
      <c r="I13" s="266"/>
      <c r="J13" s="266"/>
      <c r="K13" s="266"/>
      <c r="L13" s="266"/>
      <c r="M13" s="142"/>
      <c r="N13" s="158" t="str">
        <f>IF(algoritmo=1,AE13,"")</f>
        <v/>
      </c>
      <c r="O13" s="149"/>
      <c r="P13" s="159" t="str">
        <f>IF(algoritmo=2,AE13,"")</f>
        <v/>
      </c>
      <c r="Q13" s="149"/>
      <c r="R13" s="160" t="str">
        <f>IF(algoritmo=3,AE13,"")</f>
        <v/>
      </c>
      <c r="S13" s="149"/>
      <c r="T13" s="149"/>
      <c r="U13" s="161">
        <f>IF(algoritmo=4,AE13,"")</f>
        <v>0</v>
      </c>
      <c r="V13" s="149"/>
      <c r="W13" s="149"/>
      <c r="X13" s="162" t="str">
        <f>IF(algoritmo=5,AE13,"")</f>
        <v/>
      </c>
      <c r="Y13" s="129"/>
      <c r="Z13" s="129"/>
      <c r="AA13" s="153">
        <f>LOOKUP(AD13,COD,PUNT)</f>
        <v>0</v>
      </c>
      <c r="AB13" s="135"/>
      <c r="AC13" s="19"/>
      <c r="AD13" s="20">
        <f t="shared" si="1"/>
        <v>0</v>
      </c>
      <c r="AE13" s="21">
        <f>INGRESO!C26</f>
        <v>0</v>
      </c>
    </row>
    <row r="14" spans="1:31" s="21" customFormat="1" ht="5" customHeight="1" thickBot="1" x14ac:dyDescent="0.25">
      <c r="A14" s="129"/>
      <c r="B14" s="137"/>
      <c r="C14" s="129"/>
      <c r="D14" s="129"/>
      <c r="E14" s="129"/>
      <c r="F14" s="129"/>
      <c r="G14" s="129"/>
      <c r="H14" s="129"/>
      <c r="I14" s="129"/>
      <c r="J14" s="129"/>
      <c r="K14" s="129"/>
      <c r="L14" s="129"/>
      <c r="M14" s="129"/>
      <c r="N14" s="117"/>
      <c r="O14" s="149"/>
      <c r="P14" s="35"/>
      <c r="Q14" s="149"/>
      <c r="R14" s="35"/>
      <c r="S14" s="149"/>
      <c r="T14" s="149"/>
      <c r="U14" s="35"/>
      <c r="V14" s="149"/>
      <c r="W14" s="149"/>
      <c r="X14" s="117"/>
      <c r="Y14" s="129"/>
      <c r="Z14" s="129"/>
      <c r="AA14" s="154" t="s">
        <v>52</v>
      </c>
      <c r="AB14" s="135"/>
      <c r="AC14" s="19"/>
      <c r="AD14" s="20">
        <f t="shared" si="0"/>
        <v>0</v>
      </c>
    </row>
    <row r="15" spans="1:31" s="21" customFormat="1" ht="19" customHeight="1" thickBot="1" x14ac:dyDescent="0.25">
      <c r="A15" s="129"/>
      <c r="B15" s="137">
        <v>45</v>
      </c>
      <c r="C15" s="266" t="s">
        <v>106</v>
      </c>
      <c r="D15" s="266"/>
      <c r="E15" s="266"/>
      <c r="F15" s="266"/>
      <c r="G15" s="266"/>
      <c r="H15" s="266"/>
      <c r="I15" s="266"/>
      <c r="J15" s="266"/>
      <c r="K15" s="266"/>
      <c r="L15" s="266"/>
      <c r="M15" s="142"/>
      <c r="N15" s="158" t="str">
        <f>IF(algoritmo=1,AE15,"")</f>
        <v/>
      </c>
      <c r="O15" s="149"/>
      <c r="P15" s="159" t="str">
        <f>IF(algoritmo=2,AE15,"")</f>
        <v/>
      </c>
      <c r="Q15" s="149"/>
      <c r="R15" s="160" t="str">
        <f>IF(algoritmo=3,AE15,"")</f>
        <v/>
      </c>
      <c r="S15" s="149"/>
      <c r="T15" s="149"/>
      <c r="U15" s="161">
        <f>IF(algoritmo=4,AE15,"")</f>
        <v>0</v>
      </c>
      <c r="V15" s="149"/>
      <c r="W15" s="149"/>
      <c r="X15" s="162" t="str">
        <f>IF(algoritmo=5,AE15,"")</f>
        <v/>
      </c>
      <c r="Y15" s="129"/>
      <c r="Z15" s="129"/>
      <c r="AA15" s="153">
        <f>LOOKUP(AD15,COD,PUNT)</f>
        <v>0</v>
      </c>
      <c r="AB15" s="135"/>
      <c r="AC15" s="19"/>
      <c r="AD15" s="20">
        <f t="shared" si="0"/>
        <v>0</v>
      </c>
      <c r="AE15" s="21">
        <f>INGRESO!C27</f>
        <v>0</v>
      </c>
    </row>
    <row r="16" spans="1:31" s="21" customFormat="1" ht="5" customHeight="1" thickBot="1" x14ac:dyDescent="0.3">
      <c r="A16" s="129"/>
      <c r="B16" s="146"/>
      <c r="C16" s="138"/>
      <c r="D16" s="138"/>
      <c r="E16" s="138"/>
      <c r="F16" s="138"/>
      <c r="G16" s="138"/>
      <c r="H16" s="138"/>
      <c r="I16" s="138"/>
      <c r="J16" s="138"/>
      <c r="K16" s="138"/>
      <c r="L16" s="138"/>
      <c r="M16" s="138"/>
      <c r="N16" s="129"/>
      <c r="O16" s="139"/>
      <c r="P16" s="139"/>
      <c r="Q16" s="139"/>
      <c r="R16" s="139"/>
      <c r="S16" s="139"/>
      <c r="T16" s="139"/>
      <c r="U16" s="139"/>
      <c r="V16" s="139"/>
      <c r="W16" s="139"/>
      <c r="X16" s="129"/>
      <c r="Y16" s="129"/>
      <c r="Z16" s="129"/>
      <c r="AA16" s="134" t="s">
        <v>52</v>
      </c>
      <c r="AB16" s="135"/>
      <c r="AC16" s="19"/>
      <c r="AD16" s="20">
        <f t="shared" si="0"/>
        <v>0</v>
      </c>
    </row>
    <row r="17" spans="1:31" s="21" customFormat="1" ht="20" thickBot="1" x14ac:dyDescent="0.3">
      <c r="A17" s="129"/>
      <c r="B17" s="129"/>
      <c r="C17" s="129"/>
      <c r="D17" s="129"/>
      <c r="E17" s="129"/>
      <c r="F17" s="129"/>
      <c r="G17" s="129"/>
      <c r="H17" s="129"/>
      <c r="I17" s="129"/>
      <c r="J17" s="129"/>
      <c r="K17" s="129"/>
      <c r="L17" s="129"/>
      <c r="M17" s="129"/>
      <c r="N17" s="129"/>
      <c r="O17" s="139"/>
      <c r="P17" s="139"/>
      <c r="Q17" s="139"/>
      <c r="R17" s="139"/>
      <c r="S17" s="139"/>
      <c r="T17" s="139"/>
      <c r="U17" s="139"/>
      <c r="V17" s="139"/>
      <c r="W17" s="139"/>
      <c r="X17" s="263" t="s">
        <v>158</v>
      </c>
      <c r="Y17" s="263"/>
      <c r="Z17" s="264"/>
      <c r="AA17" s="155">
        <f>SUM(AA15,AA13,AA11,AA9)</f>
        <v>0</v>
      </c>
      <c r="AB17" s="145"/>
      <c r="AC17" s="38"/>
      <c r="AD17" s="20">
        <f t="shared" si="0"/>
        <v>0</v>
      </c>
    </row>
    <row r="18" spans="1:31" s="21" customFormat="1" ht="8" customHeight="1" x14ac:dyDescent="0.2">
      <c r="A18" s="129"/>
      <c r="B18" s="129"/>
      <c r="C18" s="129"/>
      <c r="D18" s="129"/>
      <c r="E18" s="129"/>
      <c r="F18" s="129"/>
      <c r="G18" s="129"/>
      <c r="H18" s="129"/>
      <c r="I18" s="129"/>
      <c r="J18" s="129"/>
      <c r="K18" s="129"/>
      <c r="L18" s="129"/>
      <c r="M18" s="129"/>
      <c r="N18" s="129"/>
      <c r="O18" s="129"/>
      <c r="P18" s="129"/>
      <c r="Q18" s="129"/>
      <c r="R18" s="129"/>
      <c r="S18" s="129"/>
      <c r="T18" s="129"/>
      <c r="U18" s="129"/>
      <c r="V18" s="129"/>
      <c r="W18" s="129"/>
      <c r="X18" s="129"/>
      <c r="Y18" s="129"/>
      <c r="Z18" s="129"/>
      <c r="AA18" s="134"/>
      <c r="AB18" s="135"/>
      <c r="AC18" s="19"/>
      <c r="AD18" s="20">
        <f t="shared" si="0"/>
        <v>0</v>
      </c>
    </row>
    <row r="19" spans="1:31" s="21" customFormat="1" ht="21" customHeight="1" x14ac:dyDescent="0.2">
      <c r="A19" s="33" t="s">
        <v>102</v>
      </c>
      <c r="B19" s="282" t="s">
        <v>204</v>
      </c>
      <c r="C19" s="282"/>
      <c r="D19" s="282"/>
      <c r="E19" s="282"/>
      <c r="F19" s="282"/>
      <c r="G19" s="282"/>
      <c r="H19" s="282"/>
      <c r="I19" s="282"/>
      <c r="J19" s="282"/>
      <c r="K19" s="282"/>
      <c r="L19" s="282"/>
      <c r="M19" s="282"/>
      <c r="N19" s="282"/>
      <c r="O19" s="282"/>
      <c r="P19" s="282"/>
      <c r="Q19" s="282"/>
      <c r="R19" s="282"/>
      <c r="S19" s="282"/>
      <c r="T19" s="282"/>
      <c r="U19" s="282"/>
      <c r="V19" s="282"/>
      <c r="W19" s="282"/>
      <c r="X19" s="282"/>
      <c r="Y19" s="131"/>
      <c r="Z19" s="131"/>
      <c r="AA19" s="144" t="s">
        <v>59</v>
      </c>
      <c r="AB19" s="135"/>
      <c r="AC19" s="19"/>
      <c r="AD19" s="20">
        <f t="shared" si="0"/>
        <v>0</v>
      </c>
    </row>
    <row r="20" spans="1:31" s="21" customFormat="1" ht="5" customHeight="1" thickBot="1" x14ac:dyDescent="0.25">
      <c r="A20" s="140"/>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31"/>
      <c r="Z20" s="131"/>
      <c r="AA20" s="132"/>
      <c r="AB20" s="135"/>
      <c r="AC20" s="19"/>
      <c r="AD20" s="20">
        <f t="shared" si="0"/>
        <v>0</v>
      </c>
    </row>
    <row r="21" spans="1:31" s="21" customFormat="1" ht="19" customHeight="1" thickBot="1" x14ac:dyDescent="0.25">
      <c r="A21" s="129"/>
      <c r="B21" s="137">
        <v>47</v>
      </c>
      <c r="C21" s="265" t="s">
        <v>107</v>
      </c>
      <c r="D21" s="265"/>
      <c r="E21" s="265"/>
      <c r="F21" s="265"/>
      <c r="G21" s="265"/>
      <c r="H21" s="265"/>
      <c r="I21" s="265"/>
      <c r="J21" s="265"/>
      <c r="K21" s="265"/>
      <c r="L21" s="265"/>
      <c r="M21" s="141"/>
      <c r="N21" s="158" t="str">
        <f>IF(algoritmo=1,AE21,"")</f>
        <v/>
      </c>
      <c r="O21" s="149"/>
      <c r="P21" s="159" t="str">
        <f>IF(algoritmo=2,AE21,"")</f>
        <v/>
      </c>
      <c r="Q21" s="149"/>
      <c r="R21" s="149"/>
      <c r="S21" s="149"/>
      <c r="T21" s="149"/>
      <c r="U21" s="161">
        <f>IF(algoritmo=4,AE21,"")</f>
        <v>0</v>
      </c>
      <c r="V21" s="149"/>
      <c r="W21" s="149"/>
      <c r="X21" s="162" t="str">
        <f>IF(algoritmo=5,AE21,"")</f>
        <v/>
      </c>
      <c r="Y21" s="129"/>
      <c r="Z21" s="129"/>
      <c r="AA21" s="153">
        <f>LOOKUP(AD21,COD,PUNT)</f>
        <v>0</v>
      </c>
      <c r="AB21" s="135"/>
      <c r="AC21" s="19"/>
      <c r="AD21" s="20">
        <f t="shared" si="0"/>
        <v>0</v>
      </c>
      <c r="AE21" s="21">
        <f>INGRESO!C29</f>
        <v>0</v>
      </c>
    </row>
    <row r="22" spans="1:31" s="21" customFormat="1" ht="5" customHeight="1" thickBot="1" x14ac:dyDescent="0.25">
      <c r="A22" s="129"/>
      <c r="B22" s="137"/>
      <c r="C22" s="147"/>
      <c r="D22" s="147"/>
      <c r="E22" s="147"/>
      <c r="F22" s="147"/>
      <c r="G22" s="147"/>
      <c r="H22" s="147"/>
      <c r="I22" s="147"/>
      <c r="J22" s="147"/>
      <c r="K22" s="147"/>
      <c r="L22" s="147"/>
      <c r="M22" s="147"/>
      <c r="N22" s="117"/>
      <c r="O22" s="149"/>
      <c r="P22" s="35"/>
      <c r="Q22" s="149"/>
      <c r="R22" s="149"/>
      <c r="S22" s="149"/>
      <c r="T22" s="149"/>
      <c r="U22" s="35"/>
      <c r="V22" s="149"/>
      <c r="W22" s="149"/>
      <c r="X22" s="117"/>
      <c r="Y22" s="129"/>
      <c r="Z22" s="129"/>
      <c r="AA22" s="154" t="s">
        <v>52</v>
      </c>
      <c r="AB22" s="135"/>
      <c r="AC22" s="19"/>
      <c r="AD22" s="20">
        <f t="shared" si="0"/>
        <v>0</v>
      </c>
    </row>
    <row r="23" spans="1:31" s="21" customFormat="1" ht="19" customHeight="1" thickBot="1" x14ac:dyDescent="0.25">
      <c r="A23" s="129"/>
      <c r="B23" s="137">
        <v>48</v>
      </c>
      <c r="C23" s="266" t="s">
        <v>108</v>
      </c>
      <c r="D23" s="266"/>
      <c r="E23" s="266"/>
      <c r="F23" s="266"/>
      <c r="G23" s="266"/>
      <c r="H23" s="266"/>
      <c r="I23" s="266"/>
      <c r="J23" s="266"/>
      <c r="K23" s="266"/>
      <c r="L23" s="266"/>
      <c r="M23" s="142"/>
      <c r="N23" s="158" t="str">
        <f>IF(algoritmo=1,AE23,"")</f>
        <v/>
      </c>
      <c r="O23" s="149"/>
      <c r="P23" s="159" t="str">
        <f>IF(algoritmo=2,AE23,"")</f>
        <v/>
      </c>
      <c r="Q23" s="149"/>
      <c r="R23" s="149"/>
      <c r="S23" s="149"/>
      <c r="T23" s="149"/>
      <c r="U23" s="161">
        <f>IF(algoritmo=4,AE23,"")</f>
        <v>0</v>
      </c>
      <c r="V23" s="149"/>
      <c r="W23" s="149"/>
      <c r="X23" s="162" t="str">
        <f>IF(algoritmo=5,AE23,"")</f>
        <v/>
      </c>
      <c r="Y23" s="129"/>
      <c r="Z23" s="129"/>
      <c r="AA23" s="153">
        <f>LOOKUP(AD23,COD,PUNT)</f>
        <v>0</v>
      </c>
      <c r="AB23" s="135"/>
      <c r="AC23" s="19"/>
      <c r="AD23" s="20">
        <f t="shared" si="0"/>
        <v>0</v>
      </c>
      <c r="AE23" s="21">
        <f>INGRESO!C30</f>
        <v>0</v>
      </c>
    </row>
    <row r="24" spans="1:31" s="21" customFormat="1" ht="5" customHeight="1" thickBot="1" x14ac:dyDescent="0.25">
      <c r="A24" s="129"/>
      <c r="B24" s="137"/>
      <c r="C24" s="151"/>
      <c r="D24" s="151"/>
      <c r="E24" s="151"/>
      <c r="F24" s="151"/>
      <c r="G24" s="151"/>
      <c r="H24" s="151"/>
      <c r="I24" s="151"/>
      <c r="J24" s="151"/>
      <c r="K24" s="151"/>
      <c r="L24" s="151"/>
      <c r="M24" s="151"/>
      <c r="N24" s="117"/>
      <c r="O24" s="149"/>
      <c r="P24" s="35"/>
      <c r="Q24" s="149"/>
      <c r="R24" s="149"/>
      <c r="S24" s="149"/>
      <c r="T24" s="149"/>
      <c r="U24" s="35"/>
      <c r="V24" s="149"/>
      <c r="W24" s="149"/>
      <c r="X24" s="117"/>
      <c r="Y24" s="129"/>
      <c r="Z24" s="129"/>
      <c r="AA24" s="134" t="s">
        <v>52</v>
      </c>
      <c r="AB24" s="135"/>
      <c r="AC24" s="19"/>
      <c r="AD24" s="20">
        <f t="shared" si="0"/>
        <v>0</v>
      </c>
    </row>
    <row r="25" spans="1:31" s="21" customFormat="1" ht="19" customHeight="1" thickBot="1" x14ac:dyDescent="0.25">
      <c r="A25" s="129"/>
      <c r="B25" s="137">
        <v>61</v>
      </c>
      <c r="C25" s="266" t="s">
        <v>109</v>
      </c>
      <c r="D25" s="266"/>
      <c r="E25" s="266"/>
      <c r="F25" s="266"/>
      <c r="G25" s="266"/>
      <c r="H25" s="266"/>
      <c r="I25" s="266"/>
      <c r="J25" s="266"/>
      <c r="K25" s="266"/>
      <c r="L25" s="266"/>
      <c r="M25" s="152"/>
      <c r="N25" s="158" t="str">
        <f>IF(algoritmo=1,AE25,"")</f>
        <v/>
      </c>
      <c r="O25" s="149"/>
      <c r="P25" s="159" t="str">
        <f>IF(algoritmo=2,AE25,"")</f>
        <v/>
      </c>
      <c r="Q25" s="149"/>
      <c r="R25" s="149"/>
      <c r="S25" s="149"/>
      <c r="T25" s="149"/>
      <c r="U25" s="161">
        <f>IF(algoritmo=4,AE25,"")</f>
        <v>0</v>
      </c>
      <c r="V25" s="149"/>
      <c r="W25" s="149"/>
      <c r="X25" s="162" t="str">
        <f>IF(algoritmo=5,AE25,"")</f>
        <v/>
      </c>
      <c r="Y25" s="129"/>
      <c r="Z25" s="129"/>
      <c r="AA25" s="153">
        <f>LOOKUP(AD25,COD,PUNT)</f>
        <v>0</v>
      </c>
      <c r="AB25" s="135"/>
      <c r="AC25" s="19"/>
      <c r="AD25" s="20">
        <f t="shared" si="0"/>
        <v>0</v>
      </c>
      <c r="AE25" s="21">
        <f>INGRESO!C43</f>
        <v>0</v>
      </c>
    </row>
    <row r="26" spans="1:31" s="21" customFormat="1" ht="5" customHeight="1" thickBot="1" x14ac:dyDescent="0.3">
      <c r="A26" s="129"/>
      <c r="B26" s="146"/>
      <c r="C26" s="147"/>
      <c r="D26" s="147"/>
      <c r="E26" s="147"/>
      <c r="F26" s="147"/>
      <c r="G26" s="147"/>
      <c r="H26" s="147"/>
      <c r="I26" s="147"/>
      <c r="J26" s="147"/>
      <c r="K26" s="147"/>
      <c r="L26" s="147"/>
      <c r="M26" s="147"/>
      <c r="N26" s="129"/>
      <c r="O26" s="139"/>
      <c r="P26" s="139"/>
      <c r="Q26" s="139"/>
      <c r="R26" s="139"/>
      <c r="S26" s="139"/>
      <c r="T26" s="139"/>
      <c r="U26" s="139"/>
      <c r="V26" s="139"/>
      <c r="W26" s="139"/>
      <c r="X26" s="129"/>
      <c r="Y26" s="129"/>
      <c r="Z26" s="129"/>
      <c r="AA26" s="154" t="s">
        <v>52</v>
      </c>
      <c r="AB26" s="135"/>
      <c r="AC26" s="19"/>
      <c r="AD26" s="20">
        <f t="shared" si="0"/>
        <v>0</v>
      </c>
    </row>
    <row r="27" spans="1:31" s="21" customFormat="1" ht="20" thickBot="1" x14ac:dyDescent="0.25">
      <c r="A27" s="129"/>
      <c r="B27" s="129"/>
      <c r="C27" s="129"/>
      <c r="D27" s="129"/>
      <c r="E27" s="129"/>
      <c r="F27" s="129"/>
      <c r="G27" s="129"/>
      <c r="H27" s="129"/>
      <c r="I27" s="129"/>
      <c r="J27" s="129"/>
      <c r="K27" s="129"/>
      <c r="L27" s="129"/>
      <c r="M27" s="129"/>
      <c r="N27" s="129"/>
      <c r="O27" s="129"/>
      <c r="P27" s="129"/>
      <c r="Q27" s="129"/>
      <c r="R27" s="129"/>
      <c r="S27" s="129"/>
      <c r="T27" s="129"/>
      <c r="U27" s="129"/>
      <c r="V27" s="129"/>
      <c r="W27" s="129"/>
      <c r="X27" s="263" t="s">
        <v>160</v>
      </c>
      <c r="Y27" s="263"/>
      <c r="Z27" s="264"/>
      <c r="AA27" s="155">
        <f>SUM(AA25,AA23,AA21)</f>
        <v>0</v>
      </c>
      <c r="AB27" s="135"/>
      <c r="AC27" s="19"/>
      <c r="AD27" s="20">
        <f t="shared" si="0"/>
        <v>0</v>
      </c>
    </row>
    <row r="28" spans="1:31" s="21" customFormat="1" ht="6.5" customHeight="1" x14ac:dyDescent="0.2">
      <c r="A28" s="129"/>
      <c r="B28" s="129"/>
      <c r="C28" s="129"/>
      <c r="D28" s="129"/>
      <c r="E28" s="129"/>
      <c r="F28" s="129"/>
      <c r="G28" s="129"/>
      <c r="H28" s="129"/>
      <c r="I28" s="129"/>
      <c r="J28" s="129"/>
      <c r="K28" s="129"/>
      <c r="L28" s="129"/>
      <c r="M28" s="129"/>
      <c r="N28" s="129"/>
      <c r="O28" s="129"/>
      <c r="P28" s="129"/>
      <c r="Q28" s="129"/>
      <c r="R28" s="129"/>
      <c r="S28" s="129"/>
      <c r="T28" s="129"/>
      <c r="U28" s="129"/>
      <c r="V28" s="129"/>
      <c r="W28" s="129"/>
      <c r="X28" s="129"/>
      <c r="Y28" s="129"/>
      <c r="Z28" s="129"/>
      <c r="AA28" s="134"/>
      <c r="AB28" s="135"/>
      <c r="AC28" s="19"/>
      <c r="AD28" s="20">
        <f t="shared" si="0"/>
        <v>0</v>
      </c>
    </row>
    <row r="29" spans="1:31" s="21" customFormat="1" ht="21" customHeight="1" x14ac:dyDescent="0.2">
      <c r="A29" s="279" t="s">
        <v>111</v>
      </c>
      <c r="B29" s="105" t="s">
        <v>101</v>
      </c>
      <c r="C29" s="280" t="s">
        <v>110</v>
      </c>
      <c r="D29" s="280"/>
      <c r="E29" s="280"/>
      <c r="F29" s="280"/>
      <c r="G29" s="280"/>
      <c r="H29" s="280"/>
      <c r="I29" s="280"/>
      <c r="J29" s="280"/>
      <c r="K29" s="280"/>
      <c r="L29" s="280"/>
      <c r="M29" s="280"/>
      <c r="N29" s="280"/>
      <c r="O29" s="280"/>
      <c r="P29" s="280"/>
      <c r="Q29" s="280"/>
      <c r="R29" s="280"/>
      <c r="S29" s="280"/>
      <c r="T29" s="280"/>
      <c r="U29" s="280"/>
      <c r="V29" s="280"/>
      <c r="W29" s="280"/>
      <c r="X29" s="280"/>
      <c r="Y29" s="131"/>
      <c r="Z29" s="131"/>
      <c r="AA29" s="144" t="s">
        <v>59</v>
      </c>
      <c r="AB29" s="135"/>
      <c r="AC29" s="19"/>
      <c r="AD29" s="20">
        <f t="shared" si="0"/>
        <v>0</v>
      </c>
    </row>
    <row r="30" spans="1:31" s="21" customFormat="1" ht="5" customHeight="1" thickBot="1" x14ac:dyDescent="0.25">
      <c r="A30" s="279"/>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31"/>
      <c r="Z30" s="131"/>
      <c r="AA30" s="132"/>
      <c r="AB30" s="135"/>
      <c r="AC30" s="19"/>
      <c r="AD30" s="20">
        <f t="shared" si="0"/>
        <v>0</v>
      </c>
    </row>
    <row r="31" spans="1:31" s="21" customFormat="1" ht="20" thickBot="1" x14ac:dyDescent="0.25">
      <c r="A31" s="279"/>
      <c r="B31" s="137">
        <v>34</v>
      </c>
      <c r="C31" s="265" t="s">
        <v>114</v>
      </c>
      <c r="D31" s="265"/>
      <c r="E31" s="265"/>
      <c r="F31" s="265"/>
      <c r="G31" s="265"/>
      <c r="H31" s="265"/>
      <c r="I31" s="265"/>
      <c r="J31" s="265"/>
      <c r="K31" s="265"/>
      <c r="L31" s="265"/>
      <c r="M31" s="141"/>
      <c r="N31" s="158" t="str">
        <f>IF(algoritmo=1,AE31,"")</f>
        <v/>
      </c>
      <c r="O31" s="149"/>
      <c r="P31" s="159" t="str">
        <f>IF(algoritmo=2,AE31,"")</f>
        <v/>
      </c>
      <c r="Q31" s="149"/>
      <c r="R31" s="160" t="str">
        <f>IF(algoritmo=3,AE31,"")</f>
        <v/>
      </c>
      <c r="S31" s="149"/>
      <c r="T31" s="149"/>
      <c r="U31" s="161">
        <f>IF(algoritmo=4,AE31,"")</f>
        <v>0</v>
      </c>
      <c r="V31" s="149"/>
      <c r="W31" s="149"/>
      <c r="X31" s="162" t="str">
        <f>IF(algoritmo=5,AE31,"")</f>
        <v/>
      </c>
      <c r="Y31" s="129"/>
      <c r="Z31" s="129"/>
      <c r="AA31" s="153">
        <f>LOOKUP(AD31,COD,PUNT)</f>
        <v>0</v>
      </c>
      <c r="AB31" s="135"/>
      <c r="AC31" s="19"/>
      <c r="AD31" s="20">
        <f t="shared" si="0"/>
        <v>0</v>
      </c>
      <c r="AE31" s="21">
        <f>INGRESO!C17</f>
        <v>0</v>
      </c>
    </row>
    <row r="32" spans="1:31" s="21" customFormat="1" ht="5" customHeight="1" thickBot="1" x14ac:dyDescent="0.25">
      <c r="A32" s="279"/>
      <c r="B32" s="137"/>
      <c r="C32" s="150"/>
      <c r="D32" s="150"/>
      <c r="E32" s="150"/>
      <c r="F32" s="150"/>
      <c r="G32" s="150"/>
      <c r="H32" s="150"/>
      <c r="I32" s="150"/>
      <c r="J32" s="150"/>
      <c r="K32" s="150"/>
      <c r="L32" s="150"/>
      <c r="M32" s="150"/>
      <c r="N32" s="117"/>
      <c r="O32" s="149"/>
      <c r="P32" s="35"/>
      <c r="Q32" s="149"/>
      <c r="R32" s="35"/>
      <c r="S32" s="149"/>
      <c r="T32" s="149"/>
      <c r="U32" s="35"/>
      <c r="V32" s="149"/>
      <c r="W32" s="149"/>
      <c r="X32" s="117"/>
      <c r="Y32" s="129"/>
      <c r="Z32" s="129"/>
      <c r="AA32" s="154" t="s">
        <v>52</v>
      </c>
      <c r="AB32" s="135"/>
      <c r="AC32" s="19"/>
      <c r="AD32" s="20">
        <f t="shared" si="0"/>
        <v>0</v>
      </c>
    </row>
    <row r="33" spans="1:31" s="21" customFormat="1" ht="20" thickBot="1" x14ac:dyDescent="0.25">
      <c r="A33" s="279"/>
      <c r="B33" s="137">
        <v>35</v>
      </c>
      <c r="C33" s="265" t="s">
        <v>115</v>
      </c>
      <c r="D33" s="265"/>
      <c r="E33" s="265"/>
      <c r="F33" s="265"/>
      <c r="G33" s="265"/>
      <c r="H33" s="265"/>
      <c r="I33" s="265"/>
      <c r="J33" s="265"/>
      <c r="K33" s="265"/>
      <c r="L33" s="265"/>
      <c r="M33" s="141"/>
      <c r="N33" s="158" t="str">
        <f>IF(algoritmo=1,AE33,"")</f>
        <v/>
      </c>
      <c r="O33" s="149"/>
      <c r="P33" s="159" t="str">
        <f>IF(algoritmo=2,AE33,"")</f>
        <v/>
      </c>
      <c r="Q33" s="149"/>
      <c r="R33" s="160" t="str">
        <f>IF(algoritmo=3,AE33,"")</f>
        <v/>
      </c>
      <c r="S33" s="149"/>
      <c r="T33" s="149"/>
      <c r="U33" s="161">
        <f>IF(algoritmo=4,AE33,"")</f>
        <v>0</v>
      </c>
      <c r="V33" s="149"/>
      <c r="W33" s="149"/>
      <c r="X33" s="162" t="str">
        <f>IF(algoritmo=5,AE33,"")</f>
        <v/>
      </c>
      <c r="Y33" s="129"/>
      <c r="Z33" s="129"/>
      <c r="AA33" s="153">
        <f>LOOKUP(AD33,COD,PUNT)</f>
        <v>0</v>
      </c>
      <c r="AB33" s="135"/>
      <c r="AC33" s="19"/>
      <c r="AD33" s="20">
        <f t="shared" si="0"/>
        <v>0</v>
      </c>
      <c r="AE33" s="21">
        <f>INGRESO!C18</f>
        <v>0</v>
      </c>
    </row>
    <row r="34" spans="1:31" s="21" customFormat="1" ht="5" customHeight="1" thickBot="1" x14ac:dyDescent="0.3">
      <c r="A34" s="279"/>
      <c r="B34" s="146"/>
      <c r="C34" s="150"/>
      <c r="D34" s="150"/>
      <c r="E34" s="150"/>
      <c r="F34" s="150"/>
      <c r="G34" s="150"/>
      <c r="H34" s="150"/>
      <c r="I34" s="150"/>
      <c r="J34" s="150"/>
      <c r="K34" s="150"/>
      <c r="L34" s="150"/>
      <c r="M34" s="150"/>
      <c r="N34" s="129"/>
      <c r="O34" s="139"/>
      <c r="P34" s="139"/>
      <c r="Q34" s="139"/>
      <c r="R34" s="139"/>
      <c r="S34" s="139"/>
      <c r="T34" s="139"/>
      <c r="U34" s="139"/>
      <c r="V34" s="139"/>
      <c r="W34" s="139"/>
      <c r="X34" s="129"/>
      <c r="Y34" s="129"/>
      <c r="Z34" s="129"/>
      <c r="AA34" s="154" t="s">
        <v>52</v>
      </c>
      <c r="AB34" s="135"/>
      <c r="AC34" s="19"/>
      <c r="AD34" s="20">
        <f t="shared" si="0"/>
        <v>0</v>
      </c>
    </row>
    <row r="35" spans="1:31" s="21" customFormat="1" ht="20" thickBot="1" x14ac:dyDescent="0.3">
      <c r="A35" s="279"/>
      <c r="B35" s="129"/>
      <c r="C35" s="150"/>
      <c r="D35" s="150"/>
      <c r="E35" s="150"/>
      <c r="F35" s="150"/>
      <c r="G35" s="150"/>
      <c r="H35" s="150"/>
      <c r="I35" s="150"/>
      <c r="J35" s="150"/>
      <c r="K35" s="150"/>
      <c r="L35" s="150"/>
      <c r="M35" s="150"/>
      <c r="N35" s="129"/>
      <c r="O35" s="139"/>
      <c r="P35" s="139"/>
      <c r="Q35" s="139"/>
      <c r="R35" s="139"/>
      <c r="S35" s="139"/>
      <c r="T35" s="139"/>
      <c r="U35" s="139"/>
      <c r="V35" s="139"/>
      <c r="W35" s="139"/>
      <c r="X35" s="263" t="s">
        <v>159</v>
      </c>
      <c r="Y35" s="263"/>
      <c r="Z35" s="264"/>
      <c r="AA35" s="155">
        <f>SUM(AA33,AA31)</f>
        <v>0</v>
      </c>
      <c r="AB35" s="135"/>
      <c r="AC35" s="19"/>
      <c r="AD35" s="20">
        <f t="shared" si="0"/>
        <v>0</v>
      </c>
    </row>
    <row r="36" spans="1:31" s="21" customFormat="1" ht="9" customHeight="1" x14ac:dyDescent="0.2">
      <c r="A36" s="279"/>
      <c r="B36" s="129"/>
      <c r="C36" s="129"/>
      <c r="D36" s="129"/>
      <c r="E36" s="129"/>
      <c r="F36" s="129"/>
      <c r="G36" s="129"/>
      <c r="H36" s="129"/>
      <c r="I36" s="129"/>
      <c r="J36" s="129"/>
      <c r="K36" s="129"/>
      <c r="L36" s="129"/>
      <c r="M36" s="129"/>
      <c r="N36" s="129"/>
      <c r="O36" s="129"/>
      <c r="P36" s="129"/>
      <c r="Q36" s="129"/>
      <c r="R36" s="129"/>
      <c r="S36" s="129"/>
      <c r="T36" s="129"/>
      <c r="U36" s="129"/>
      <c r="V36" s="129"/>
      <c r="W36" s="129"/>
      <c r="X36" s="129"/>
      <c r="Y36" s="129"/>
      <c r="Z36" s="129"/>
      <c r="AA36" s="134"/>
      <c r="AB36" s="135"/>
      <c r="AC36" s="19"/>
      <c r="AD36" s="20">
        <f t="shared" si="0"/>
        <v>0</v>
      </c>
    </row>
    <row r="37" spans="1:31" s="21" customFormat="1" ht="21" customHeight="1" x14ac:dyDescent="0.2">
      <c r="A37" s="279"/>
      <c r="B37" s="105" t="s">
        <v>113</v>
      </c>
      <c r="C37" s="280" t="s">
        <v>112</v>
      </c>
      <c r="D37" s="280"/>
      <c r="E37" s="280"/>
      <c r="F37" s="280"/>
      <c r="G37" s="280"/>
      <c r="H37" s="280"/>
      <c r="I37" s="280"/>
      <c r="J37" s="280"/>
      <c r="K37" s="280"/>
      <c r="L37" s="280"/>
      <c r="M37" s="280"/>
      <c r="N37" s="280"/>
      <c r="O37" s="280"/>
      <c r="P37" s="280"/>
      <c r="Q37" s="280"/>
      <c r="R37" s="280"/>
      <c r="S37" s="280"/>
      <c r="T37" s="280"/>
      <c r="U37" s="280"/>
      <c r="V37" s="280"/>
      <c r="W37" s="280"/>
      <c r="X37" s="280"/>
      <c r="Y37" s="131"/>
      <c r="Z37" s="131"/>
      <c r="AA37" s="144" t="s">
        <v>59</v>
      </c>
      <c r="AB37" s="135"/>
      <c r="AC37" s="19"/>
      <c r="AD37" s="20">
        <f t="shared" si="0"/>
        <v>0</v>
      </c>
    </row>
    <row r="38" spans="1:31" s="21" customFormat="1" ht="5" customHeight="1" thickBot="1" x14ac:dyDescent="0.25">
      <c r="A38" s="279"/>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31"/>
      <c r="Z38" s="131"/>
      <c r="AA38" s="132"/>
      <c r="AB38" s="135"/>
      <c r="AC38" s="19"/>
      <c r="AD38" s="20">
        <f t="shared" si="0"/>
        <v>0</v>
      </c>
    </row>
    <row r="39" spans="1:31" s="21" customFormat="1" ht="20" thickBot="1" x14ac:dyDescent="0.3">
      <c r="A39" s="279"/>
      <c r="B39" s="157">
        <v>33</v>
      </c>
      <c r="C39" s="265" t="s">
        <v>116</v>
      </c>
      <c r="D39" s="265"/>
      <c r="E39" s="265"/>
      <c r="F39" s="265"/>
      <c r="G39" s="265"/>
      <c r="H39" s="265"/>
      <c r="I39" s="265"/>
      <c r="J39" s="265"/>
      <c r="K39" s="265"/>
      <c r="L39" s="265"/>
      <c r="M39" s="150"/>
      <c r="N39" s="158" t="str">
        <f>IF(algoritmo=1,AE39,"")</f>
        <v/>
      </c>
      <c r="O39" s="149"/>
      <c r="P39" s="159" t="str">
        <f>IF(algoritmo=2,AE39,"")</f>
        <v/>
      </c>
      <c r="Q39" s="149"/>
      <c r="R39" s="160" t="str">
        <f>IF(algoritmo=3,AE39,"")</f>
        <v/>
      </c>
      <c r="S39" s="149"/>
      <c r="T39" s="149"/>
      <c r="U39" s="161">
        <f>IF(algoritmo=4,AE39,"")</f>
        <v>0</v>
      </c>
      <c r="V39" s="149"/>
      <c r="W39" s="149"/>
      <c r="X39" s="162" t="str">
        <f>IF(algoritmo=5,AE39,"")</f>
        <v/>
      </c>
      <c r="Y39" s="129"/>
      <c r="Z39" s="129"/>
      <c r="AA39" s="153">
        <f>LOOKUP(AD39,COD,PUNT)</f>
        <v>0</v>
      </c>
      <c r="AB39" s="135"/>
      <c r="AC39" s="19"/>
      <c r="AD39" s="20">
        <f t="shared" si="0"/>
        <v>0</v>
      </c>
      <c r="AE39" s="21">
        <f>INGRESO!C16</f>
        <v>0</v>
      </c>
    </row>
    <row r="40" spans="1:31" s="21" customFormat="1" ht="5" customHeight="1" thickBot="1" x14ac:dyDescent="0.3">
      <c r="A40" s="279"/>
      <c r="B40" s="157"/>
      <c r="C40" s="147"/>
      <c r="D40" s="147"/>
      <c r="E40" s="147"/>
      <c r="F40" s="147"/>
      <c r="G40" s="147"/>
      <c r="H40" s="147"/>
      <c r="I40" s="147"/>
      <c r="J40" s="147"/>
      <c r="K40" s="147"/>
      <c r="L40" s="147"/>
      <c r="M40" s="147"/>
      <c r="N40" s="117"/>
      <c r="O40" s="149"/>
      <c r="P40" s="35"/>
      <c r="Q40" s="149"/>
      <c r="R40" s="35"/>
      <c r="S40" s="149"/>
      <c r="T40" s="149"/>
      <c r="U40" s="35"/>
      <c r="V40" s="149"/>
      <c r="W40" s="149"/>
      <c r="X40" s="117"/>
      <c r="Y40" s="129"/>
      <c r="Z40" s="129"/>
      <c r="AA40" s="154" t="s">
        <v>52</v>
      </c>
      <c r="AB40" s="135"/>
      <c r="AC40" s="19"/>
      <c r="AD40" s="20">
        <f t="shared" si="0"/>
        <v>0</v>
      </c>
    </row>
    <row r="41" spans="1:31" s="21" customFormat="1" ht="20" thickBot="1" x14ac:dyDescent="0.3">
      <c r="A41" s="279"/>
      <c r="B41" s="157">
        <v>36</v>
      </c>
      <c r="C41" s="265" t="s">
        <v>117</v>
      </c>
      <c r="D41" s="265"/>
      <c r="E41" s="265"/>
      <c r="F41" s="265"/>
      <c r="G41" s="265"/>
      <c r="H41" s="265"/>
      <c r="I41" s="265"/>
      <c r="J41" s="265"/>
      <c r="K41" s="265"/>
      <c r="L41" s="265"/>
      <c r="M41" s="141"/>
      <c r="N41" s="158" t="str">
        <f>IF(algoritmo=1,AE41,"")</f>
        <v/>
      </c>
      <c r="O41" s="149"/>
      <c r="P41" s="159" t="str">
        <f>IF(algoritmo=2,AE41,"")</f>
        <v/>
      </c>
      <c r="Q41" s="149"/>
      <c r="R41" s="160" t="str">
        <f>IF(algoritmo=3,AE41,"")</f>
        <v/>
      </c>
      <c r="S41" s="149"/>
      <c r="T41" s="149"/>
      <c r="U41" s="161">
        <f>IF(algoritmo=4,AE41,"")</f>
        <v>0</v>
      </c>
      <c r="V41" s="149"/>
      <c r="W41" s="149"/>
      <c r="X41" s="162" t="str">
        <f>IF(algoritmo=5,AE41,"")</f>
        <v/>
      </c>
      <c r="Y41" s="129"/>
      <c r="Z41" s="129"/>
      <c r="AA41" s="153">
        <f>LOOKUP(AD41,COD,PUNT)</f>
        <v>0</v>
      </c>
      <c r="AB41" s="135"/>
      <c r="AC41" s="19"/>
      <c r="AD41" s="20">
        <f t="shared" si="0"/>
        <v>0</v>
      </c>
      <c r="AE41" s="21">
        <f>INGRESO!C19</f>
        <v>0</v>
      </c>
    </row>
    <row r="42" spans="1:31" s="21" customFormat="1" ht="5" customHeight="1" thickBot="1" x14ac:dyDescent="0.3">
      <c r="A42" s="279"/>
      <c r="B42" s="157"/>
      <c r="C42" s="147"/>
      <c r="D42" s="147"/>
      <c r="E42" s="147"/>
      <c r="F42" s="147"/>
      <c r="G42" s="147"/>
      <c r="H42" s="147"/>
      <c r="I42" s="147"/>
      <c r="J42" s="147"/>
      <c r="K42" s="147"/>
      <c r="L42" s="147"/>
      <c r="M42" s="147"/>
      <c r="N42" s="117"/>
      <c r="O42" s="149"/>
      <c r="P42" s="35"/>
      <c r="Q42" s="149"/>
      <c r="R42" s="35"/>
      <c r="S42" s="149"/>
      <c r="T42" s="149"/>
      <c r="U42" s="35"/>
      <c r="V42" s="149"/>
      <c r="W42" s="149"/>
      <c r="X42" s="117"/>
      <c r="Y42" s="129"/>
      <c r="Z42" s="129"/>
      <c r="AA42" s="154" t="s">
        <v>52</v>
      </c>
      <c r="AB42" s="135"/>
      <c r="AC42" s="19"/>
      <c r="AD42" s="20">
        <f t="shared" si="0"/>
        <v>0</v>
      </c>
    </row>
    <row r="43" spans="1:31" s="21" customFormat="1" ht="20" thickBot="1" x14ac:dyDescent="0.3">
      <c r="A43" s="279"/>
      <c r="B43" s="157">
        <v>37</v>
      </c>
      <c r="C43" s="266" t="s">
        <v>118</v>
      </c>
      <c r="D43" s="266"/>
      <c r="E43" s="266"/>
      <c r="F43" s="266"/>
      <c r="G43" s="266"/>
      <c r="H43" s="266"/>
      <c r="I43" s="266"/>
      <c r="J43" s="266"/>
      <c r="K43" s="266"/>
      <c r="L43" s="266"/>
      <c r="M43" s="142"/>
      <c r="N43" s="158" t="str">
        <f>IF(algoritmo=1,AE43,"")</f>
        <v/>
      </c>
      <c r="O43" s="149"/>
      <c r="P43" s="159" t="str">
        <f>IF(algoritmo=2,AE43,"")</f>
        <v/>
      </c>
      <c r="Q43" s="149"/>
      <c r="R43" s="160" t="str">
        <f>IF(algoritmo=3,AE43,"")</f>
        <v/>
      </c>
      <c r="S43" s="149"/>
      <c r="T43" s="149"/>
      <c r="U43" s="161">
        <f>IF(algoritmo=4,AE43,"")</f>
        <v>0</v>
      </c>
      <c r="V43" s="149"/>
      <c r="W43" s="149"/>
      <c r="X43" s="162" t="str">
        <f>IF(algoritmo=5,AE43,"")</f>
        <v/>
      </c>
      <c r="Y43" s="129"/>
      <c r="Z43" s="129"/>
      <c r="AA43" s="153">
        <f>LOOKUP(AD43,COD,PUNT)</f>
        <v>0</v>
      </c>
      <c r="AB43" s="135"/>
      <c r="AC43" s="19"/>
      <c r="AD43" s="20">
        <f t="shared" si="0"/>
        <v>0</v>
      </c>
      <c r="AE43" s="21">
        <f>INGRESO!C20</f>
        <v>0</v>
      </c>
    </row>
    <row r="44" spans="1:31" s="21" customFormat="1" ht="5" customHeight="1" thickBot="1" x14ac:dyDescent="0.3">
      <c r="A44" s="279"/>
      <c r="B44" s="157"/>
      <c r="C44" s="151"/>
      <c r="D44" s="151"/>
      <c r="E44" s="151"/>
      <c r="F44" s="151"/>
      <c r="G44" s="151"/>
      <c r="H44" s="151"/>
      <c r="I44" s="151"/>
      <c r="J44" s="151"/>
      <c r="K44" s="151"/>
      <c r="L44" s="151"/>
      <c r="M44" s="151"/>
      <c r="N44" s="117"/>
      <c r="O44" s="149"/>
      <c r="P44" s="35"/>
      <c r="Q44" s="149"/>
      <c r="R44" s="35"/>
      <c r="S44" s="149"/>
      <c r="T44" s="149"/>
      <c r="U44" s="35"/>
      <c r="V44" s="149"/>
      <c r="W44" s="149"/>
      <c r="X44" s="117"/>
      <c r="Y44" s="129"/>
      <c r="Z44" s="129"/>
      <c r="AA44" s="134" t="s">
        <v>52</v>
      </c>
      <c r="AB44" s="135"/>
      <c r="AC44" s="19"/>
      <c r="AD44" s="20">
        <f t="shared" si="0"/>
        <v>0</v>
      </c>
    </row>
    <row r="45" spans="1:31" s="21" customFormat="1" ht="20" thickBot="1" x14ac:dyDescent="0.3">
      <c r="A45" s="279"/>
      <c r="B45" s="157">
        <v>38</v>
      </c>
      <c r="C45" s="265" t="s">
        <v>119</v>
      </c>
      <c r="D45" s="265"/>
      <c r="E45" s="265"/>
      <c r="F45" s="265"/>
      <c r="G45" s="265"/>
      <c r="H45" s="265"/>
      <c r="I45" s="265"/>
      <c r="J45" s="265"/>
      <c r="K45" s="265"/>
      <c r="L45" s="265"/>
      <c r="M45" s="150"/>
      <c r="N45" s="158" t="str">
        <f>IF(algoritmo=1,AE45,"")</f>
        <v/>
      </c>
      <c r="O45" s="149"/>
      <c r="P45" s="159" t="str">
        <f>IF(algoritmo=2,AE45,"")</f>
        <v/>
      </c>
      <c r="Q45" s="149"/>
      <c r="R45" s="160" t="str">
        <f>IF(algoritmo=3,AE45,"")</f>
        <v/>
      </c>
      <c r="S45" s="149"/>
      <c r="T45" s="149"/>
      <c r="U45" s="161">
        <f>IF(algoritmo=4,AE45,"")</f>
        <v>0</v>
      </c>
      <c r="V45" s="149"/>
      <c r="W45" s="149"/>
      <c r="X45" s="162" t="str">
        <f>IF(algoritmo=5,AE45,"")</f>
        <v/>
      </c>
      <c r="Y45" s="129"/>
      <c r="Z45" s="129"/>
      <c r="AA45" s="153">
        <f>LOOKUP(AD45,COD,PUNT)</f>
        <v>0</v>
      </c>
      <c r="AB45" s="135"/>
      <c r="AC45" s="19"/>
      <c r="AD45" s="20">
        <f t="shared" si="0"/>
        <v>0</v>
      </c>
      <c r="AE45" s="21">
        <f>INGRESO!C21</f>
        <v>0</v>
      </c>
    </row>
    <row r="46" spans="1:31" s="21" customFormat="1" ht="5" customHeight="1" thickBot="1" x14ac:dyDescent="0.3">
      <c r="A46" s="279"/>
      <c r="B46" s="146"/>
      <c r="C46" s="147"/>
      <c r="D46" s="147"/>
      <c r="E46" s="147"/>
      <c r="F46" s="147"/>
      <c r="G46" s="147"/>
      <c r="H46" s="147"/>
      <c r="I46" s="147"/>
      <c r="J46" s="147"/>
      <c r="K46" s="147"/>
      <c r="L46" s="147"/>
      <c r="M46" s="147"/>
      <c r="N46" s="129"/>
      <c r="O46" s="139"/>
      <c r="P46" s="139"/>
      <c r="Q46" s="139"/>
      <c r="R46" s="139"/>
      <c r="S46" s="139"/>
      <c r="T46" s="139"/>
      <c r="U46" s="139"/>
      <c r="V46" s="139"/>
      <c r="W46" s="139"/>
      <c r="X46" s="129"/>
      <c r="Y46" s="129"/>
      <c r="Z46" s="129"/>
      <c r="AA46" s="154" t="s">
        <v>52</v>
      </c>
      <c r="AB46" s="135"/>
      <c r="AC46" s="19"/>
      <c r="AD46" s="20">
        <f t="shared" si="0"/>
        <v>0</v>
      </c>
    </row>
    <row r="47" spans="1:31" s="21" customFormat="1" ht="20" thickBot="1" x14ac:dyDescent="0.25">
      <c r="A47" s="279"/>
      <c r="B47" s="129"/>
      <c r="C47" s="129"/>
      <c r="D47" s="129"/>
      <c r="E47" s="129"/>
      <c r="F47" s="129"/>
      <c r="G47" s="129"/>
      <c r="H47" s="129"/>
      <c r="I47" s="129"/>
      <c r="J47" s="129"/>
      <c r="K47" s="129"/>
      <c r="L47" s="129"/>
      <c r="M47" s="129"/>
      <c r="N47" s="129"/>
      <c r="O47" s="129"/>
      <c r="P47" s="129"/>
      <c r="Q47" s="129"/>
      <c r="R47" s="129"/>
      <c r="S47" s="129"/>
      <c r="T47" s="129"/>
      <c r="U47" s="129"/>
      <c r="V47" s="129"/>
      <c r="W47" s="129"/>
      <c r="X47" s="263" t="s">
        <v>161</v>
      </c>
      <c r="Y47" s="263"/>
      <c r="Z47" s="264"/>
      <c r="AA47" s="155">
        <f>SUM(AA45,AA43,AA41,AA39)</f>
        <v>0</v>
      </c>
      <c r="AB47" s="135"/>
      <c r="AC47" s="19"/>
      <c r="AD47" s="20">
        <f t="shared" si="0"/>
        <v>0</v>
      </c>
    </row>
    <row r="48" spans="1:31" s="21" customFormat="1" ht="7" customHeight="1" thickBot="1" x14ac:dyDescent="0.25">
      <c r="A48" s="129"/>
      <c r="B48" s="129"/>
      <c r="C48" s="129"/>
      <c r="D48" s="129"/>
      <c r="E48" s="129"/>
      <c r="F48" s="129"/>
      <c r="G48" s="129"/>
      <c r="H48" s="129"/>
      <c r="I48" s="129"/>
      <c r="J48" s="129"/>
      <c r="K48" s="129"/>
      <c r="L48" s="129"/>
      <c r="M48" s="129"/>
      <c r="N48" s="129"/>
      <c r="O48" s="129"/>
      <c r="P48" s="129"/>
      <c r="Q48" s="129"/>
      <c r="R48" s="129"/>
      <c r="S48" s="129"/>
      <c r="T48" s="129"/>
      <c r="U48" s="129"/>
      <c r="V48" s="129"/>
      <c r="W48" s="129"/>
      <c r="X48" s="148"/>
      <c r="Y48" s="148"/>
      <c r="Z48" s="148"/>
      <c r="AA48" s="156"/>
      <c r="AB48" s="135"/>
      <c r="AC48" s="19"/>
      <c r="AD48" s="20">
        <f t="shared" si="0"/>
        <v>0</v>
      </c>
    </row>
    <row r="49" spans="1:30" s="21" customFormat="1" ht="33" customHeight="1" thickBot="1" x14ac:dyDescent="0.3">
      <c r="A49" s="129"/>
      <c r="B49" s="129"/>
      <c r="C49" s="129"/>
      <c r="D49" s="129" t="s">
        <v>162</v>
      </c>
      <c r="E49" s="129"/>
      <c r="F49" s="129"/>
      <c r="G49" s="129"/>
      <c r="H49" s="281" t="s">
        <v>121</v>
      </c>
      <c r="I49" s="281"/>
      <c r="J49" s="281"/>
      <c r="K49" s="281"/>
      <c r="L49" s="281"/>
      <c r="M49" s="281"/>
      <c r="N49" s="281"/>
      <c r="O49" s="281"/>
      <c r="P49" s="278" t="s">
        <v>122</v>
      </c>
      <c r="Q49" s="270"/>
      <c r="R49" s="270"/>
      <c r="S49" s="270"/>
      <c r="T49" s="270"/>
      <c r="U49" s="270"/>
      <c r="V49" s="270"/>
      <c r="W49" s="270"/>
      <c r="X49" s="270"/>
      <c r="Y49" s="270"/>
      <c r="Z49" s="271"/>
      <c r="AA49" s="49">
        <f>SUM(AA47,AA35,AA27,AA17)</f>
        <v>0</v>
      </c>
      <c r="AB49" s="135"/>
      <c r="AC49" s="19"/>
      <c r="AD49" s="20">
        <f t="shared" si="0"/>
        <v>0</v>
      </c>
    </row>
    <row r="50" spans="1:30" s="21" customFormat="1" ht="9" customHeight="1" thickBot="1" x14ac:dyDescent="0.25">
      <c r="A50" s="129"/>
      <c r="B50" s="129"/>
      <c r="C50" s="129"/>
      <c r="D50" s="129"/>
      <c r="E50" s="129"/>
      <c r="F50" s="129"/>
      <c r="G50" s="129"/>
      <c r="P50" s="129"/>
      <c r="Q50" s="129"/>
      <c r="R50" s="129"/>
      <c r="S50" s="129"/>
      <c r="T50" s="129"/>
      <c r="U50" s="129"/>
      <c r="V50" s="129"/>
      <c r="W50" s="129"/>
      <c r="X50" s="129"/>
      <c r="Y50" s="129"/>
      <c r="Z50" s="129"/>
      <c r="AA50" s="47"/>
      <c r="AB50" s="135"/>
      <c r="AC50" s="19"/>
      <c r="AD50" s="20"/>
    </row>
    <row r="51" spans="1:30" s="21" customFormat="1" ht="33" customHeight="1" thickBot="1" x14ac:dyDescent="0.3">
      <c r="A51" s="129"/>
      <c r="B51" s="129"/>
      <c r="C51" s="129"/>
      <c r="D51" s="129"/>
      <c r="E51" s="129"/>
      <c r="F51" s="129"/>
      <c r="G51" s="129"/>
      <c r="H51" s="281" t="s">
        <v>120</v>
      </c>
      <c r="I51" s="281"/>
      <c r="J51" s="281"/>
      <c r="K51" s="281"/>
      <c r="L51" s="281"/>
      <c r="M51" s="281"/>
      <c r="N51" s="281"/>
      <c r="O51" s="281"/>
      <c r="P51" s="278" t="s">
        <v>123</v>
      </c>
      <c r="Q51" s="270"/>
      <c r="R51" s="270"/>
      <c r="S51" s="270"/>
      <c r="T51" s="270"/>
      <c r="U51" s="270"/>
      <c r="V51" s="270"/>
      <c r="W51" s="270"/>
      <c r="X51" s="270"/>
      <c r="Y51" s="270"/>
      <c r="Z51" s="271"/>
      <c r="AA51" s="49">
        <f>SUM(AA17,AA27)</f>
        <v>0</v>
      </c>
      <c r="AB51" s="135"/>
      <c r="AC51" s="19"/>
      <c r="AD51" s="20"/>
    </row>
    <row r="52" spans="1:30" ht="5.5" customHeight="1" x14ac:dyDescent="0.2"/>
    <row r="53" spans="1:30" ht="14.5" customHeight="1" x14ac:dyDescent="0.2">
      <c r="A53" s="272" t="s">
        <v>99</v>
      </c>
      <c r="B53" s="273"/>
      <c r="C53" s="273"/>
      <c r="D53" s="273"/>
      <c r="E53" s="273"/>
      <c r="F53" s="273"/>
      <c r="G53" s="273"/>
      <c r="H53" s="273"/>
      <c r="I53" s="273"/>
      <c r="J53" s="273"/>
      <c r="K53" s="273"/>
      <c r="L53" s="273"/>
      <c r="M53" s="273"/>
      <c r="N53" s="273"/>
    </row>
    <row r="54" spans="1:30" ht="14.5" customHeight="1" x14ac:dyDescent="0.2">
      <c r="A54" s="273"/>
      <c r="B54" s="273"/>
      <c r="C54" s="273"/>
      <c r="D54" s="273"/>
      <c r="E54" s="273"/>
      <c r="F54" s="273"/>
      <c r="G54" s="273"/>
      <c r="H54" s="273"/>
      <c r="I54" s="273"/>
      <c r="J54" s="273"/>
      <c r="K54" s="273"/>
      <c r="L54" s="273"/>
      <c r="M54" s="273"/>
      <c r="N54" s="273"/>
    </row>
    <row r="55" spans="1:30" ht="7" customHeight="1" x14ac:dyDescent="0.2">
      <c r="A55" s="273"/>
      <c r="B55" s="273"/>
      <c r="C55" s="273"/>
      <c r="D55" s="273"/>
      <c r="E55" s="273"/>
      <c r="F55" s="273"/>
      <c r="G55" s="273"/>
      <c r="H55" s="273"/>
      <c r="I55" s="273"/>
      <c r="J55" s="273"/>
      <c r="K55" s="273"/>
      <c r="L55" s="273"/>
      <c r="M55" s="273"/>
      <c r="N55" s="273"/>
    </row>
  </sheetData>
  <sheetProtection algorithmName="SHA-512" hashValue="jOmfEK9ZPp62sxiljOPl58+n34GQwf2lUCufqgXWLvEy06lsKsL8N3g4hnbs640PQXEQpWfKjSZGM2X9eq1nAQ==" saltValue="2m1kT8YYCsboziOp/H6lbw==" spinCount="100000" sheet="1" objects="1" scenarios="1"/>
  <mergeCells count="35">
    <mergeCell ref="C9:L9"/>
    <mergeCell ref="A3:AA3"/>
    <mergeCell ref="G4:L4"/>
    <mergeCell ref="G5:L5"/>
    <mergeCell ref="A2:AA2"/>
    <mergeCell ref="A1:X1"/>
    <mergeCell ref="N4:R4"/>
    <mergeCell ref="T4:V4"/>
    <mergeCell ref="W4:Y4"/>
    <mergeCell ref="B7:X7"/>
    <mergeCell ref="C11:L11"/>
    <mergeCell ref="C15:L15"/>
    <mergeCell ref="X17:Z17"/>
    <mergeCell ref="B19:X19"/>
    <mergeCell ref="C21:L21"/>
    <mergeCell ref="C13:L13"/>
    <mergeCell ref="C23:L23"/>
    <mergeCell ref="C25:L25"/>
    <mergeCell ref="X27:Z27"/>
    <mergeCell ref="C31:L31"/>
    <mergeCell ref="C29:X29"/>
    <mergeCell ref="P51:Z51"/>
    <mergeCell ref="C43:L43"/>
    <mergeCell ref="C45:L45"/>
    <mergeCell ref="X47:Z47"/>
    <mergeCell ref="A53:N55"/>
    <mergeCell ref="P49:Z49"/>
    <mergeCell ref="A29:A47"/>
    <mergeCell ref="C37:X37"/>
    <mergeCell ref="H49:O49"/>
    <mergeCell ref="H51:O51"/>
    <mergeCell ref="C33:L33"/>
    <mergeCell ref="X35:Z35"/>
    <mergeCell ref="C39:L39"/>
    <mergeCell ref="C41:L41"/>
  </mergeCells>
  <printOptions horizontalCentered="1"/>
  <pageMargins left="0.23622047244094491" right="0.23622047244094491" top="0.51181102362204722" bottom="0" header="0" footer="0"/>
  <pageSetup paperSize="9" scale="96" orientation="portrait" horizontalDpi="1200" verticalDpi="1200" r:id="rId1"/>
  <ignoredErrors>
    <ignoredError sqref="N9 P9 R9 U9 N11" unlocked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CFBD2-5DE6-4E40-B411-9710172DCEE3}">
  <dimension ref="A1:AI44"/>
  <sheetViews>
    <sheetView view="pageLayout" topLeftCell="A13" zoomScale="90" zoomScaleNormal="100" zoomScalePageLayoutView="90" workbookViewId="0">
      <selection activeCell="O41" sqref="O41"/>
    </sheetView>
  </sheetViews>
  <sheetFormatPr baseColWidth="10" defaultColWidth="0" defaultRowHeight="14.5" customHeight="1" zeroHeight="1" x14ac:dyDescent="0.2"/>
  <cols>
    <col min="1" max="1" width="3.6640625" style="21" customWidth="1"/>
    <col min="2" max="2" width="3.5" style="21" customWidth="1"/>
    <col min="3" max="3" width="10.5" style="21" customWidth="1"/>
    <col min="4" max="4" width="5.33203125" style="21" customWidth="1"/>
    <col min="5" max="5" width="3.33203125" style="21" customWidth="1"/>
    <col min="6" max="11" width="3.1640625" style="21" customWidth="1"/>
    <col min="12" max="12" width="3.83203125" style="21" customWidth="1"/>
    <col min="13" max="13" width="1.1640625" style="21" customWidth="1"/>
    <col min="14" max="18" width="3.1640625" style="21" customWidth="1"/>
    <col min="19" max="19" width="1.5" style="21" customWidth="1"/>
    <col min="20" max="20" width="1.33203125" style="21" customWidth="1"/>
    <col min="21" max="22" width="3.1640625" style="21" customWidth="1"/>
    <col min="23" max="23" width="1.5" style="21" customWidth="1"/>
    <col min="24" max="24" width="3.1640625" style="21" customWidth="1"/>
    <col min="25" max="25" width="2.6640625" style="21" customWidth="1"/>
    <col min="26" max="26" width="3.1640625" style="21" customWidth="1"/>
    <col min="27" max="27" width="13.6640625" style="19" customWidth="1"/>
    <col min="28" max="28" width="1.1640625" style="135" customWidth="1"/>
    <col min="29" max="29" width="5.1640625" style="20" hidden="1" customWidth="1"/>
    <col min="30" max="16384" width="5.1640625" style="21" hidden="1"/>
  </cols>
  <sheetData>
    <row r="1" spans="1:35" ht="16" x14ac:dyDescent="0.2">
      <c r="A1" s="274" t="s">
        <v>124</v>
      </c>
      <c r="B1" s="274"/>
      <c r="C1" s="274"/>
      <c r="D1" s="274"/>
      <c r="E1" s="274"/>
      <c r="F1" s="274"/>
      <c r="G1" s="274"/>
      <c r="H1" s="274"/>
      <c r="I1" s="274"/>
      <c r="J1" s="274"/>
      <c r="K1" s="274"/>
      <c r="L1" s="274"/>
      <c r="M1" s="274"/>
      <c r="N1" s="274"/>
      <c r="O1" s="274"/>
      <c r="P1" s="274"/>
      <c r="Q1" s="274"/>
      <c r="R1" s="274"/>
      <c r="S1" s="274"/>
      <c r="T1" s="274"/>
      <c r="U1" s="274"/>
      <c r="V1" s="274"/>
      <c r="W1" s="274"/>
      <c r="X1" s="274"/>
      <c r="Y1" s="104"/>
      <c r="Z1" s="104"/>
      <c r="AA1" s="104"/>
    </row>
    <row r="2" spans="1:35" s="129" customFormat="1" ht="23.5" customHeight="1" x14ac:dyDescent="0.2">
      <c r="A2" s="302" t="str">
        <f>CONCATENATE("*Elemento 30=",INGRESO!C13)</f>
        <v>*Elemento 30=</v>
      </c>
      <c r="B2" s="302"/>
      <c r="C2" s="302"/>
      <c r="D2" s="302"/>
      <c r="E2" s="302"/>
      <c r="F2" s="302"/>
      <c r="G2" s="302"/>
      <c r="H2" s="302"/>
      <c r="N2" s="293" t="s">
        <v>19</v>
      </c>
      <c r="O2" s="293"/>
      <c r="P2" s="293"/>
      <c r="Q2" s="293"/>
      <c r="R2" s="293"/>
      <c r="U2" s="293" t="s">
        <v>20</v>
      </c>
      <c r="V2" s="293"/>
      <c r="W2" s="293"/>
      <c r="X2" s="293"/>
      <c r="Y2" s="165"/>
      <c r="AA2" s="135"/>
      <c r="AB2" s="135"/>
      <c r="AC2" s="136"/>
    </row>
    <row r="3" spans="1:35" s="22" customFormat="1" ht="16" customHeight="1" x14ac:dyDescent="0.2">
      <c r="A3" s="130"/>
      <c r="B3" s="130"/>
      <c r="C3" s="130"/>
      <c r="D3" s="130"/>
      <c r="E3" s="130"/>
      <c r="F3" s="130"/>
      <c r="G3" s="262" t="s">
        <v>97</v>
      </c>
      <c r="H3" s="262"/>
      <c r="I3" s="262"/>
      <c r="J3" s="262"/>
      <c r="K3" s="262"/>
      <c r="L3" s="262"/>
      <c r="M3" s="130"/>
      <c r="N3" s="275" t="s">
        <v>65</v>
      </c>
      <c r="O3" s="275"/>
      <c r="P3" s="275"/>
      <c r="Q3" s="275"/>
      <c r="R3" s="275"/>
      <c r="S3" s="130"/>
      <c r="T3" s="130"/>
      <c r="U3" s="292" t="s">
        <v>125</v>
      </c>
      <c r="V3" s="292"/>
      <c r="W3" s="292"/>
      <c r="X3" s="292"/>
      <c r="Y3" s="166"/>
      <c r="Z3" s="143"/>
      <c r="AA3" s="130"/>
      <c r="AB3" s="130"/>
      <c r="AC3" s="23"/>
    </row>
    <row r="4" spans="1:35" s="30" customFormat="1" ht="32" customHeight="1" x14ac:dyDescent="0.15">
      <c r="A4" s="131"/>
      <c r="B4" s="131"/>
      <c r="C4" s="131"/>
      <c r="D4" s="131"/>
      <c r="E4" s="131"/>
      <c r="F4" s="131"/>
      <c r="G4" s="262" t="s">
        <v>98</v>
      </c>
      <c r="H4" s="262"/>
      <c r="I4" s="262"/>
      <c r="J4" s="262"/>
      <c r="K4" s="262"/>
      <c r="L4" s="262"/>
      <c r="M4" s="131"/>
      <c r="N4" s="40" t="s">
        <v>62</v>
      </c>
      <c r="O4" s="25"/>
      <c r="P4" s="26" t="s">
        <v>63</v>
      </c>
      <c r="Q4" s="25"/>
      <c r="R4" s="26" t="s">
        <v>64</v>
      </c>
      <c r="S4" s="132"/>
      <c r="T4" s="132"/>
      <c r="U4" s="42" t="s">
        <v>62</v>
      </c>
      <c r="V4" s="132"/>
      <c r="W4" s="132"/>
      <c r="X4" s="41" t="s">
        <v>93</v>
      </c>
      <c r="Y4" s="131"/>
      <c r="Z4" s="131"/>
      <c r="AA4" s="131"/>
      <c r="AB4" s="131"/>
      <c r="AC4" s="31"/>
      <c r="AI4" s="30">
        <f>IF('P1'!B26='P1'!T25,1,2)</f>
        <v>2</v>
      </c>
    </row>
    <row r="5" spans="1:35" s="30" customFormat="1" ht="5" customHeight="1" x14ac:dyDescent="0.15">
      <c r="A5" s="131"/>
      <c r="B5" s="131"/>
      <c r="C5" s="131"/>
      <c r="D5" s="131"/>
      <c r="E5" s="131"/>
      <c r="F5" s="131"/>
      <c r="G5" s="131"/>
      <c r="H5" s="131"/>
      <c r="I5" s="131"/>
      <c r="J5" s="131"/>
      <c r="K5" s="131"/>
      <c r="L5" s="131"/>
      <c r="M5" s="131"/>
      <c r="N5" s="131"/>
      <c r="O5" s="132"/>
      <c r="P5" s="132"/>
      <c r="Q5" s="132"/>
      <c r="R5" s="132"/>
      <c r="S5" s="132"/>
      <c r="T5" s="132"/>
      <c r="U5" s="132"/>
      <c r="V5" s="132"/>
      <c r="W5" s="132"/>
      <c r="X5" s="131"/>
      <c r="Y5" s="131"/>
      <c r="Z5" s="131"/>
      <c r="AA5" s="133"/>
      <c r="AB5" s="133"/>
      <c r="AC5" s="31"/>
    </row>
    <row r="6" spans="1:35" s="30" customFormat="1" ht="21" customHeight="1" x14ac:dyDescent="0.15">
      <c r="A6" s="33" t="s">
        <v>127</v>
      </c>
      <c r="B6" s="267" t="s">
        <v>287</v>
      </c>
      <c r="C6" s="267"/>
      <c r="D6" s="267"/>
      <c r="E6" s="267"/>
      <c r="F6" s="267"/>
      <c r="G6" s="267"/>
      <c r="H6" s="267"/>
      <c r="I6" s="267"/>
      <c r="J6" s="267"/>
      <c r="K6" s="267"/>
      <c r="L6" s="267"/>
      <c r="M6" s="267"/>
      <c r="N6" s="267"/>
      <c r="O6" s="267"/>
      <c r="P6" s="267"/>
      <c r="Q6" s="267"/>
      <c r="R6" s="267"/>
      <c r="S6" s="267"/>
      <c r="T6" s="267"/>
      <c r="U6" s="267"/>
      <c r="V6" s="267"/>
      <c r="W6" s="267"/>
      <c r="X6" s="267"/>
      <c r="Y6" s="131"/>
      <c r="Z6" s="131"/>
      <c r="AA6" s="144" t="s">
        <v>59</v>
      </c>
      <c r="AB6" s="144"/>
      <c r="AC6" s="31" t="s">
        <v>199</v>
      </c>
      <c r="AD6" s="30" t="s">
        <v>198</v>
      </c>
      <c r="AE6" s="30" t="s">
        <v>198</v>
      </c>
    </row>
    <row r="7" spans="1:35" s="30" customFormat="1" ht="5" customHeight="1" thickBot="1" x14ac:dyDescent="0.2">
      <c r="A7" s="140"/>
      <c r="B7" s="140"/>
      <c r="C7" s="140"/>
      <c r="D7" s="140"/>
      <c r="E7" s="140"/>
      <c r="F7" s="140"/>
      <c r="G7" s="140"/>
      <c r="H7" s="140"/>
      <c r="I7" s="140"/>
      <c r="J7" s="140"/>
      <c r="K7" s="140"/>
      <c r="L7" s="140"/>
      <c r="M7" s="140"/>
      <c r="N7" s="140"/>
      <c r="O7" s="140"/>
      <c r="P7" s="140"/>
      <c r="Q7" s="140"/>
      <c r="R7" s="140"/>
      <c r="S7" s="140"/>
      <c r="T7" s="140"/>
      <c r="U7" s="140"/>
      <c r="V7" s="140"/>
      <c r="W7" s="140"/>
      <c r="X7" s="140"/>
      <c r="Y7" s="131"/>
      <c r="Z7" s="131"/>
      <c r="AA7" s="131"/>
      <c r="AB7" s="131"/>
      <c r="AC7" s="31"/>
    </row>
    <row r="8" spans="1:35" ht="20" thickBot="1" x14ac:dyDescent="0.25">
      <c r="A8" s="129"/>
      <c r="B8" s="137">
        <v>67</v>
      </c>
      <c r="C8" s="265" t="s">
        <v>131</v>
      </c>
      <c r="D8" s="265"/>
      <c r="E8" s="265"/>
      <c r="F8" s="265"/>
      <c r="G8" s="265"/>
      <c r="H8" s="265"/>
      <c r="I8" s="265"/>
      <c r="J8" s="265"/>
      <c r="K8" s="265"/>
      <c r="L8" s="265"/>
      <c r="M8" s="141"/>
      <c r="N8" s="294" t="str">
        <f>IF(AI4=1,AD8,"")</f>
        <v/>
      </c>
      <c r="O8" s="295"/>
      <c r="P8" s="295"/>
      <c r="Q8" s="295"/>
      <c r="R8" s="296"/>
      <c r="S8" s="149"/>
      <c r="T8" s="149"/>
      <c r="U8" s="299">
        <f>IF(AI4=2,AD8,"")</f>
        <v>0</v>
      </c>
      <c r="V8" s="300"/>
      <c r="W8" s="300"/>
      <c r="X8" s="301"/>
      <c r="Y8" s="129"/>
      <c r="Z8" s="129"/>
      <c r="AA8" s="153">
        <f>LOOKUP(AC8,COD,PUNT)</f>
        <v>0</v>
      </c>
      <c r="AC8" s="20">
        <f>MAX(N8:X8)</f>
        <v>0</v>
      </c>
      <c r="AD8" s="21">
        <f>INGRESO!C49</f>
        <v>0</v>
      </c>
    </row>
    <row r="9" spans="1:35" ht="5" customHeight="1" thickBot="1" x14ac:dyDescent="0.25">
      <c r="A9" s="129"/>
      <c r="B9" s="137"/>
      <c r="C9" s="129"/>
      <c r="D9" s="129"/>
      <c r="E9" s="129"/>
      <c r="F9" s="129"/>
      <c r="G9" s="129"/>
      <c r="H9" s="129"/>
      <c r="I9" s="129"/>
      <c r="J9" s="129"/>
      <c r="K9" s="129"/>
      <c r="L9" s="129"/>
      <c r="M9" s="129"/>
      <c r="N9" s="149"/>
      <c r="O9" s="149"/>
      <c r="P9" s="149"/>
      <c r="Q9" s="149"/>
      <c r="R9" s="149"/>
      <c r="S9" s="149"/>
      <c r="T9" s="149"/>
      <c r="U9" s="149"/>
      <c r="V9" s="149"/>
      <c r="W9" s="149"/>
      <c r="X9" s="149"/>
      <c r="Y9" s="129"/>
      <c r="Z9" s="129"/>
      <c r="AA9" s="154" t="s">
        <v>52</v>
      </c>
      <c r="AC9" s="20">
        <f t="shared" ref="AC9:AC38" si="0">MAX(N9:X9)</f>
        <v>0</v>
      </c>
    </row>
    <row r="10" spans="1:35" ht="30.5" customHeight="1" thickBot="1" x14ac:dyDescent="0.25">
      <c r="A10" s="129"/>
      <c r="B10" s="137">
        <v>68</v>
      </c>
      <c r="C10" s="266" t="s">
        <v>132</v>
      </c>
      <c r="D10" s="266"/>
      <c r="E10" s="266"/>
      <c r="F10" s="266"/>
      <c r="G10" s="266"/>
      <c r="H10" s="266"/>
      <c r="I10" s="266"/>
      <c r="J10" s="266"/>
      <c r="K10" s="266"/>
      <c r="L10" s="266"/>
      <c r="M10" s="141"/>
      <c r="N10" s="294" t="str">
        <f>IF(AI4=1,AD10,"")</f>
        <v/>
      </c>
      <c r="O10" s="295"/>
      <c r="P10" s="295"/>
      <c r="Q10" s="295"/>
      <c r="R10" s="296"/>
      <c r="S10" s="149"/>
      <c r="T10" s="149"/>
      <c r="U10" s="299">
        <f>IF(AI4=2,AD10,"")</f>
        <v>0</v>
      </c>
      <c r="V10" s="300"/>
      <c r="W10" s="300"/>
      <c r="X10" s="301"/>
      <c r="Y10" s="129"/>
      <c r="Z10" s="129"/>
      <c r="AA10" s="153">
        <f>LOOKUP(AC10,COD,PUNT)</f>
        <v>0</v>
      </c>
      <c r="AC10" s="20">
        <f t="shared" si="0"/>
        <v>0</v>
      </c>
      <c r="AD10" s="21">
        <f>INGRESO!C50</f>
        <v>0</v>
      </c>
    </row>
    <row r="11" spans="1:35" ht="5" customHeight="1" thickBot="1" x14ac:dyDescent="0.3">
      <c r="A11" s="129"/>
      <c r="B11" s="146"/>
      <c r="C11" s="129"/>
      <c r="D11" s="129"/>
      <c r="E11" s="129"/>
      <c r="F11" s="129"/>
      <c r="G11" s="129"/>
      <c r="H11" s="129"/>
      <c r="I11" s="129"/>
      <c r="J11" s="129"/>
      <c r="K11" s="129"/>
      <c r="L11" s="129"/>
      <c r="M11" s="129"/>
      <c r="N11" s="149"/>
      <c r="O11" s="149"/>
      <c r="P11" s="149"/>
      <c r="Q11" s="149"/>
      <c r="R11" s="149"/>
      <c r="S11" s="149"/>
      <c r="T11" s="149"/>
      <c r="U11" s="149"/>
      <c r="V11" s="149"/>
      <c r="W11" s="149"/>
      <c r="X11" s="149"/>
      <c r="Y11" s="129"/>
      <c r="Z11" s="129"/>
      <c r="AA11" s="154" t="s">
        <v>52</v>
      </c>
      <c r="AC11" s="20">
        <f t="shared" si="0"/>
        <v>0</v>
      </c>
    </row>
    <row r="12" spans="1:35" ht="20" thickBot="1" x14ac:dyDescent="0.3">
      <c r="A12" s="129"/>
      <c r="B12" s="129"/>
      <c r="C12" s="129"/>
      <c r="D12" s="129"/>
      <c r="E12" s="129"/>
      <c r="F12" s="129"/>
      <c r="G12" s="129"/>
      <c r="H12" s="129"/>
      <c r="I12" s="129"/>
      <c r="J12" s="129"/>
      <c r="K12" s="129"/>
      <c r="L12" s="129"/>
      <c r="M12" s="129"/>
      <c r="N12" s="129"/>
      <c r="O12" s="139"/>
      <c r="P12" s="139"/>
      <c r="Q12" s="139"/>
      <c r="R12" s="139"/>
      <c r="S12" s="139"/>
      <c r="T12" s="139"/>
      <c r="U12" s="139"/>
      <c r="V12" s="139"/>
      <c r="W12" s="139"/>
      <c r="X12" s="263" t="s">
        <v>136</v>
      </c>
      <c r="Y12" s="263"/>
      <c r="Z12" s="264"/>
      <c r="AA12" s="155">
        <f>SUM(AA10,AA8)</f>
        <v>0</v>
      </c>
      <c r="AB12" s="145"/>
      <c r="AC12" s="20">
        <f t="shared" si="0"/>
        <v>0</v>
      </c>
    </row>
    <row r="13" spans="1:35" ht="15" x14ac:dyDescent="0.2">
      <c r="A13" s="129"/>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35"/>
      <c r="AC13" s="20">
        <f t="shared" si="0"/>
        <v>0</v>
      </c>
    </row>
    <row r="14" spans="1:35" ht="21" customHeight="1" x14ac:dyDescent="0.2">
      <c r="A14" s="33" t="s">
        <v>128</v>
      </c>
      <c r="B14" s="267" t="s">
        <v>133</v>
      </c>
      <c r="C14" s="267"/>
      <c r="D14" s="267"/>
      <c r="E14" s="267"/>
      <c r="F14" s="267"/>
      <c r="G14" s="267"/>
      <c r="H14" s="267"/>
      <c r="I14" s="267"/>
      <c r="J14" s="267"/>
      <c r="K14" s="267"/>
      <c r="L14" s="267"/>
      <c r="M14" s="267"/>
      <c r="N14" s="267"/>
      <c r="O14" s="267"/>
      <c r="P14" s="267"/>
      <c r="Q14" s="267"/>
      <c r="R14" s="267"/>
      <c r="S14" s="267"/>
      <c r="T14" s="267"/>
      <c r="U14" s="267"/>
      <c r="V14" s="267"/>
      <c r="W14" s="267"/>
      <c r="X14" s="267"/>
      <c r="Y14" s="131"/>
      <c r="Z14" s="131"/>
      <c r="AA14" s="144" t="s">
        <v>59</v>
      </c>
      <c r="AC14" s="20">
        <f t="shared" si="0"/>
        <v>0</v>
      </c>
    </row>
    <row r="15" spans="1:35" ht="5" customHeight="1" thickBot="1" x14ac:dyDescent="0.2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31"/>
      <c r="Z15" s="131"/>
      <c r="AA15" s="131"/>
      <c r="AC15" s="20">
        <f t="shared" si="0"/>
        <v>0</v>
      </c>
    </row>
    <row r="16" spans="1:35" ht="35" customHeight="1" thickBot="1" x14ac:dyDescent="0.3">
      <c r="A16" s="129"/>
      <c r="B16" s="137">
        <v>39</v>
      </c>
      <c r="C16" s="266" t="s">
        <v>134</v>
      </c>
      <c r="D16" s="266"/>
      <c r="E16" s="266"/>
      <c r="F16" s="266"/>
      <c r="G16" s="266"/>
      <c r="H16" s="266"/>
      <c r="I16" s="266"/>
      <c r="J16" s="266"/>
      <c r="K16" s="266"/>
      <c r="L16" s="266"/>
      <c r="M16" s="150"/>
      <c r="N16" s="294" t="str">
        <f>IF(AI4=1,AD16,"")</f>
        <v/>
      </c>
      <c r="O16" s="295"/>
      <c r="P16" s="295"/>
      <c r="Q16" s="295"/>
      <c r="R16" s="296"/>
      <c r="S16" s="149"/>
      <c r="T16" s="149"/>
      <c r="U16" s="299">
        <f>IF(AI4=2,AD16,"")</f>
        <v>0</v>
      </c>
      <c r="V16" s="300"/>
      <c r="W16" s="300"/>
      <c r="X16" s="301"/>
      <c r="Y16" s="129"/>
      <c r="Z16" s="129"/>
      <c r="AA16" s="167">
        <f>LOOKUP(AC16,COD,PUNT)</f>
        <v>0</v>
      </c>
      <c r="AC16" s="20">
        <f t="shared" si="0"/>
        <v>0</v>
      </c>
      <c r="AD16" s="21">
        <f>INGRESO!C22</f>
        <v>0</v>
      </c>
    </row>
    <row r="17" spans="1:30" ht="5" customHeight="1" thickBot="1" x14ac:dyDescent="0.25">
      <c r="A17" s="129"/>
      <c r="B17" s="137"/>
      <c r="C17" s="151"/>
      <c r="D17" s="151"/>
      <c r="E17" s="151"/>
      <c r="F17" s="151"/>
      <c r="G17" s="151"/>
      <c r="H17" s="151"/>
      <c r="I17" s="151"/>
      <c r="J17" s="151"/>
      <c r="K17" s="151"/>
      <c r="L17" s="151"/>
      <c r="M17" s="147"/>
      <c r="N17" s="149"/>
      <c r="O17" s="149"/>
      <c r="P17" s="149"/>
      <c r="Q17" s="149"/>
      <c r="R17" s="149"/>
      <c r="S17" s="149"/>
      <c r="T17" s="149"/>
      <c r="U17" s="149"/>
      <c r="V17" s="149"/>
      <c r="W17" s="149"/>
      <c r="X17" s="149"/>
      <c r="Y17" s="129"/>
      <c r="Z17" s="129"/>
      <c r="AA17" s="154" t="s">
        <v>52</v>
      </c>
      <c r="AC17" s="20">
        <f t="shared" si="0"/>
        <v>0</v>
      </c>
    </row>
    <row r="18" spans="1:30" ht="20" thickBot="1" x14ac:dyDescent="0.3">
      <c r="A18" s="129"/>
      <c r="B18" s="137">
        <v>70</v>
      </c>
      <c r="C18" s="266" t="s">
        <v>135</v>
      </c>
      <c r="D18" s="266"/>
      <c r="E18" s="266"/>
      <c r="F18" s="266"/>
      <c r="G18" s="266"/>
      <c r="H18" s="266"/>
      <c r="I18" s="266"/>
      <c r="J18" s="266"/>
      <c r="K18" s="266"/>
      <c r="L18" s="266"/>
      <c r="M18" s="141"/>
      <c r="N18" s="294" t="str">
        <f>IF(AI4=1,AD18,"")</f>
        <v/>
      </c>
      <c r="O18" s="295"/>
      <c r="P18" s="295"/>
      <c r="Q18" s="295"/>
      <c r="R18" s="296"/>
      <c r="S18" s="149"/>
      <c r="T18" s="149"/>
      <c r="U18" s="299">
        <f>IF(AI4=2,AD18,"")</f>
        <v>0</v>
      </c>
      <c r="V18" s="300"/>
      <c r="W18" s="300"/>
      <c r="X18" s="301"/>
      <c r="Y18" s="129"/>
      <c r="Z18" s="129"/>
      <c r="AA18" s="167">
        <f>LOOKUP(AC18,COD,PUNT)</f>
        <v>0</v>
      </c>
      <c r="AC18" s="20">
        <f t="shared" si="0"/>
        <v>0</v>
      </c>
      <c r="AD18" s="21">
        <f>INGRESO!C52</f>
        <v>0</v>
      </c>
    </row>
    <row r="19" spans="1:30" ht="5" customHeight="1" thickBot="1" x14ac:dyDescent="0.3">
      <c r="A19" s="129"/>
      <c r="B19" s="146"/>
      <c r="C19" s="147"/>
      <c r="D19" s="147"/>
      <c r="E19" s="147"/>
      <c r="F19" s="147"/>
      <c r="G19" s="147"/>
      <c r="H19" s="147"/>
      <c r="I19" s="147"/>
      <c r="J19" s="147"/>
      <c r="K19" s="147"/>
      <c r="L19" s="147"/>
      <c r="M19" s="147"/>
      <c r="N19" s="149"/>
      <c r="O19" s="149"/>
      <c r="P19" s="149"/>
      <c r="Q19" s="149"/>
      <c r="R19" s="149"/>
      <c r="S19" s="149"/>
      <c r="T19" s="149"/>
      <c r="U19" s="149"/>
      <c r="V19" s="149"/>
      <c r="W19" s="149"/>
      <c r="X19" s="149"/>
      <c r="Y19" s="129"/>
      <c r="Z19" s="129"/>
      <c r="AA19" s="154" t="s">
        <v>52</v>
      </c>
      <c r="AC19" s="20">
        <f t="shared" si="0"/>
        <v>0</v>
      </c>
    </row>
    <row r="20" spans="1:30" ht="20" thickBot="1" x14ac:dyDescent="0.3">
      <c r="A20" s="129"/>
      <c r="B20" s="129"/>
      <c r="C20" s="129"/>
      <c r="D20" s="129"/>
      <c r="E20" s="129"/>
      <c r="F20" s="129"/>
      <c r="G20" s="129"/>
      <c r="H20" s="129"/>
      <c r="I20" s="129"/>
      <c r="J20" s="129"/>
      <c r="K20" s="129"/>
      <c r="L20" s="129"/>
      <c r="M20" s="129"/>
      <c r="N20" s="129"/>
      <c r="O20" s="129"/>
      <c r="P20" s="129"/>
      <c r="Q20" s="129"/>
      <c r="R20" s="129"/>
      <c r="S20" s="129"/>
      <c r="T20" s="129"/>
      <c r="U20" s="129"/>
      <c r="V20" s="129"/>
      <c r="W20" s="129"/>
      <c r="X20" s="263" t="s">
        <v>137</v>
      </c>
      <c r="Y20" s="263"/>
      <c r="Z20" s="264"/>
      <c r="AA20" s="168">
        <f>SUM(AA18,AA16)</f>
        <v>0</v>
      </c>
      <c r="AC20" s="20">
        <f t="shared" si="0"/>
        <v>0</v>
      </c>
    </row>
    <row r="21" spans="1:30" ht="15" x14ac:dyDescent="0.2">
      <c r="A21" s="129"/>
      <c r="B21" s="129"/>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35"/>
      <c r="AC21" s="20">
        <f t="shared" si="0"/>
        <v>0</v>
      </c>
    </row>
    <row r="22" spans="1:30" ht="28.5" customHeight="1" x14ac:dyDescent="0.2">
      <c r="A22" s="33" t="s">
        <v>129</v>
      </c>
      <c r="B22" s="267" t="s">
        <v>140</v>
      </c>
      <c r="C22" s="267"/>
      <c r="D22" s="267"/>
      <c r="E22" s="267"/>
      <c r="F22" s="267"/>
      <c r="G22" s="267"/>
      <c r="H22" s="267"/>
      <c r="I22" s="267"/>
      <c r="J22" s="267"/>
      <c r="K22" s="267"/>
      <c r="L22" s="267"/>
      <c r="M22" s="267"/>
      <c r="N22" s="267"/>
      <c r="O22" s="267"/>
      <c r="P22" s="267"/>
      <c r="Q22" s="267"/>
      <c r="R22" s="267"/>
      <c r="S22" s="267"/>
      <c r="T22" s="267"/>
      <c r="U22" s="267"/>
      <c r="V22" s="267"/>
      <c r="W22" s="267"/>
      <c r="X22" s="267"/>
      <c r="Y22" s="131"/>
      <c r="Z22" s="131"/>
      <c r="AA22" s="290" t="s">
        <v>143</v>
      </c>
      <c r="AC22" s="20">
        <f t="shared" si="0"/>
        <v>0</v>
      </c>
    </row>
    <row r="23" spans="1:30" ht="15" customHeight="1" thickBot="1" x14ac:dyDescent="0.25">
      <c r="A23" s="140"/>
      <c r="B23" s="140"/>
      <c r="C23" s="140"/>
      <c r="D23" s="140"/>
      <c r="E23" s="140"/>
      <c r="F23" s="140"/>
      <c r="G23" s="140"/>
      <c r="H23" s="140"/>
      <c r="I23" s="140"/>
      <c r="J23" s="140"/>
      <c r="K23" s="140"/>
      <c r="L23" s="140"/>
      <c r="M23" s="140"/>
      <c r="N23" s="140"/>
      <c r="O23" s="140"/>
      <c r="P23" s="140"/>
      <c r="Q23" s="140"/>
      <c r="R23" s="140"/>
      <c r="S23" s="140"/>
      <c r="T23" s="140"/>
      <c r="U23" s="140"/>
      <c r="V23" s="140"/>
      <c r="W23" s="140"/>
      <c r="X23" s="140"/>
      <c r="Y23" s="131"/>
      <c r="Z23" s="131"/>
      <c r="AA23" s="291"/>
      <c r="AC23" s="20">
        <f t="shared" si="0"/>
        <v>0</v>
      </c>
    </row>
    <row r="24" spans="1:30" ht="20" thickBot="1" x14ac:dyDescent="0.3">
      <c r="A24" s="129"/>
      <c r="B24" s="157">
        <v>77</v>
      </c>
      <c r="C24" s="265" t="s">
        <v>141</v>
      </c>
      <c r="D24" s="265"/>
      <c r="E24" s="265"/>
      <c r="F24" s="265"/>
      <c r="G24" s="265"/>
      <c r="H24" s="265"/>
      <c r="I24" s="265"/>
      <c r="J24" s="265"/>
      <c r="K24" s="265"/>
      <c r="L24" s="265"/>
      <c r="M24" s="141"/>
      <c r="N24" s="294" t="str">
        <f>IF(AI4=1,AD24,"")</f>
        <v/>
      </c>
      <c r="O24" s="295"/>
      <c r="P24" s="295"/>
      <c r="Q24" s="295"/>
      <c r="R24" s="296"/>
      <c r="S24" s="149"/>
      <c r="T24" s="149"/>
      <c r="U24" s="299">
        <f>IF(AI4=2,AD24,"")</f>
        <v>0</v>
      </c>
      <c r="V24" s="300"/>
      <c r="W24" s="300"/>
      <c r="X24" s="301"/>
      <c r="Y24" s="129"/>
      <c r="Z24" s="129"/>
      <c r="AA24" s="287">
        <f>LOOKUP(MAX(U26,U24),COD,PUNT)</f>
        <v>0</v>
      </c>
      <c r="AC24" s="20">
        <f t="shared" si="0"/>
        <v>0</v>
      </c>
      <c r="AD24" s="21">
        <f>INGRESO!C55</f>
        <v>0</v>
      </c>
    </row>
    <row r="25" spans="1:30" ht="5" customHeight="1" thickBot="1" x14ac:dyDescent="0.3">
      <c r="A25" s="129"/>
      <c r="B25" s="157"/>
      <c r="C25" s="150"/>
      <c r="D25" s="150"/>
      <c r="E25" s="150"/>
      <c r="F25" s="150"/>
      <c r="G25" s="150"/>
      <c r="H25" s="150"/>
      <c r="I25" s="150"/>
      <c r="J25" s="150"/>
      <c r="K25" s="150"/>
      <c r="L25" s="150"/>
      <c r="M25" s="150"/>
      <c r="N25" s="149"/>
      <c r="O25" s="149"/>
      <c r="P25" s="149"/>
      <c r="Q25" s="149"/>
      <c r="R25" s="149"/>
      <c r="S25" s="149"/>
      <c r="T25" s="149"/>
      <c r="U25" s="149"/>
      <c r="V25" s="149"/>
      <c r="W25" s="149"/>
      <c r="X25" s="149"/>
      <c r="Y25" s="129"/>
      <c r="Z25" s="129"/>
      <c r="AA25" s="288"/>
      <c r="AC25" s="20">
        <f t="shared" si="0"/>
        <v>0</v>
      </c>
    </row>
    <row r="26" spans="1:30" ht="34.5" customHeight="1" thickBot="1" x14ac:dyDescent="0.25">
      <c r="A26" s="129"/>
      <c r="B26" s="137">
        <v>78</v>
      </c>
      <c r="C26" s="266" t="s">
        <v>142</v>
      </c>
      <c r="D26" s="266"/>
      <c r="E26" s="266"/>
      <c r="F26" s="266"/>
      <c r="G26" s="266"/>
      <c r="H26" s="266"/>
      <c r="I26" s="266"/>
      <c r="J26" s="266"/>
      <c r="K26" s="266"/>
      <c r="L26" s="266"/>
      <c r="M26" s="141"/>
      <c r="N26" s="294" t="str">
        <f>IF(AI4=1,AD26,"")</f>
        <v/>
      </c>
      <c r="O26" s="295"/>
      <c r="P26" s="295"/>
      <c r="Q26" s="295"/>
      <c r="R26" s="296"/>
      <c r="S26" s="149"/>
      <c r="T26" s="149"/>
      <c r="U26" s="299">
        <f>IF(AI4=2,AD26,"")</f>
        <v>0</v>
      </c>
      <c r="V26" s="300"/>
      <c r="W26" s="300"/>
      <c r="X26" s="301"/>
      <c r="Y26" s="129"/>
      <c r="Z26" s="129"/>
      <c r="AA26" s="289"/>
      <c r="AC26" s="20">
        <f t="shared" si="0"/>
        <v>0</v>
      </c>
      <c r="AD26" s="21">
        <f>INGRESO!C56</f>
        <v>0</v>
      </c>
    </row>
    <row r="27" spans="1:30" ht="5" customHeight="1" thickBot="1" x14ac:dyDescent="0.3">
      <c r="A27" s="129"/>
      <c r="B27" s="146"/>
      <c r="C27" s="150"/>
      <c r="D27" s="150"/>
      <c r="E27" s="150"/>
      <c r="F27" s="150"/>
      <c r="G27" s="150"/>
      <c r="H27" s="150"/>
      <c r="I27" s="150"/>
      <c r="J27" s="150"/>
      <c r="K27" s="150"/>
      <c r="L27" s="150"/>
      <c r="M27" s="150"/>
      <c r="N27" s="149"/>
      <c r="O27" s="149"/>
      <c r="P27" s="149"/>
      <c r="Q27" s="149"/>
      <c r="R27" s="149"/>
      <c r="S27" s="149"/>
      <c r="T27" s="149"/>
      <c r="U27" s="149"/>
      <c r="V27" s="149"/>
      <c r="W27" s="149"/>
      <c r="X27" s="149"/>
      <c r="Y27" s="129"/>
      <c r="Z27" s="129"/>
      <c r="AA27" s="154" t="s">
        <v>52</v>
      </c>
      <c r="AC27" s="20">
        <f t="shared" si="0"/>
        <v>0</v>
      </c>
    </row>
    <row r="28" spans="1:30" ht="20" thickBot="1" x14ac:dyDescent="0.3">
      <c r="A28" s="129"/>
      <c r="B28" s="129"/>
      <c r="C28" s="150"/>
      <c r="D28" s="150"/>
      <c r="E28" s="150"/>
      <c r="F28" s="150"/>
      <c r="G28" s="150"/>
      <c r="H28" s="150"/>
      <c r="I28" s="150"/>
      <c r="J28" s="150"/>
      <c r="K28" s="150"/>
      <c r="L28" s="150"/>
      <c r="M28" s="150"/>
      <c r="N28" s="129"/>
      <c r="O28" s="139"/>
      <c r="P28" s="139"/>
      <c r="Q28" s="139"/>
      <c r="R28" s="139"/>
      <c r="S28" s="139"/>
      <c r="T28" s="139"/>
      <c r="U28" s="139"/>
      <c r="V28" s="139"/>
      <c r="W28" s="139"/>
      <c r="X28" s="263" t="s">
        <v>138</v>
      </c>
      <c r="Y28" s="263"/>
      <c r="Z28" s="264"/>
      <c r="AA28" s="168">
        <f>SUM(AA24)</f>
        <v>0</v>
      </c>
      <c r="AC28" s="20">
        <f t="shared" si="0"/>
        <v>0</v>
      </c>
    </row>
    <row r="29" spans="1:30" ht="15" x14ac:dyDescent="0.2">
      <c r="A29" s="129"/>
      <c r="B29" s="129"/>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35"/>
      <c r="AC29" s="20">
        <f t="shared" si="0"/>
        <v>0</v>
      </c>
    </row>
    <row r="30" spans="1:30" ht="21" customHeight="1" x14ac:dyDescent="0.2">
      <c r="A30" s="33" t="s">
        <v>130</v>
      </c>
      <c r="B30" s="267" t="s">
        <v>144</v>
      </c>
      <c r="C30" s="267"/>
      <c r="D30" s="267"/>
      <c r="E30" s="267"/>
      <c r="F30" s="267"/>
      <c r="G30" s="267"/>
      <c r="H30" s="267"/>
      <c r="I30" s="267"/>
      <c r="J30" s="267"/>
      <c r="K30" s="267"/>
      <c r="L30" s="267"/>
      <c r="M30" s="267"/>
      <c r="N30" s="267"/>
      <c r="O30" s="267"/>
      <c r="P30" s="267"/>
      <c r="Q30" s="267"/>
      <c r="R30" s="267"/>
      <c r="S30" s="267"/>
      <c r="T30" s="267"/>
      <c r="U30" s="267"/>
      <c r="V30" s="267"/>
      <c r="W30" s="267"/>
      <c r="X30" s="267"/>
      <c r="Y30" s="131"/>
      <c r="Z30" s="131"/>
      <c r="AA30" s="290" t="s">
        <v>143</v>
      </c>
      <c r="AC30" s="20">
        <f t="shared" si="0"/>
        <v>0</v>
      </c>
    </row>
    <row r="31" spans="1:30" ht="23" customHeight="1" thickBot="1" x14ac:dyDescent="0.25">
      <c r="A31" s="140"/>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31"/>
      <c r="Z31" s="131"/>
      <c r="AA31" s="291"/>
      <c r="AC31" s="20">
        <f t="shared" si="0"/>
        <v>0</v>
      </c>
    </row>
    <row r="32" spans="1:30" ht="28" customHeight="1" thickBot="1" x14ac:dyDescent="0.25">
      <c r="A32" s="129"/>
      <c r="B32" s="137">
        <v>69</v>
      </c>
      <c r="C32" s="266" t="s">
        <v>145</v>
      </c>
      <c r="D32" s="266"/>
      <c r="E32" s="266"/>
      <c r="F32" s="266"/>
      <c r="G32" s="266"/>
      <c r="H32" s="266"/>
      <c r="I32" s="266"/>
      <c r="J32" s="266"/>
      <c r="K32" s="266"/>
      <c r="L32" s="266"/>
      <c r="M32" s="150"/>
      <c r="N32" s="294" t="str">
        <f>IF(AI4=1,AD32,"")</f>
        <v/>
      </c>
      <c r="O32" s="295"/>
      <c r="P32" s="295"/>
      <c r="Q32" s="295"/>
      <c r="R32" s="296"/>
      <c r="S32" s="149"/>
      <c r="T32" s="149"/>
      <c r="U32" s="299">
        <f>IF(AI4=2,AD32,"")</f>
        <v>0</v>
      </c>
      <c r="V32" s="300"/>
      <c r="W32" s="300"/>
      <c r="X32" s="301"/>
      <c r="Y32" s="129"/>
      <c r="Z32" s="129"/>
      <c r="AA32" s="287">
        <f>LOOKUP(MAX(U34,U32),COD,PUNT)</f>
        <v>0</v>
      </c>
      <c r="AC32" s="20">
        <f>MAX(N32:X32)</f>
        <v>0</v>
      </c>
      <c r="AD32" s="21">
        <f>INGRESO!C51</f>
        <v>0</v>
      </c>
    </row>
    <row r="33" spans="1:30" ht="5" customHeight="1" thickBot="1" x14ac:dyDescent="0.25">
      <c r="A33" s="129"/>
      <c r="B33" s="137"/>
      <c r="C33" s="147"/>
      <c r="D33" s="147"/>
      <c r="E33" s="147"/>
      <c r="F33" s="147"/>
      <c r="G33" s="147"/>
      <c r="H33" s="147"/>
      <c r="I33" s="147"/>
      <c r="J33" s="147"/>
      <c r="K33" s="147"/>
      <c r="L33" s="147"/>
      <c r="M33" s="147"/>
      <c r="N33" s="149"/>
      <c r="O33" s="149"/>
      <c r="P33" s="149"/>
      <c r="Q33" s="149"/>
      <c r="R33" s="149"/>
      <c r="S33" s="149"/>
      <c r="T33" s="149"/>
      <c r="U33" s="149"/>
      <c r="V33" s="149"/>
      <c r="W33" s="149"/>
      <c r="X33" s="149"/>
      <c r="Y33" s="129"/>
      <c r="Z33" s="129"/>
      <c r="AA33" s="288"/>
      <c r="AC33" s="20">
        <f t="shared" si="0"/>
        <v>0</v>
      </c>
    </row>
    <row r="34" spans="1:30" ht="20" thickBot="1" x14ac:dyDescent="0.25">
      <c r="A34" s="129"/>
      <c r="B34" s="137">
        <v>71</v>
      </c>
      <c r="C34" s="265" t="s">
        <v>146</v>
      </c>
      <c r="D34" s="265"/>
      <c r="E34" s="265"/>
      <c r="F34" s="265"/>
      <c r="G34" s="265"/>
      <c r="H34" s="265"/>
      <c r="I34" s="265"/>
      <c r="J34" s="265"/>
      <c r="K34" s="265"/>
      <c r="L34" s="265"/>
      <c r="M34" s="141"/>
      <c r="N34" s="294" t="str">
        <f>IF(AI4=1,AD34,"")</f>
        <v/>
      </c>
      <c r="O34" s="295"/>
      <c r="P34" s="295"/>
      <c r="Q34" s="295"/>
      <c r="R34" s="296"/>
      <c r="S34" s="149"/>
      <c r="T34" s="149"/>
      <c r="U34" s="299">
        <f>IF(AI4=2,AD34,"")</f>
        <v>0</v>
      </c>
      <c r="V34" s="300"/>
      <c r="W34" s="300"/>
      <c r="X34" s="301"/>
      <c r="Y34" s="129"/>
      <c r="Z34" s="129"/>
      <c r="AA34" s="289"/>
      <c r="AC34" s="20">
        <f>MAX(N34:X34)</f>
        <v>0</v>
      </c>
      <c r="AD34" s="21">
        <f>INGRESO!C53</f>
        <v>0</v>
      </c>
    </row>
    <row r="35" spans="1:30" ht="5" customHeight="1" thickBot="1" x14ac:dyDescent="0.3">
      <c r="A35" s="129"/>
      <c r="B35" s="146"/>
      <c r="C35" s="147"/>
      <c r="D35" s="147"/>
      <c r="E35" s="147"/>
      <c r="F35" s="147"/>
      <c r="G35" s="147"/>
      <c r="H35" s="147"/>
      <c r="I35" s="147"/>
      <c r="J35" s="147"/>
      <c r="K35" s="147"/>
      <c r="L35" s="147"/>
      <c r="M35" s="147"/>
      <c r="N35" s="149"/>
      <c r="O35" s="149"/>
      <c r="P35" s="149"/>
      <c r="Q35" s="149"/>
      <c r="R35" s="149"/>
      <c r="S35" s="149"/>
      <c r="T35" s="149"/>
      <c r="U35" s="149"/>
      <c r="V35" s="149"/>
      <c r="W35" s="149"/>
      <c r="X35" s="149"/>
      <c r="Y35" s="129"/>
      <c r="Z35" s="129"/>
      <c r="AA35" s="45" t="s">
        <v>52</v>
      </c>
      <c r="AC35" s="20">
        <f t="shared" si="0"/>
        <v>0</v>
      </c>
    </row>
    <row r="36" spans="1:30" ht="20" thickBot="1" x14ac:dyDescent="0.3">
      <c r="A36" s="129"/>
      <c r="B36" s="129"/>
      <c r="C36" s="129"/>
      <c r="D36" s="129"/>
      <c r="E36" s="129"/>
      <c r="F36" s="129"/>
      <c r="G36" s="129"/>
      <c r="H36" s="129"/>
      <c r="I36" s="129"/>
      <c r="J36" s="129"/>
      <c r="K36" s="129"/>
      <c r="L36" s="129"/>
      <c r="M36" s="129"/>
      <c r="N36" s="129"/>
      <c r="O36" s="129"/>
      <c r="P36" s="129"/>
      <c r="Q36" s="129"/>
      <c r="R36" s="129"/>
      <c r="S36" s="129"/>
      <c r="T36" s="129"/>
      <c r="U36" s="129"/>
      <c r="V36" s="129"/>
      <c r="W36" s="129"/>
      <c r="X36" s="263" t="s">
        <v>139</v>
      </c>
      <c r="Y36" s="263"/>
      <c r="Z36" s="264"/>
      <c r="AA36" s="37">
        <f>SUM(AA32)</f>
        <v>0</v>
      </c>
      <c r="AC36" s="20">
        <f t="shared" si="0"/>
        <v>0</v>
      </c>
    </row>
    <row r="37" spans="1:30" ht="7" customHeight="1" thickBot="1" x14ac:dyDescent="0.3">
      <c r="A37" s="272"/>
      <c r="B37" s="273"/>
      <c r="C37" s="273"/>
      <c r="D37" s="273"/>
      <c r="E37" s="273"/>
      <c r="F37" s="273"/>
      <c r="G37" s="273"/>
      <c r="H37" s="273"/>
      <c r="I37" s="273"/>
      <c r="J37" s="273"/>
      <c r="K37" s="273"/>
      <c r="L37" s="273"/>
      <c r="M37" s="273"/>
      <c r="N37" s="273"/>
      <c r="O37" s="129"/>
      <c r="P37" s="129"/>
      <c r="Q37" s="129"/>
      <c r="R37" s="129"/>
      <c r="S37" s="129"/>
      <c r="T37" s="129"/>
      <c r="U37" s="129"/>
      <c r="V37" s="129"/>
      <c r="W37" s="129"/>
      <c r="X37" s="148"/>
      <c r="Y37" s="148"/>
      <c r="Z37" s="148"/>
      <c r="AA37" s="38"/>
      <c r="AC37" s="20">
        <f t="shared" si="0"/>
        <v>0</v>
      </c>
    </row>
    <row r="38" spans="1:30" ht="22" thickBot="1" x14ac:dyDescent="0.3">
      <c r="A38" s="273"/>
      <c r="B38" s="273"/>
      <c r="C38" s="273"/>
      <c r="D38" s="273"/>
      <c r="E38" s="273"/>
      <c r="F38" s="273"/>
      <c r="G38" s="273"/>
      <c r="H38" s="273"/>
      <c r="I38" s="273"/>
      <c r="J38" s="273"/>
      <c r="K38" s="273"/>
      <c r="L38" s="273"/>
      <c r="M38" s="273"/>
      <c r="N38" s="273"/>
      <c r="O38" s="129"/>
      <c r="P38" s="297" t="s">
        <v>126</v>
      </c>
      <c r="Q38" s="297"/>
      <c r="R38" s="297"/>
      <c r="S38" s="297"/>
      <c r="T38" s="297"/>
      <c r="U38" s="297"/>
      <c r="V38" s="297"/>
      <c r="W38" s="297"/>
      <c r="X38" s="297"/>
      <c r="Y38" s="297"/>
      <c r="Z38" s="298"/>
      <c r="AA38" s="39">
        <f>SUM(AA36,AA28,AA20,AA12)</f>
        <v>0</v>
      </c>
      <c r="AC38" s="20">
        <f t="shared" si="0"/>
        <v>0</v>
      </c>
    </row>
    <row r="39" spans="1:30" ht="18" customHeight="1" x14ac:dyDescent="0.2">
      <c r="A39" s="273"/>
      <c r="B39" s="273"/>
      <c r="C39" s="273"/>
      <c r="D39" s="273"/>
      <c r="E39" s="273"/>
      <c r="F39" s="273"/>
      <c r="G39" s="273"/>
      <c r="H39" s="273"/>
      <c r="I39" s="273"/>
      <c r="J39" s="273"/>
      <c r="K39" s="273"/>
      <c r="L39" s="273"/>
      <c r="M39" s="273"/>
      <c r="N39" s="273"/>
      <c r="O39" s="129"/>
      <c r="P39" s="129"/>
      <c r="Q39" s="129"/>
      <c r="R39" s="129"/>
      <c r="S39" s="129"/>
      <c r="T39" s="129"/>
      <c r="U39" s="129"/>
      <c r="V39" s="129"/>
      <c r="W39" s="129"/>
      <c r="X39" s="129"/>
      <c r="Y39" s="129"/>
      <c r="Z39" s="129"/>
      <c r="AA39" s="135"/>
    </row>
    <row r="40" spans="1:30" ht="15" x14ac:dyDescent="0.2">
      <c r="A40" s="129"/>
      <c r="B40" s="129"/>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35"/>
    </row>
    <row r="41" spans="1:30" ht="14.5" customHeight="1" x14ac:dyDescent="0.2">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35"/>
    </row>
    <row r="42" spans="1:30" ht="14.5" customHeight="1" x14ac:dyDescent="0.2">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35"/>
    </row>
    <row r="43" spans="1:30" ht="14.5" customHeight="1" x14ac:dyDescent="0.2">
      <c r="A43" s="129"/>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35"/>
    </row>
    <row r="44" spans="1:30" ht="14.5"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35"/>
    </row>
  </sheetData>
  <sheetProtection algorithmName="SHA-512" hashValue="6h17qaKlL9WAVYfIOUfrx4QC4gfSdSap111Cc3EPI86hvc07mDFqLUF70JZ/GYg3kANPqxgW6kgPcgfSgmI+wg==" saltValue="SKgLrQUgAVLCJV1dLtSOkQ==" spinCount="100000" sheet="1" selectLockedCells="1"/>
  <mergeCells count="46">
    <mergeCell ref="A1:X1"/>
    <mergeCell ref="G3:L3"/>
    <mergeCell ref="N3:R3"/>
    <mergeCell ref="G4:L4"/>
    <mergeCell ref="A2:H2"/>
    <mergeCell ref="U24:X24"/>
    <mergeCell ref="U26:X26"/>
    <mergeCell ref="N24:R24"/>
    <mergeCell ref="N26:R26"/>
    <mergeCell ref="C16:L16"/>
    <mergeCell ref="C18:L18"/>
    <mergeCell ref="X20:Z20"/>
    <mergeCell ref="N16:R16"/>
    <mergeCell ref="N18:R18"/>
    <mergeCell ref="AA32:AA34"/>
    <mergeCell ref="A37:N39"/>
    <mergeCell ref="P38:Z38"/>
    <mergeCell ref="N2:R2"/>
    <mergeCell ref="U8:X8"/>
    <mergeCell ref="U10:X10"/>
    <mergeCell ref="U16:X16"/>
    <mergeCell ref="U18:X18"/>
    <mergeCell ref="C32:L32"/>
    <mergeCell ref="C34:L34"/>
    <mergeCell ref="X36:Z36"/>
    <mergeCell ref="U32:X32"/>
    <mergeCell ref="U34:X34"/>
    <mergeCell ref="N32:R32"/>
    <mergeCell ref="N34:R34"/>
    <mergeCell ref="B22:X22"/>
    <mergeCell ref="AA24:AA26"/>
    <mergeCell ref="AA22:AA23"/>
    <mergeCell ref="U3:X3"/>
    <mergeCell ref="U2:X2"/>
    <mergeCell ref="AA30:AA31"/>
    <mergeCell ref="B6:X6"/>
    <mergeCell ref="C8:L8"/>
    <mergeCell ref="C10:L10"/>
    <mergeCell ref="X12:Z12"/>
    <mergeCell ref="B14:X14"/>
    <mergeCell ref="N8:R8"/>
    <mergeCell ref="N10:R10"/>
    <mergeCell ref="C24:L24"/>
    <mergeCell ref="C26:L26"/>
    <mergeCell ref="X28:Z28"/>
    <mergeCell ref="B30:X30"/>
  </mergeCells>
  <pageMargins left="0.23622047244094491" right="0.23622047244094491" top="0.8943307086614174" bottom="0" header="0" footer="0"/>
  <pageSetup scale="96"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C21F-E6E9-419C-AEED-12748226098E}">
  <dimension ref="A1:Y23"/>
  <sheetViews>
    <sheetView view="pageLayout" zoomScaleNormal="100" workbookViewId="0">
      <selection activeCell="Y16" sqref="Y16"/>
    </sheetView>
  </sheetViews>
  <sheetFormatPr baseColWidth="10" defaultColWidth="4.5" defaultRowHeight="15" zeroHeight="1" x14ac:dyDescent="0.2"/>
  <cols>
    <col min="1" max="11" width="4.5" customWidth="1"/>
    <col min="12" max="12" width="7" customWidth="1"/>
    <col min="13" max="13" width="0.83203125" customWidth="1"/>
    <col min="14" max="16" width="5" customWidth="1"/>
    <col min="17" max="17" width="4.5" customWidth="1"/>
    <col min="18" max="18" width="9.6640625" style="2" customWidth="1"/>
    <col min="19" max="19" width="0.83203125" style="2" customWidth="1"/>
    <col min="20" max="20" width="4.5" customWidth="1"/>
    <col min="21" max="25" width="4.5" style="16" customWidth="1"/>
  </cols>
  <sheetData>
    <row r="1" spans="1:25" x14ac:dyDescent="0.2">
      <c r="A1" s="306" t="s">
        <v>147</v>
      </c>
      <c r="B1" s="306"/>
      <c r="C1" s="306"/>
      <c r="D1" s="306"/>
      <c r="E1" s="306"/>
      <c r="F1" s="306"/>
      <c r="G1" s="306"/>
      <c r="H1" s="306"/>
      <c r="I1" s="306"/>
      <c r="J1" s="306"/>
      <c r="K1" s="306"/>
      <c r="L1" s="306"/>
      <c r="M1" s="306"/>
      <c r="N1" s="306"/>
      <c r="O1" s="306"/>
      <c r="P1" s="306"/>
      <c r="Q1" s="306"/>
      <c r="R1" s="306"/>
    </row>
    <row r="2" spans="1:25" ht="16" customHeight="1" x14ac:dyDescent="0.2">
      <c r="A2" s="307" t="s">
        <v>148</v>
      </c>
      <c r="B2" s="307"/>
      <c r="C2" s="307"/>
      <c r="D2" s="307"/>
      <c r="E2" s="307"/>
      <c r="F2" s="307"/>
      <c r="G2" s="307"/>
      <c r="H2" s="307"/>
      <c r="I2" s="307"/>
      <c r="J2" s="307"/>
      <c r="K2" s="307"/>
      <c r="L2" s="307"/>
      <c r="M2" s="307"/>
      <c r="N2" s="307"/>
      <c r="O2" s="307"/>
      <c r="P2" s="307"/>
      <c r="Q2" s="307"/>
      <c r="R2" s="307"/>
    </row>
    <row r="3" spans="1:25" x14ac:dyDescent="0.2">
      <c r="A3" s="308" t="s">
        <v>149</v>
      </c>
      <c r="B3" s="308"/>
      <c r="C3" s="308"/>
      <c r="D3" s="308"/>
      <c r="E3" s="308"/>
      <c r="F3" s="308"/>
      <c r="G3" s="308"/>
      <c r="H3" s="308"/>
      <c r="I3" s="308"/>
      <c r="J3" s="308"/>
      <c r="K3" s="308"/>
      <c r="L3" s="308"/>
      <c r="M3" s="308"/>
      <c r="N3" s="308"/>
      <c r="O3" s="308"/>
      <c r="P3" s="308"/>
      <c r="Q3" s="308"/>
      <c r="R3" s="308"/>
    </row>
    <row r="4" spans="1:25" x14ac:dyDescent="0.2">
      <c r="A4" s="2"/>
      <c r="B4" s="2"/>
      <c r="C4" s="2"/>
      <c r="D4" s="2"/>
      <c r="E4" s="2"/>
      <c r="F4" s="2"/>
      <c r="G4" s="2"/>
      <c r="H4" s="2"/>
      <c r="I4" s="2"/>
      <c r="J4" s="2"/>
      <c r="K4" s="2"/>
      <c r="L4" s="2"/>
      <c r="M4" s="2"/>
      <c r="N4" s="2"/>
      <c r="O4" s="2"/>
      <c r="P4" s="2"/>
      <c r="Q4" s="2"/>
    </row>
    <row r="5" spans="1:25" x14ac:dyDescent="0.2">
      <c r="A5" s="2"/>
      <c r="B5" s="2"/>
      <c r="C5" s="2"/>
      <c r="D5" s="2"/>
      <c r="E5" s="2"/>
      <c r="F5" s="2"/>
      <c r="G5" s="2"/>
      <c r="H5" s="2"/>
      <c r="I5" s="2"/>
      <c r="J5" s="2"/>
      <c r="K5" s="2"/>
      <c r="L5" s="2"/>
      <c r="M5" s="2"/>
      <c r="N5" s="309" t="s">
        <v>151</v>
      </c>
      <c r="O5" s="309"/>
      <c r="P5" s="309"/>
      <c r="Q5" s="169"/>
      <c r="R5" s="169" t="s">
        <v>150</v>
      </c>
      <c r="U5" s="16">
        <v>1</v>
      </c>
      <c r="V5" s="16">
        <v>2</v>
      </c>
      <c r="W5" s="16">
        <v>3</v>
      </c>
    </row>
    <row r="6" spans="1:25" ht="4" customHeight="1" thickBot="1" x14ac:dyDescent="0.25">
      <c r="A6" s="2"/>
      <c r="B6" s="2"/>
      <c r="C6" s="2"/>
      <c r="D6" s="2"/>
      <c r="E6" s="2"/>
      <c r="F6" s="2"/>
      <c r="G6" s="2"/>
      <c r="H6" s="2"/>
      <c r="I6" s="2"/>
      <c r="J6" s="2"/>
      <c r="K6" s="2"/>
      <c r="L6" s="2"/>
      <c r="M6" s="2"/>
      <c r="N6" s="3"/>
      <c r="O6" s="3"/>
      <c r="P6" s="3"/>
      <c r="Q6" s="2"/>
    </row>
    <row r="7" spans="1:25" ht="28.5" customHeight="1" thickBot="1" x14ac:dyDescent="0.25">
      <c r="A7" s="2"/>
      <c r="B7" s="170">
        <v>2</v>
      </c>
      <c r="C7" s="303" t="s">
        <v>152</v>
      </c>
      <c r="D7" s="303"/>
      <c r="E7" s="303"/>
      <c r="F7" s="303"/>
      <c r="G7" s="303"/>
      <c r="H7" s="303"/>
      <c r="I7" s="303"/>
      <c r="J7" s="303"/>
      <c r="K7" s="303"/>
      <c r="L7" s="303"/>
      <c r="M7" s="2"/>
      <c r="N7" s="106">
        <f>U7</f>
        <v>0</v>
      </c>
      <c r="O7" s="106">
        <f t="shared" ref="O7:P7" si="0">V7</f>
        <v>0</v>
      </c>
      <c r="P7" s="68">
        <f t="shared" si="0"/>
        <v>0</v>
      </c>
      <c r="Q7" s="171"/>
      <c r="R7" s="172">
        <f>IF(INGRESO!E5="",0,Y7)</f>
        <v>0</v>
      </c>
      <c r="U7" s="16">
        <f>INGRESO!C5</f>
        <v>0</v>
      </c>
      <c r="V7" s="16">
        <f>INGRESO!D5</f>
        <v>0</v>
      </c>
      <c r="W7" s="16">
        <f>INGRESO!E5</f>
        <v>0</v>
      </c>
      <c r="X7" s="16">
        <f t="shared" ref="X7:X9" si="1">SUM((N7*100)+(O7*10)+(P7))</f>
        <v>0</v>
      </c>
      <c r="Y7" s="100">
        <f>IF(X7&lt;36,1,0)</f>
        <v>1</v>
      </c>
    </row>
    <row r="8" spans="1:25" ht="6.5" customHeight="1" thickBot="1" x14ac:dyDescent="0.25">
      <c r="A8" s="2"/>
      <c r="B8" s="170"/>
      <c r="C8" s="303"/>
      <c r="D8" s="303"/>
      <c r="E8" s="303"/>
      <c r="F8" s="303"/>
      <c r="G8" s="303"/>
      <c r="H8" s="303"/>
      <c r="I8" s="303"/>
      <c r="J8" s="303"/>
      <c r="K8" s="303"/>
      <c r="L8" s="303"/>
      <c r="M8" s="2"/>
      <c r="N8" s="170"/>
      <c r="O8" s="170"/>
      <c r="P8" s="170"/>
      <c r="Q8" s="171"/>
      <c r="R8" s="170" t="s">
        <v>52</v>
      </c>
    </row>
    <row r="9" spans="1:25" ht="20" thickBot="1" x14ac:dyDescent="0.25">
      <c r="A9" s="2"/>
      <c r="B9" s="170">
        <v>9</v>
      </c>
      <c r="C9" s="303" t="s">
        <v>153</v>
      </c>
      <c r="D9" s="303"/>
      <c r="E9" s="303"/>
      <c r="F9" s="303"/>
      <c r="G9" s="303"/>
      <c r="H9" s="303"/>
      <c r="I9" s="303"/>
      <c r="J9" s="303"/>
      <c r="K9" s="303"/>
      <c r="L9" s="303"/>
      <c r="M9" s="2"/>
      <c r="N9" s="106">
        <f>U9</f>
        <v>0</v>
      </c>
      <c r="O9" s="106">
        <f t="shared" ref="O9:P9" si="2">V9</f>
        <v>0</v>
      </c>
      <c r="P9" s="68">
        <f t="shared" si="2"/>
        <v>0</v>
      </c>
      <c r="Q9" s="171"/>
      <c r="R9" s="172">
        <f>Y9</f>
        <v>0</v>
      </c>
      <c r="U9" s="16">
        <f>INGRESO!C6</f>
        <v>0</v>
      </c>
      <c r="V9" s="16">
        <f>INGRESO!D6</f>
        <v>0</v>
      </c>
      <c r="W9" s="16">
        <f>INGRESO!E6</f>
        <v>0</v>
      </c>
      <c r="X9" s="16">
        <f t="shared" si="1"/>
        <v>0</v>
      </c>
      <c r="Y9" s="100">
        <f>IF(X9&gt;24,1,0)</f>
        <v>0</v>
      </c>
    </row>
    <row r="10" spans="1:25" ht="6.5" customHeight="1" thickBot="1" x14ac:dyDescent="0.25">
      <c r="A10" s="2"/>
      <c r="B10" s="170"/>
      <c r="C10" s="303"/>
      <c r="D10" s="303"/>
      <c r="E10" s="303"/>
      <c r="F10" s="303"/>
      <c r="G10" s="303"/>
      <c r="H10" s="303"/>
      <c r="I10" s="303"/>
      <c r="J10" s="303"/>
      <c r="K10" s="303"/>
      <c r="L10" s="303"/>
      <c r="M10" s="2"/>
      <c r="N10" s="170"/>
      <c r="O10" s="170"/>
      <c r="P10" s="170"/>
      <c r="Q10" s="171"/>
      <c r="R10" s="170" t="s">
        <v>52</v>
      </c>
    </row>
    <row r="11" spans="1:25" ht="20" thickBot="1" x14ac:dyDescent="0.25">
      <c r="A11" s="2"/>
      <c r="B11" s="170">
        <v>10</v>
      </c>
      <c r="C11" s="303" t="s">
        <v>154</v>
      </c>
      <c r="D11" s="303"/>
      <c r="E11" s="303"/>
      <c r="F11" s="303"/>
      <c r="G11" s="303"/>
      <c r="H11" s="303"/>
      <c r="I11" s="303"/>
      <c r="J11" s="303"/>
      <c r="K11" s="303"/>
      <c r="L11" s="303"/>
      <c r="M11" s="2"/>
      <c r="N11" s="106">
        <f>U11</f>
        <v>0</v>
      </c>
      <c r="O11" s="106">
        <f t="shared" ref="O11:P11" si="3">V11</f>
        <v>0</v>
      </c>
      <c r="P11" s="68">
        <f t="shared" si="3"/>
        <v>0</v>
      </c>
      <c r="Q11" s="171"/>
      <c r="R11" s="172">
        <f>Y11</f>
        <v>0</v>
      </c>
      <c r="U11" s="16">
        <f>INGRESO!C7</f>
        <v>0</v>
      </c>
      <c r="V11" s="16">
        <f>INGRESO!D7</f>
        <v>0</v>
      </c>
      <c r="W11" s="16">
        <f>INGRESO!E7</f>
        <v>0</v>
      </c>
      <c r="X11" s="16">
        <f>SUM((N11*100)+(O11*10)+(P11))</f>
        <v>0</v>
      </c>
      <c r="Y11" s="100">
        <f>IF(X11&gt;33,1,0)</f>
        <v>0</v>
      </c>
    </row>
    <row r="12" spans="1:25" ht="6.5" customHeight="1" thickBot="1" x14ac:dyDescent="0.25">
      <c r="A12" s="2"/>
      <c r="B12" s="170"/>
      <c r="C12" s="303"/>
      <c r="D12" s="303"/>
      <c r="E12" s="303"/>
      <c r="F12" s="303"/>
      <c r="G12" s="303"/>
      <c r="H12" s="303"/>
      <c r="I12" s="303"/>
      <c r="J12" s="303"/>
      <c r="K12" s="303"/>
      <c r="L12" s="303"/>
      <c r="M12" s="2"/>
      <c r="N12" s="170"/>
      <c r="O12" s="170"/>
      <c r="P12" s="170"/>
      <c r="Q12" s="171"/>
      <c r="R12" s="170" t="s">
        <v>52</v>
      </c>
    </row>
    <row r="13" spans="1:25" ht="29" customHeight="1" thickBot="1" x14ac:dyDescent="0.25">
      <c r="A13" s="2"/>
      <c r="B13" s="170">
        <v>86</v>
      </c>
      <c r="C13" s="303" t="s">
        <v>155</v>
      </c>
      <c r="D13" s="303"/>
      <c r="E13" s="303"/>
      <c r="F13" s="303"/>
      <c r="G13" s="303"/>
      <c r="H13" s="303"/>
      <c r="I13" s="303"/>
      <c r="J13" s="303"/>
      <c r="K13" s="303"/>
      <c r="L13" s="303"/>
      <c r="M13" s="2"/>
      <c r="N13" s="310">
        <f>INGRESO!C61</f>
        <v>0</v>
      </c>
      <c r="O13" s="311"/>
      <c r="P13" s="312"/>
      <c r="Q13" s="171"/>
      <c r="R13" s="172">
        <f>Y13</f>
        <v>0</v>
      </c>
      <c r="Y13" s="100">
        <f>IF(N13=3,1,(IF(N13=4,1,0)))</f>
        <v>0</v>
      </c>
    </row>
    <row r="14" spans="1:25" ht="6.5" customHeight="1" thickBot="1" x14ac:dyDescent="0.25">
      <c r="A14" s="2"/>
      <c r="B14" s="170"/>
      <c r="C14" s="303"/>
      <c r="D14" s="303"/>
      <c r="E14" s="303"/>
      <c r="F14" s="303"/>
      <c r="G14" s="303"/>
      <c r="H14" s="303"/>
      <c r="I14" s="303"/>
      <c r="J14" s="303"/>
      <c r="K14" s="303"/>
      <c r="L14" s="303"/>
      <c r="M14" s="2"/>
      <c r="N14" s="170"/>
      <c r="O14" s="170"/>
      <c r="P14" s="170"/>
      <c r="Q14" s="171"/>
      <c r="R14" s="170" t="s">
        <v>52</v>
      </c>
    </row>
    <row r="15" spans="1:25" ht="45" customHeight="1" thickBot="1" x14ac:dyDescent="0.25">
      <c r="A15" s="2"/>
      <c r="B15" s="170">
        <v>87</v>
      </c>
      <c r="C15" s="303" t="s">
        <v>156</v>
      </c>
      <c r="D15" s="303"/>
      <c r="E15" s="303"/>
      <c r="F15" s="303"/>
      <c r="G15" s="303"/>
      <c r="H15" s="303"/>
      <c r="I15" s="303"/>
      <c r="J15" s="303"/>
      <c r="K15" s="303"/>
      <c r="L15" s="303"/>
      <c r="M15" s="2"/>
      <c r="N15" s="106">
        <f>U15</f>
        <v>0</v>
      </c>
      <c r="O15" s="106">
        <f t="shared" ref="O15:P15" si="4">V15</f>
        <v>0</v>
      </c>
      <c r="P15" s="68">
        <f t="shared" si="4"/>
        <v>0</v>
      </c>
      <c r="Q15" s="171"/>
      <c r="R15" s="172">
        <f>IF(INGRESO!E62="",0,Y15)</f>
        <v>0</v>
      </c>
      <c r="U15" s="16">
        <f>INGRESO!C62</f>
        <v>0</v>
      </c>
      <c r="V15" s="16">
        <f>INGRESO!D62</f>
        <v>0</v>
      </c>
      <c r="W15" s="16">
        <f>INGRESO!E62</f>
        <v>0</v>
      </c>
      <c r="X15" s="16">
        <f>SUM((N15*100)+(O15*10)+(P15))</f>
        <v>0</v>
      </c>
      <c r="Y15" s="100">
        <f>IF(P15="","REV",(IF(X15&lt;36,1,0)))</f>
        <v>1</v>
      </c>
    </row>
    <row r="16" spans="1:25" ht="6.5" customHeight="1" thickBot="1" x14ac:dyDescent="0.25">
      <c r="A16" s="2"/>
      <c r="B16" s="2"/>
      <c r="C16" s="2"/>
      <c r="D16" s="2"/>
      <c r="E16" s="2"/>
      <c r="F16" s="2"/>
      <c r="G16" s="2"/>
      <c r="H16" s="2"/>
      <c r="I16" s="2"/>
      <c r="J16" s="2"/>
      <c r="K16" s="2"/>
      <c r="L16" s="2"/>
      <c r="M16" s="2"/>
      <c r="N16" s="171"/>
      <c r="O16" s="171"/>
      <c r="P16" s="171"/>
      <c r="Q16" s="171"/>
      <c r="R16" s="170" t="s">
        <v>52</v>
      </c>
    </row>
    <row r="17" spans="1:18" ht="35.5" customHeight="1" thickBot="1" x14ac:dyDescent="0.25">
      <c r="A17" s="2"/>
      <c r="B17" s="2"/>
      <c r="C17" s="2"/>
      <c r="D17" s="2"/>
      <c r="E17" s="2"/>
      <c r="F17" s="2"/>
      <c r="G17" s="2"/>
      <c r="H17" s="2"/>
      <c r="I17" s="2"/>
      <c r="J17" s="2"/>
      <c r="K17" s="2"/>
      <c r="L17" s="2"/>
      <c r="M17" s="2"/>
      <c r="N17" s="171"/>
      <c r="O17" s="304" t="s">
        <v>157</v>
      </c>
      <c r="P17" s="304"/>
      <c r="Q17" s="305"/>
      <c r="R17" s="44">
        <f>SUM(R15,R13,R11,R9,R7)</f>
        <v>0</v>
      </c>
    </row>
    <row r="18" spans="1:18" x14ac:dyDescent="0.2">
      <c r="A18" s="2"/>
      <c r="B18" s="2"/>
      <c r="C18" s="2"/>
      <c r="D18" s="2"/>
      <c r="E18" s="2"/>
      <c r="F18" s="2"/>
      <c r="G18" s="2"/>
      <c r="H18" s="2"/>
      <c r="I18" s="2"/>
      <c r="J18" s="2"/>
      <c r="K18" s="2"/>
      <c r="L18" s="2"/>
      <c r="M18" s="2"/>
      <c r="N18" s="2"/>
      <c r="O18" s="2"/>
      <c r="P18" s="2"/>
      <c r="Q18" s="2"/>
    </row>
    <row r="19" spans="1:18" x14ac:dyDescent="0.2">
      <c r="A19" s="2"/>
      <c r="B19" s="2"/>
      <c r="C19" s="2"/>
      <c r="D19" s="2"/>
      <c r="E19" s="2"/>
      <c r="F19" s="2"/>
      <c r="G19" s="2"/>
      <c r="H19" s="2"/>
      <c r="I19" s="2"/>
      <c r="J19" s="2"/>
      <c r="K19" s="2"/>
      <c r="L19" s="2"/>
      <c r="M19" s="2"/>
      <c r="N19" s="2"/>
      <c r="O19" s="2"/>
      <c r="P19" s="2"/>
      <c r="Q19" s="2"/>
    </row>
    <row r="20" spans="1:18" x14ac:dyDescent="0.2">
      <c r="A20" s="2"/>
      <c r="B20" s="2"/>
      <c r="C20" s="2"/>
      <c r="D20" s="2"/>
      <c r="E20" s="2"/>
      <c r="F20" s="2"/>
      <c r="G20" s="2"/>
      <c r="H20" s="2"/>
      <c r="I20" s="2"/>
      <c r="J20" s="2"/>
      <c r="K20" s="2"/>
      <c r="L20" s="2"/>
      <c r="M20" s="2"/>
      <c r="N20" s="2"/>
      <c r="O20" s="2"/>
      <c r="P20" s="2"/>
      <c r="Q20" s="2"/>
    </row>
    <row r="21" spans="1:18" x14ac:dyDescent="0.2">
      <c r="A21" s="2"/>
      <c r="B21" s="2"/>
      <c r="C21" s="2"/>
      <c r="D21" s="2"/>
      <c r="E21" s="2"/>
      <c r="F21" s="2"/>
      <c r="G21" s="2"/>
      <c r="H21" s="2"/>
      <c r="I21" s="2"/>
      <c r="J21" s="2"/>
      <c r="K21" s="2"/>
      <c r="L21" s="2"/>
      <c r="M21" s="2"/>
      <c r="N21" s="2"/>
      <c r="O21" s="2"/>
      <c r="P21" s="2"/>
      <c r="Q21" s="2"/>
    </row>
    <row r="22" spans="1:18" x14ac:dyDescent="0.2">
      <c r="A22" s="2"/>
      <c r="B22" s="2"/>
      <c r="C22" s="2"/>
      <c r="D22" s="2"/>
      <c r="E22" s="2"/>
      <c r="F22" s="2"/>
      <c r="G22" s="2"/>
      <c r="H22" s="2"/>
      <c r="I22" s="2"/>
      <c r="J22" s="2"/>
      <c r="K22" s="2"/>
      <c r="L22" s="2"/>
      <c r="M22" s="2"/>
      <c r="N22" s="2"/>
      <c r="O22" s="2"/>
      <c r="P22" s="2"/>
      <c r="Q22" s="2"/>
    </row>
    <row r="23" spans="1:18" x14ac:dyDescent="0.2">
      <c r="A23" s="2"/>
      <c r="B23" s="2"/>
      <c r="C23" s="2"/>
      <c r="D23" s="2"/>
      <c r="E23" s="2"/>
      <c r="F23" s="2"/>
      <c r="G23" s="2"/>
      <c r="H23" s="2"/>
      <c r="I23" s="2"/>
      <c r="J23" s="2"/>
      <c r="K23" s="2"/>
      <c r="L23" s="2"/>
      <c r="M23" s="2"/>
      <c r="N23" s="2"/>
      <c r="O23" s="2"/>
      <c r="P23" s="2"/>
      <c r="Q23" s="2"/>
    </row>
  </sheetData>
  <mergeCells count="15">
    <mergeCell ref="C14:L14"/>
    <mergeCell ref="C15:L15"/>
    <mergeCell ref="O17:Q17"/>
    <mergeCell ref="A1:R1"/>
    <mergeCell ref="A2:R2"/>
    <mergeCell ref="A3:R3"/>
    <mergeCell ref="N5:P5"/>
    <mergeCell ref="N13:P13"/>
    <mergeCell ref="C7:L7"/>
    <mergeCell ref="C8:L8"/>
    <mergeCell ref="C9:L9"/>
    <mergeCell ref="C10:L10"/>
    <mergeCell ref="C11:L11"/>
    <mergeCell ref="C12:L12"/>
    <mergeCell ref="C13:L13"/>
  </mergeCells>
  <printOptions horizontalCentered="1"/>
  <pageMargins left="0.70866141732283472" right="0.70866141732283472" top="0.51181102362204722" bottom="0.74803149606299213" header="0.31496062992125984" footer="0.31496062992125984"/>
  <pageSetup paperSize="9" scale="95"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66EE-1541-4839-A549-38180638A6CE}">
  <dimension ref="A1:B11"/>
  <sheetViews>
    <sheetView topLeftCell="A2" workbookViewId="0">
      <selection activeCell="C24" sqref="C24"/>
    </sheetView>
  </sheetViews>
  <sheetFormatPr baseColWidth="10" defaultRowHeight="15" x14ac:dyDescent="0.2"/>
  <cols>
    <col min="1" max="1" width="7.1640625" customWidth="1"/>
  </cols>
  <sheetData>
    <row r="1" spans="1:2" x14ac:dyDescent="0.2">
      <c r="A1" t="s">
        <v>70</v>
      </c>
      <c r="B1" t="s">
        <v>71</v>
      </c>
    </row>
    <row r="2" spans="1:2" x14ac:dyDescent="0.2">
      <c r="A2">
        <v>0</v>
      </c>
      <c r="B2">
        <v>0</v>
      </c>
    </row>
    <row r="3" spans="1:2" x14ac:dyDescent="0.2">
      <c r="A3">
        <v>1</v>
      </c>
      <c r="B3">
        <v>1</v>
      </c>
    </row>
    <row r="4" spans="1:2" x14ac:dyDescent="0.2">
      <c r="A4">
        <v>2</v>
      </c>
      <c r="B4">
        <v>2</v>
      </c>
    </row>
    <row r="5" spans="1:2" x14ac:dyDescent="0.2">
      <c r="A5">
        <v>3</v>
      </c>
      <c r="B5">
        <v>2</v>
      </c>
    </row>
    <row r="6" spans="1:2" x14ac:dyDescent="0.2">
      <c r="A6">
        <v>4</v>
      </c>
      <c r="B6" t="s">
        <v>61</v>
      </c>
    </row>
    <row r="7" spans="1:2" x14ac:dyDescent="0.2">
      <c r="A7">
        <v>5</v>
      </c>
      <c r="B7" t="s">
        <v>61</v>
      </c>
    </row>
    <row r="8" spans="1:2" x14ac:dyDescent="0.2">
      <c r="A8">
        <v>6</v>
      </c>
      <c r="B8" t="s">
        <v>61</v>
      </c>
    </row>
    <row r="9" spans="1:2" x14ac:dyDescent="0.2">
      <c r="A9">
        <v>7</v>
      </c>
      <c r="B9">
        <v>0</v>
      </c>
    </row>
    <row r="10" spans="1:2" x14ac:dyDescent="0.2">
      <c r="A10">
        <v>8</v>
      </c>
      <c r="B10">
        <v>0</v>
      </c>
    </row>
    <row r="11" spans="1:2" x14ac:dyDescent="0.2">
      <c r="A11">
        <v>9</v>
      </c>
      <c r="B1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B42F-2F9B-4BAA-BAC3-B04D21A0EDA3}">
  <dimension ref="A1:BF80"/>
  <sheetViews>
    <sheetView zoomScaleNormal="100" workbookViewId="0">
      <selection activeCell="C5" sqref="C5"/>
    </sheetView>
  </sheetViews>
  <sheetFormatPr baseColWidth="10" defaultColWidth="0" defaultRowHeight="19" zeroHeight="1" x14ac:dyDescent="0.2"/>
  <cols>
    <col min="1" max="1" width="2.6640625" style="118" customWidth="1"/>
    <col min="2" max="2" width="5" style="43" customWidth="1"/>
    <col min="3" max="5" width="3.6640625" style="43" customWidth="1"/>
    <col min="6" max="6" width="19.5" style="74" customWidth="1"/>
    <col min="7" max="7" width="5.6640625" style="74" customWidth="1"/>
    <col min="8" max="8" width="8.6640625" style="43" customWidth="1"/>
    <col min="9" max="10" width="41.83203125" style="75" customWidth="1"/>
    <col min="11" max="11" width="2.33203125" style="121" customWidth="1"/>
    <col min="12" max="12" width="12.33203125" style="75" hidden="1" customWidth="1"/>
    <col min="13" max="13" width="3.83203125" style="75" hidden="1" customWidth="1"/>
    <col min="14" max="14" width="7" style="69" hidden="1" customWidth="1"/>
    <col min="15" max="17" width="2.5" style="69" hidden="1" customWidth="1"/>
    <col min="18" max="18" width="2.5" style="43" hidden="1" customWidth="1"/>
    <col min="19" max="19" width="10.83203125" style="43" hidden="1" customWidth="1"/>
    <col min="20" max="20" width="15.33203125" style="43" hidden="1" customWidth="1"/>
    <col min="21" max="58" width="10.83203125" style="43" hidden="1" customWidth="1"/>
    <col min="59" max="16384" width="10.83203125" style="69" hidden="1"/>
  </cols>
  <sheetData>
    <row r="1" spans="2:58" s="118" customFormat="1" ht="20" thickBot="1" x14ac:dyDescent="0.25">
      <c r="B1" s="119"/>
      <c r="C1" s="119"/>
      <c r="D1" s="119"/>
      <c r="E1" s="119"/>
      <c r="F1" s="120"/>
      <c r="G1" s="120"/>
      <c r="H1" s="119"/>
      <c r="I1" s="121"/>
      <c r="J1" s="121"/>
      <c r="K1" s="121"/>
      <c r="L1" s="121"/>
      <c r="M1" s="121"/>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row>
    <row r="2" spans="2:58" ht="111.5" customHeight="1" thickBot="1" x14ac:dyDescent="0.25">
      <c r="B2" s="321" t="s">
        <v>285</v>
      </c>
      <c r="C2" s="322"/>
      <c r="D2" s="322"/>
      <c r="E2" s="322"/>
      <c r="F2" s="322"/>
      <c r="G2" s="322"/>
      <c r="H2" s="322"/>
      <c r="I2" s="323"/>
      <c r="J2" s="121"/>
    </row>
    <row r="3" spans="2:58" x14ac:dyDescent="0.2">
      <c r="B3" s="119"/>
      <c r="C3" s="119"/>
      <c r="D3" s="119"/>
      <c r="E3" s="119"/>
      <c r="F3" s="120"/>
      <c r="G3" s="120"/>
      <c r="H3" s="119"/>
      <c r="I3" s="121"/>
      <c r="J3" s="121"/>
      <c r="S3" s="72" t="s">
        <v>181</v>
      </c>
      <c r="T3" s="72" t="s">
        <v>181</v>
      </c>
      <c r="U3" s="72" t="s">
        <v>184</v>
      </c>
      <c r="V3" s="72" t="s">
        <v>181</v>
      </c>
      <c r="W3" s="72"/>
      <c r="X3" s="72"/>
      <c r="Y3" s="72"/>
    </row>
    <row r="4" spans="2:58" x14ac:dyDescent="0.2">
      <c r="B4" s="101" t="s">
        <v>173</v>
      </c>
      <c r="C4" s="331" t="s">
        <v>174</v>
      </c>
      <c r="D4" s="331"/>
      <c r="E4" s="331"/>
      <c r="F4" s="328" t="s">
        <v>202</v>
      </c>
      <c r="G4" s="328"/>
      <c r="H4" s="101" t="s">
        <v>180</v>
      </c>
      <c r="I4" s="101" t="s">
        <v>201</v>
      </c>
      <c r="J4" s="107" t="s">
        <v>286</v>
      </c>
      <c r="K4" s="122"/>
      <c r="L4" s="112"/>
      <c r="M4" s="112"/>
      <c r="N4" s="71"/>
      <c r="O4" s="71"/>
      <c r="P4" s="71"/>
      <c r="S4" s="72" t="s">
        <v>182</v>
      </c>
      <c r="T4" s="72" t="s">
        <v>186</v>
      </c>
      <c r="U4" s="72" t="s">
        <v>185</v>
      </c>
      <c r="V4" s="72" t="s">
        <v>188</v>
      </c>
      <c r="W4" s="72"/>
      <c r="X4" s="72"/>
      <c r="Y4" s="72"/>
    </row>
    <row r="5" spans="2:58" x14ac:dyDescent="0.2">
      <c r="B5" s="108">
        <v>2</v>
      </c>
      <c r="C5" s="110"/>
      <c r="D5" s="110"/>
      <c r="E5" s="110"/>
      <c r="F5" s="80"/>
      <c r="G5" s="80"/>
      <c r="H5" s="103" t="s">
        <v>179</v>
      </c>
      <c r="I5" s="81"/>
      <c r="J5" s="82"/>
      <c r="L5" s="75" t="str">
        <f>IF(M5="","",CONCATENATE(" - ",M5))</f>
        <v xml:space="preserve"> - 2</v>
      </c>
      <c r="M5" s="75">
        <f>IF((OR(C5="",D5="",E5="")),2,"")</f>
        <v>2</v>
      </c>
    </row>
    <row r="6" spans="2:58" x14ac:dyDescent="0.2">
      <c r="B6" s="108">
        <v>9</v>
      </c>
      <c r="C6" s="110"/>
      <c r="D6" s="110"/>
      <c r="E6" s="110"/>
      <c r="F6" s="80"/>
      <c r="G6" s="80"/>
      <c r="H6" s="103" t="s">
        <v>179</v>
      </c>
      <c r="I6" s="81"/>
      <c r="J6" s="82"/>
      <c r="L6" s="75" t="str">
        <f t="shared" ref="L6:L62" si="0">IF(M6="","",CONCATENATE(" - ",M6))</f>
        <v xml:space="preserve"> - 9</v>
      </c>
      <c r="M6" s="75">
        <f>IF((OR(C6="",D6="",E6="")),9,"")</f>
        <v>9</v>
      </c>
    </row>
    <row r="7" spans="2:58" ht="18" customHeight="1" x14ac:dyDescent="0.2">
      <c r="B7" s="108">
        <v>10</v>
      </c>
      <c r="C7" s="110"/>
      <c r="D7" s="110"/>
      <c r="E7" s="110"/>
      <c r="F7" s="80"/>
      <c r="G7" s="80"/>
      <c r="H7" s="103" t="s">
        <v>179</v>
      </c>
      <c r="I7" s="81"/>
      <c r="J7" s="82"/>
      <c r="L7" s="75" t="str">
        <f t="shared" si="0"/>
        <v xml:space="preserve"> - 10</v>
      </c>
      <c r="M7" s="75">
        <f>IF((OR(C7="",D7="",E7="")),10,"")</f>
        <v>10</v>
      </c>
      <c r="S7" s="43" t="s">
        <v>175</v>
      </c>
      <c r="T7" s="43" t="s">
        <v>183</v>
      </c>
      <c r="U7" s="43" t="s">
        <v>187</v>
      </c>
      <c r="V7" s="43" t="s">
        <v>190</v>
      </c>
    </row>
    <row r="8" spans="2:58" ht="18" customHeight="1" x14ac:dyDescent="0.2">
      <c r="B8" s="108">
        <v>12</v>
      </c>
      <c r="C8" s="313"/>
      <c r="D8" s="314"/>
      <c r="E8" s="315"/>
      <c r="F8" s="80"/>
      <c r="G8" s="80"/>
      <c r="H8" s="128" t="s">
        <v>290</v>
      </c>
      <c r="I8" s="82"/>
      <c r="J8" s="82"/>
    </row>
    <row r="9" spans="2:58" ht="18" customHeight="1" x14ac:dyDescent="0.2">
      <c r="B9" s="108">
        <v>20</v>
      </c>
      <c r="C9" s="313"/>
      <c r="D9" s="314"/>
      <c r="E9" s="315"/>
      <c r="F9" s="80"/>
      <c r="G9" s="80"/>
      <c r="H9" s="128" t="s">
        <v>290</v>
      </c>
      <c r="I9" s="82"/>
      <c r="J9" s="82"/>
    </row>
    <row r="10" spans="2:58" ht="18" customHeight="1" x14ac:dyDescent="0.2">
      <c r="B10" s="108">
        <v>21</v>
      </c>
      <c r="C10" s="313"/>
      <c r="D10" s="314"/>
      <c r="E10" s="315"/>
      <c r="F10" s="80"/>
      <c r="G10" s="80"/>
      <c r="H10" s="128" t="s">
        <v>290</v>
      </c>
      <c r="I10" s="82"/>
      <c r="J10" s="82"/>
    </row>
    <row r="11" spans="2:58" ht="18" customHeight="1" x14ac:dyDescent="0.2">
      <c r="B11" s="108">
        <v>26</v>
      </c>
      <c r="C11" s="110"/>
      <c r="D11" s="110"/>
      <c r="E11" s="110"/>
      <c r="F11" s="80"/>
      <c r="G11" s="80"/>
      <c r="H11" s="128" t="s">
        <v>290</v>
      </c>
      <c r="I11" s="82"/>
      <c r="J11" s="82"/>
    </row>
    <row r="12" spans="2:58" ht="18" customHeight="1" x14ac:dyDescent="0.2">
      <c r="B12" s="108">
        <v>28</v>
      </c>
      <c r="C12" s="110"/>
      <c r="D12" s="110"/>
      <c r="E12" s="110"/>
      <c r="F12" s="80"/>
      <c r="G12" s="80"/>
      <c r="H12" s="128" t="s">
        <v>290</v>
      </c>
      <c r="I12" s="82"/>
      <c r="J12" s="82"/>
    </row>
    <row r="13" spans="2:58" x14ac:dyDescent="0.2">
      <c r="B13" s="109">
        <v>30</v>
      </c>
      <c r="C13" s="330"/>
      <c r="D13" s="330"/>
      <c r="E13" s="330"/>
      <c r="F13" s="80"/>
      <c r="G13" s="80"/>
      <c r="H13" s="70" t="s">
        <v>192</v>
      </c>
      <c r="I13" s="81" t="str">
        <f>IF(elemento30&gt;0,"Revise indicaciones adicionales (Sujeto No Verbal)","")</f>
        <v/>
      </c>
      <c r="J13" s="82"/>
      <c r="L13" s="75" t="str">
        <f t="shared" si="0"/>
        <v/>
      </c>
      <c r="M13" s="75" t="str">
        <f>IF(C13="","",1)</f>
        <v/>
      </c>
      <c r="R13" s="43">
        <v>0</v>
      </c>
      <c r="S13" s="43">
        <v>0</v>
      </c>
      <c r="T13" s="43">
        <v>0</v>
      </c>
      <c r="U13" s="43">
        <v>0</v>
      </c>
      <c r="V13" s="43">
        <v>0</v>
      </c>
      <c r="W13" s="43">
        <v>0</v>
      </c>
    </row>
    <row r="14" spans="2:58" x14ac:dyDescent="0.2">
      <c r="B14" s="108">
        <v>31</v>
      </c>
      <c r="C14" s="330"/>
      <c r="D14" s="330"/>
      <c r="E14" s="330"/>
      <c r="F14" s="73" t="s">
        <v>182</v>
      </c>
      <c r="G14" s="73"/>
      <c r="H14" s="103" t="s">
        <v>177</v>
      </c>
      <c r="I14" s="81"/>
      <c r="J14" s="81" t="str">
        <f>IF(G14&lt;C14,"Alguna vez debe ser igual o mayor que Actual","")</f>
        <v/>
      </c>
      <c r="L14" s="75" t="str">
        <f t="shared" si="0"/>
        <v xml:space="preserve"> - 31</v>
      </c>
      <c r="M14" s="75">
        <f>IF(C14="",31,"")</f>
        <v>31</v>
      </c>
      <c r="R14" s="43">
        <v>1</v>
      </c>
      <c r="S14" s="43">
        <v>1</v>
      </c>
      <c r="T14" s="43">
        <v>1</v>
      </c>
      <c r="U14" s="43">
        <v>1</v>
      </c>
      <c r="V14" s="43">
        <v>1</v>
      </c>
      <c r="W14" s="43">
        <v>1</v>
      </c>
    </row>
    <row r="15" spans="2:58" ht="5" customHeight="1" x14ac:dyDescent="0.2">
      <c r="B15" s="108"/>
      <c r="C15" s="329"/>
      <c r="D15" s="329"/>
      <c r="E15" s="329"/>
      <c r="F15" s="80"/>
      <c r="G15" s="80"/>
      <c r="H15" s="102"/>
      <c r="I15" s="82"/>
      <c r="J15" s="82"/>
      <c r="L15" s="75" t="str">
        <f t="shared" si="0"/>
        <v/>
      </c>
      <c r="M15" s="75" t="str">
        <f>IF(C15="","",1)</f>
        <v/>
      </c>
      <c r="R15" s="43">
        <v>2</v>
      </c>
      <c r="S15" s="43">
        <v>2</v>
      </c>
      <c r="T15" s="43">
        <v>2</v>
      </c>
      <c r="U15" s="43">
        <v>2</v>
      </c>
      <c r="V15" s="43">
        <v>2</v>
      </c>
      <c r="W15" s="43">
        <v>2</v>
      </c>
    </row>
    <row r="16" spans="2:58" x14ac:dyDescent="0.2">
      <c r="B16" s="108">
        <v>33</v>
      </c>
      <c r="C16" s="330"/>
      <c r="D16" s="330"/>
      <c r="E16" s="330"/>
      <c r="F16" s="73" t="s">
        <v>182</v>
      </c>
      <c r="G16" s="73"/>
      <c r="H16" s="103" t="s">
        <v>176</v>
      </c>
      <c r="I16" s="81" t="str">
        <f t="shared" ref="I16:I22" si="1">IF(elemento30=0,"","Revise indicaciones adicionales del elemento 30 (puntaje sugerido 8)")</f>
        <v/>
      </c>
      <c r="J16" s="81" t="str">
        <f t="shared" ref="J16:J22" si="2">IF(G16&lt;C16,"Alguna vez debe ser igual o mayor que Actual","")</f>
        <v/>
      </c>
      <c r="L16" s="75" t="str">
        <f t="shared" si="0"/>
        <v xml:space="preserve"> - 33</v>
      </c>
      <c r="M16" s="75">
        <f>IF(C16="",33,"")</f>
        <v>33</v>
      </c>
      <c r="R16" s="43">
        <v>9</v>
      </c>
      <c r="T16" s="43">
        <v>3</v>
      </c>
      <c r="U16" s="43">
        <v>8</v>
      </c>
      <c r="V16" s="43">
        <v>3</v>
      </c>
      <c r="W16" s="43">
        <v>3</v>
      </c>
    </row>
    <row r="17" spans="2:23" ht="30.5" customHeight="1" x14ac:dyDescent="0.2">
      <c r="B17" s="108">
        <v>34</v>
      </c>
      <c r="C17" s="330"/>
      <c r="D17" s="330"/>
      <c r="E17" s="330"/>
      <c r="F17" s="73" t="s">
        <v>186</v>
      </c>
      <c r="G17" s="73"/>
      <c r="H17" s="103" t="s">
        <v>176</v>
      </c>
      <c r="I17" s="81" t="str">
        <f t="shared" si="1"/>
        <v/>
      </c>
      <c r="J17" s="81"/>
      <c r="L17" s="75" t="str">
        <f t="shared" si="0"/>
        <v xml:space="preserve"> - 34</v>
      </c>
      <c r="M17" s="75">
        <f>IF(C17="",34,"")</f>
        <v>34</v>
      </c>
      <c r="T17" s="43">
        <v>8</v>
      </c>
      <c r="U17" s="43">
        <v>9</v>
      </c>
      <c r="V17" s="43">
        <v>7</v>
      </c>
      <c r="W17" s="43">
        <v>9</v>
      </c>
    </row>
    <row r="18" spans="2:23" ht="24" x14ac:dyDescent="0.2">
      <c r="B18" s="108">
        <v>35</v>
      </c>
      <c r="C18" s="330"/>
      <c r="D18" s="330"/>
      <c r="E18" s="330"/>
      <c r="F18" s="73" t="s">
        <v>186</v>
      </c>
      <c r="G18" s="73"/>
      <c r="H18" s="103" t="s">
        <v>176</v>
      </c>
      <c r="I18" s="81" t="str">
        <f t="shared" si="1"/>
        <v/>
      </c>
      <c r="J18" s="81"/>
      <c r="L18" s="75" t="str">
        <f t="shared" si="0"/>
        <v xml:space="preserve"> - 35</v>
      </c>
      <c r="M18" s="75">
        <f>IF(C18="",35,"")</f>
        <v>35</v>
      </c>
      <c r="T18" s="43">
        <v>9</v>
      </c>
      <c r="V18" s="43">
        <v>8</v>
      </c>
    </row>
    <row r="19" spans="2:23" x14ac:dyDescent="0.2">
      <c r="B19" s="108">
        <v>36</v>
      </c>
      <c r="C19" s="330"/>
      <c r="D19" s="330"/>
      <c r="E19" s="330"/>
      <c r="F19" s="73" t="s">
        <v>182</v>
      </c>
      <c r="G19" s="73"/>
      <c r="H19" s="103" t="s">
        <v>176</v>
      </c>
      <c r="I19" s="81" t="str">
        <f t="shared" si="1"/>
        <v/>
      </c>
      <c r="J19" s="81" t="str">
        <f t="shared" si="2"/>
        <v/>
      </c>
      <c r="L19" s="75" t="str">
        <f t="shared" si="0"/>
        <v xml:space="preserve"> - 36</v>
      </c>
      <c r="M19" s="75">
        <f>IF(C19="",36,"")</f>
        <v>36</v>
      </c>
      <c r="V19" s="43">
        <v>9</v>
      </c>
    </row>
    <row r="20" spans="2:23" x14ac:dyDescent="0.2">
      <c r="B20" s="108">
        <v>37</v>
      </c>
      <c r="C20" s="330"/>
      <c r="D20" s="330"/>
      <c r="E20" s="330"/>
      <c r="F20" s="73" t="s">
        <v>182</v>
      </c>
      <c r="G20" s="73"/>
      <c r="H20" s="103" t="s">
        <v>176</v>
      </c>
      <c r="I20" s="81" t="str">
        <f t="shared" si="1"/>
        <v/>
      </c>
      <c r="J20" s="81" t="str">
        <f>IF(G20&lt;C20,"Alguna vez debe ser igual o mayor que Actual","")</f>
        <v/>
      </c>
      <c r="L20" s="75" t="str">
        <f t="shared" si="0"/>
        <v xml:space="preserve"> - 37</v>
      </c>
      <c r="M20" s="75">
        <f>IF(C20="",37,"")</f>
        <v>37</v>
      </c>
    </row>
    <row r="21" spans="2:23" x14ac:dyDescent="0.2">
      <c r="B21" s="108">
        <v>38</v>
      </c>
      <c r="C21" s="330"/>
      <c r="D21" s="330"/>
      <c r="E21" s="330"/>
      <c r="F21" s="73" t="s">
        <v>182</v>
      </c>
      <c r="G21" s="73"/>
      <c r="H21" s="103" t="s">
        <v>176</v>
      </c>
      <c r="I21" s="81" t="str">
        <f t="shared" si="1"/>
        <v/>
      </c>
      <c r="J21" s="81" t="str">
        <f t="shared" si="2"/>
        <v/>
      </c>
      <c r="L21" s="75" t="str">
        <f t="shared" si="0"/>
        <v xml:space="preserve"> - 38</v>
      </c>
      <c r="M21" s="75">
        <f>IF(C21="",38,"")</f>
        <v>38</v>
      </c>
    </row>
    <row r="22" spans="2:23" x14ac:dyDescent="0.2">
      <c r="B22" s="108">
        <v>39</v>
      </c>
      <c r="C22" s="330"/>
      <c r="D22" s="330"/>
      <c r="E22" s="330"/>
      <c r="F22" s="73" t="s">
        <v>182</v>
      </c>
      <c r="G22" s="73"/>
      <c r="H22" s="103" t="s">
        <v>178</v>
      </c>
      <c r="I22" s="81" t="str">
        <f t="shared" si="1"/>
        <v/>
      </c>
      <c r="J22" s="81" t="str">
        <f t="shared" si="2"/>
        <v/>
      </c>
      <c r="L22" s="75" t="str">
        <f t="shared" si="0"/>
        <v xml:space="preserve"> - 39</v>
      </c>
      <c r="M22" s="75">
        <f>IF(C22="",39,"")</f>
        <v>39</v>
      </c>
    </row>
    <row r="23" spans="2:23" ht="5" customHeight="1" x14ac:dyDescent="0.2">
      <c r="B23" s="108"/>
      <c r="C23" s="329"/>
      <c r="D23" s="329"/>
      <c r="E23" s="329"/>
      <c r="F23" s="80"/>
      <c r="G23" s="80"/>
      <c r="H23" s="102"/>
      <c r="I23" s="82"/>
      <c r="J23" s="82"/>
      <c r="L23" s="75" t="str">
        <f t="shared" si="0"/>
        <v/>
      </c>
      <c r="M23" s="75" t="str">
        <f>IF(C23="","",1)</f>
        <v/>
      </c>
    </row>
    <row r="24" spans="2:23" x14ac:dyDescent="0.2">
      <c r="B24" s="108">
        <v>42</v>
      </c>
      <c r="C24" s="330"/>
      <c r="D24" s="330"/>
      <c r="E24" s="330"/>
      <c r="F24" s="73" t="s">
        <v>188</v>
      </c>
      <c r="G24" s="73"/>
      <c r="H24" s="103" t="s">
        <v>176</v>
      </c>
      <c r="I24" s="81"/>
      <c r="J24" s="81" t="str">
        <f>IF('P1'!T12&lt;4,"Debe puntuar 8 en opción adicional (más anormal 4.0-5.0 años)","")</f>
        <v>Debe puntuar 8 en opción adicional (más anormal 4.0-5.0 años)</v>
      </c>
      <c r="L24" s="75" t="str">
        <f t="shared" si="0"/>
        <v xml:space="preserve"> - 42</v>
      </c>
      <c r="M24" s="75">
        <f>IF(C24="",42,"")</f>
        <v>42</v>
      </c>
      <c r="S24" s="72" t="s">
        <v>189</v>
      </c>
      <c r="T24" s="72" t="s">
        <v>191</v>
      </c>
      <c r="U24" s="72" t="s">
        <v>193</v>
      </c>
      <c r="V24" s="72" t="s">
        <v>181</v>
      </c>
      <c r="W24" s="72"/>
    </row>
    <row r="25" spans="2:23" x14ac:dyDescent="0.2">
      <c r="B25" s="108">
        <v>43</v>
      </c>
      <c r="C25" s="330"/>
      <c r="D25" s="330"/>
      <c r="E25" s="330"/>
      <c r="F25" s="73" t="s">
        <v>188</v>
      </c>
      <c r="G25" s="73"/>
      <c r="H25" s="103" t="s">
        <v>176</v>
      </c>
      <c r="I25" s="81"/>
      <c r="J25" s="81" t="str">
        <f>IF('P1'!T12&lt;4,"Debe puntuar 8 en opción adicional (más anormal 4.0-5.0 años)","")</f>
        <v>Debe puntuar 8 en opción adicional (más anormal 4.0-5.0 años)</v>
      </c>
      <c r="L25" s="75" t="str">
        <f t="shared" si="0"/>
        <v xml:space="preserve"> - 43</v>
      </c>
      <c r="M25" s="75">
        <f>IF(C25="",43,"")</f>
        <v>43</v>
      </c>
      <c r="S25" s="72" t="s">
        <v>188</v>
      </c>
      <c r="T25" s="72" t="s">
        <v>188</v>
      </c>
      <c r="U25" s="72" t="s">
        <v>188</v>
      </c>
      <c r="V25" s="72" t="s">
        <v>188</v>
      </c>
      <c r="W25" s="72"/>
    </row>
    <row r="26" spans="2:23" x14ac:dyDescent="0.2">
      <c r="B26" s="108">
        <v>44</v>
      </c>
      <c r="C26" s="330"/>
      <c r="D26" s="330"/>
      <c r="E26" s="330"/>
      <c r="F26" s="73" t="s">
        <v>188</v>
      </c>
      <c r="G26" s="73"/>
      <c r="H26" s="103" t="s">
        <v>176</v>
      </c>
      <c r="I26" s="81"/>
      <c r="J26" s="81" t="str">
        <f>IF('P1'!T12&lt;4,"Debe puntuar 8 en opción adicional (más anormal 4.0-5.0 años)","")</f>
        <v>Debe puntuar 8 en opción adicional (más anormal 4.0-5.0 años)</v>
      </c>
      <c r="L26" s="75" t="str">
        <f t="shared" si="0"/>
        <v xml:space="preserve"> - 44</v>
      </c>
      <c r="M26" s="75">
        <f>IF(C26="",44,"")</f>
        <v>44</v>
      </c>
    </row>
    <row r="27" spans="2:23" x14ac:dyDescent="0.2">
      <c r="B27" s="108">
        <v>45</v>
      </c>
      <c r="C27" s="330"/>
      <c r="D27" s="330"/>
      <c r="E27" s="330"/>
      <c r="F27" s="73" t="s">
        <v>188</v>
      </c>
      <c r="G27" s="73"/>
      <c r="H27" s="103" t="s">
        <v>176</v>
      </c>
      <c r="I27" s="81" t="s">
        <v>197</v>
      </c>
      <c r="J27" s="81" t="str">
        <f>IF('P1'!T12&lt;4,"Debe puntuar 8 en opción adicional (más anormal 4.0-5.0 años)","")</f>
        <v>Debe puntuar 8 en opción adicional (más anormal 4.0-5.0 años)</v>
      </c>
      <c r="L27" s="75" t="str">
        <f t="shared" si="0"/>
        <v xml:space="preserve"> - 45</v>
      </c>
      <c r="M27" s="75">
        <f>IF(C27="",45,"")</f>
        <v>45</v>
      </c>
      <c r="S27" s="72" t="s">
        <v>194</v>
      </c>
    </row>
    <row r="28" spans="2:23" ht="5.5" customHeight="1" x14ac:dyDescent="0.2">
      <c r="B28" s="108"/>
      <c r="C28" s="329"/>
      <c r="D28" s="329"/>
      <c r="E28" s="329"/>
      <c r="F28" s="80"/>
      <c r="G28" s="80"/>
      <c r="H28" s="102"/>
      <c r="I28" s="82"/>
      <c r="J28" s="82"/>
      <c r="L28" s="75" t="str">
        <f t="shared" si="0"/>
        <v/>
      </c>
      <c r="M28" s="75" t="str">
        <f>IF(C28="","",1)</f>
        <v/>
      </c>
      <c r="S28" s="72" t="s">
        <v>188</v>
      </c>
    </row>
    <row r="29" spans="2:23" x14ac:dyDescent="0.2">
      <c r="B29" s="108">
        <v>47</v>
      </c>
      <c r="C29" s="330"/>
      <c r="D29" s="330"/>
      <c r="E29" s="330"/>
      <c r="F29" s="73" t="s">
        <v>188</v>
      </c>
      <c r="G29" s="73"/>
      <c r="H29" s="103" t="s">
        <v>176</v>
      </c>
      <c r="I29" s="81"/>
      <c r="J29" s="81" t="str">
        <f>IF('P1'!T12&lt;4,"Debe puntuar 8 en opción adicional (más anormal 4.0-5.0 años)","")</f>
        <v>Debe puntuar 8 en opción adicional (más anormal 4.0-5.0 años)</v>
      </c>
      <c r="L29" s="75" t="str">
        <f t="shared" si="0"/>
        <v xml:space="preserve"> - 47</v>
      </c>
      <c r="M29" s="75">
        <f>IF(C29="",47,"")</f>
        <v>47</v>
      </c>
    </row>
    <row r="30" spans="2:23" x14ac:dyDescent="0.2">
      <c r="B30" s="108">
        <v>48</v>
      </c>
      <c r="C30" s="330"/>
      <c r="D30" s="330"/>
      <c r="E30" s="330"/>
      <c r="F30" s="73" t="s">
        <v>188</v>
      </c>
      <c r="G30" s="73"/>
      <c r="H30" s="103" t="s">
        <v>176</v>
      </c>
      <c r="I30" s="81"/>
      <c r="J30" s="81" t="str">
        <f>IF('P1'!T12&lt;4,"Debe puntuar 8 en opción adicional (más anormal 4.0-5.0 años)","")</f>
        <v>Debe puntuar 8 en opción adicional (más anormal 4.0-5.0 años)</v>
      </c>
      <c r="L30" s="75" t="str">
        <f t="shared" si="0"/>
        <v xml:space="preserve"> - 48</v>
      </c>
      <c r="M30" s="75">
        <f>IF(C30="",48,"")</f>
        <v>48</v>
      </c>
    </row>
    <row r="31" spans="2:23" x14ac:dyDescent="0.2">
      <c r="B31" s="108">
        <v>49</v>
      </c>
      <c r="C31" s="330"/>
      <c r="D31" s="330"/>
      <c r="E31" s="330"/>
      <c r="F31" s="73" t="s">
        <v>188</v>
      </c>
      <c r="G31" s="73"/>
      <c r="H31" s="103" t="s">
        <v>177</v>
      </c>
      <c r="I31" s="81"/>
      <c r="J31" s="81" t="str">
        <f>IF('P1'!T12&lt;4,"Debe puntuar 8 en opción adicional (más anormal 4.0-5.0 años)","")</f>
        <v>Debe puntuar 8 en opción adicional (más anormal 4.0-5.0 años)</v>
      </c>
      <c r="L31" s="75" t="str">
        <f t="shared" si="0"/>
        <v xml:space="preserve"> - 49</v>
      </c>
      <c r="M31" s="75">
        <f>IF(C31="",49,"")</f>
        <v>49</v>
      </c>
    </row>
    <row r="32" spans="2:23" x14ac:dyDescent="0.2">
      <c r="B32" s="108">
        <v>50</v>
      </c>
      <c r="C32" s="330"/>
      <c r="D32" s="330"/>
      <c r="E32" s="330"/>
      <c r="F32" s="73" t="s">
        <v>188</v>
      </c>
      <c r="G32" s="73"/>
      <c r="H32" s="103" t="s">
        <v>177</v>
      </c>
      <c r="I32" s="81"/>
      <c r="J32" s="81" t="str">
        <f>IF('P1'!T12&lt;4,"Debe puntuar 8 en opción adicional (más anormal 4.0-5.0 años)","")</f>
        <v>Debe puntuar 8 en opción adicional (más anormal 4.0-5.0 años)</v>
      </c>
      <c r="L32" s="75" t="str">
        <f t="shared" si="0"/>
        <v xml:space="preserve"> - 50</v>
      </c>
      <c r="M32" s="75">
        <f>IF(C32="",50,"")</f>
        <v>50</v>
      </c>
    </row>
    <row r="33" spans="2:23" x14ac:dyDescent="0.2">
      <c r="B33" s="108">
        <v>51</v>
      </c>
      <c r="C33" s="330"/>
      <c r="D33" s="330"/>
      <c r="E33" s="330"/>
      <c r="F33" s="73" t="s">
        <v>188</v>
      </c>
      <c r="G33" s="73"/>
      <c r="H33" s="103" t="s">
        <v>177</v>
      </c>
      <c r="I33" s="81"/>
      <c r="J33" s="81" t="str">
        <f>IF('P1'!T12&lt;4,"Debe puntuar 8 en opción adicional (más anormal 4.0-5.0 años)","")</f>
        <v>Debe puntuar 8 en opción adicional (más anormal 4.0-5.0 años)</v>
      </c>
      <c r="L33" s="75" t="str">
        <f t="shared" si="0"/>
        <v xml:space="preserve"> - 51</v>
      </c>
      <c r="M33" s="75">
        <f>IF(C33="",51,"")</f>
        <v>51</v>
      </c>
    </row>
    <row r="34" spans="2:23" x14ac:dyDescent="0.2">
      <c r="B34" s="108">
        <v>52</v>
      </c>
      <c r="C34" s="330"/>
      <c r="D34" s="330"/>
      <c r="E34" s="330"/>
      <c r="F34" s="73" t="s">
        <v>188</v>
      </c>
      <c r="G34" s="73"/>
      <c r="H34" s="103" t="s">
        <v>177</v>
      </c>
      <c r="I34" s="81"/>
      <c r="J34" s="81" t="str">
        <f>IF('P1'!T12&lt;4,"Debe puntuar 8 en opción adicional (más anormal 4.0-5.0 años)","")</f>
        <v>Debe puntuar 8 en opción adicional (más anormal 4.0-5.0 años)</v>
      </c>
      <c r="L34" s="75" t="str">
        <f t="shared" si="0"/>
        <v xml:space="preserve"> - 52</v>
      </c>
      <c r="M34" s="75">
        <f>IF(C34="",52,"")</f>
        <v>52</v>
      </c>
    </row>
    <row r="35" spans="2:23" x14ac:dyDescent="0.2">
      <c r="B35" s="108">
        <v>53</v>
      </c>
      <c r="C35" s="330"/>
      <c r="D35" s="330"/>
      <c r="E35" s="330"/>
      <c r="F35" s="73" t="s">
        <v>188</v>
      </c>
      <c r="G35" s="73"/>
      <c r="H35" s="103" t="s">
        <v>177</v>
      </c>
      <c r="I35" s="81"/>
      <c r="J35" s="81" t="str">
        <f>IF('P1'!T12&lt;4,"Debe puntuar 8 en opción adicional (más anormal 4.0-5.0 años)","")</f>
        <v>Debe puntuar 8 en opción adicional (más anormal 4.0-5.0 años)</v>
      </c>
      <c r="L35" s="75" t="str">
        <f t="shared" si="0"/>
        <v xml:space="preserve"> - 53</v>
      </c>
      <c r="M35" s="75">
        <f>IF(C35="",53,"")</f>
        <v>53</v>
      </c>
    </row>
    <row r="36" spans="2:23" x14ac:dyDescent="0.2">
      <c r="B36" s="108">
        <v>54</v>
      </c>
      <c r="C36" s="330"/>
      <c r="D36" s="330"/>
      <c r="E36" s="330"/>
      <c r="F36" s="73" t="s">
        <v>188</v>
      </c>
      <c r="G36" s="73"/>
      <c r="H36" s="103" t="s">
        <v>177</v>
      </c>
      <c r="I36" s="81"/>
      <c r="J36" s="81" t="str">
        <f>IF('P1'!T12&lt;4,"Debe puntuar 8 en opción adicional (más anormal 4.0-5.0 años)","")</f>
        <v>Debe puntuar 8 en opción adicional (más anormal 4.0-5.0 años)</v>
      </c>
      <c r="L36" s="75" t="str">
        <f t="shared" si="0"/>
        <v xml:space="preserve"> - 54</v>
      </c>
      <c r="M36" s="75">
        <f>IF(C36="",54,"")</f>
        <v>54</v>
      </c>
    </row>
    <row r="37" spans="2:23" x14ac:dyDescent="0.2">
      <c r="B37" s="108">
        <v>55</v>
      </c>
      <c r="C37" s="330"/>
      <c r="D37" s="330"/>
      <c r="E37" s="330"/>
      <c r="F37" s="73" t="s">
        <v>188</v>
      </c>
      <c r="G37" s="73"/>
      <c r="H37" s="103" t="s">
        <v>177</v>
      </c>
      <c r="I37" s="81"/>
      <c r="J37" s="81" t="str">
        <f>IF('P1'!T12&lt;4,"Debe puntuar 8 en opción adicional (más anormal 4.0-5.0 años)","")</f>
        <v>Debe puntuar 8 en opción adicional (más anormal 4.0-5.0 años)</v>
      </c>
      <c r="L37" s="75" t="str">
        <f t="shared" si="0"/>
        <v xml:space="preserve"> - 55</v>
      </c>
      <c r="M37" s="75">
        <f>IF(C37="",55,"")</f>
        <v>55</v>
      </c>
    </row>
    <row r="38" spans="2:23" x14ac:dyDescent="0.2">
      <c r="B38" s="108">
        <v>56</v>
      </c>
      <c r="C38" s="330"/>
      <c r="D38" s="330"/>
      <c r="E38" s="330"/>
      <c r="F38" s="73" t="s">
        <v>188</v>
      </c>
      <c r="G38" s="73"/>
      <c r="H38" s="103" t="s">
        <v>177</v>
      </c>
      <c r="I38" s="81"/>
      <c r="J38" s="81" t="str">
        <f>IF('P1'!T12&lt;4,"Debe puntuar 8 en opción adicional (más anormal 4.0-5.0 años)","")</f>
        <v>Debe puntuar 8 en opción adicional (más anormal 4.0-5.0 años)</v>
      </c>
      <c r="L38" s="75" t="str">
        <f t="shared" si="0"/>
        <v xml:space="preserve"> - 56</v>
      </c>
      <c r="M38" s="75">
        <f>IF(C38="",56,"")</f>
        <v>56</v>
      </c>
    </row>
    <row r="39" spans="2:23" x14ac:dyDescent="0.2">
      <c r="B39" s="108">
        <v>57</v>
      </c>
      <c r="C39" s="330"/>
      <c r="D39" s="330"/>
      <c r="E39" s="330"/>
      <c r="F39" s="73" t="s">
        <v>188</v>
      </c>
      <c r="G39" s="73"/>
      <c r="H39" s="103" t="s">
        <v>177</v>
      </c>
      <c r="I39" s="81"/>
      <c r="J39" s="81" t="str">
        <f>IF('P1'!T12&lt;4,"Debe puntuar 8 en opción adicional (más anormal 4.0-5.0 años)","")</f>
        <v>Debe puntuar 8 en opción adicional (más anormal 4.0-5.0 años)</v>
      </c>
      <c r="L39" s="75" t="str">
        <f t="shared" si="0"/>
        <v xml:space="preserve"> - 57</v>
      </c>
      <c r="M39" s="75">
        <f>IF(C39="",57,"")</f>
        <v>57</v>
      </c>
    </row>
    <row r="40" spans="2:23" x14ac:dyDescent="0.2">
      <c r="B40" s="108">
        <v>58</v>
      </c>
      <c r="C40" s="330"/>
      <c r="D40" s="330"/>
      <c r="E40" s="330"/>
      <c r="F40" s="73" t="s">
        <v>182</v>
      </c>
      <c r="G40" s="73"/>
      <c r="H40" s="103" t="s">
        <v>177</v>
      </c>
      <c r="I40" s="81"/>
      <c r="J40" s="81" t="str">
        <f>IF(G40&lt;C40,"Alguna vez debe ser igual o mayor que Actual","")</f>
        <v/>
      </c>
      <c r="L40" s="75" t="str">
        <f t="shared" si="0"/>
        <v xml:space="preserve"> - 58</v>
      </c>
      <c r="M40" s="75">
        <f>IF(C40="",58,"")</f>
        <v>58</v>
      </c>
    </row>
    <row r="41" spans="2:23" x14ac:dyDescent="0.2">
      <c r="B41" s="108">
        <v>59</v>
      </c>
      <c r="C41" s="330"/>
      <c r="D41" s="330"/>
      <c r="E41" s="330"/>
      <c r="F41" s="73" t="s">
        <v>188</v>
      </c>
      <c r="G41" s="73"/>
      <c r="H41" s="103" t="s">
        <v>177</v>
      </c>
      <c r="I41" s="81"/>
      <c r="J41" s="81" t="str">
        <f>IF('P1'!T12&lt;4,"Debe puntuar 8 en opción adicional (más anormal 4.0-5.0 años)","")</f>
        <v>Debe puntuar 8 en opción adicional (más anormal 4.0-5.0 años)</v>
      </c>
      <c r="L41" s="75" t="str">
        <f t="shared" si="0"/>
        <v xml:space="preserve"> - 59</v>
      </c>
      <c r="M41" s="75">
        <f>IF(C41="",59,"")</f>
        <v>59</v>
      </c>
    </row>
    <row r="42" spans="2:23" ht="4" customHeight="1" x14ac:dyDescent="0.2">
      <c r="B42" s="108"/>
      <c r="C42" s="329"/>
      <c r="D42" s="329"/>
      <c r="E42" s="329"/>
      <c r="F42" s="80"/>
      <c r="G42" s="80"/>
      <c r="H42" s="102"/>
      <c r="I42" s="82"/>
      <c r="J42" s="82" t="str">
        <f>IF('P1'!T12&lt;4,"Debe puntuar 8 en opción adicional (más anormal 4.0-5.0 años)","")</f>
        <v>Debe puntuar 8 en opción adicional (más anormal 4.0-5.0 años)</v>
      </c>
      <c r="L42" s="75" t="str">
        <f t="shared" si="0"/>
        <v/>
      </c>
      <c r="M42" s="75" t="str">
        <f>IF(C42="","",1)</f>
        <v/>
      </c>
    </row>
    <row r="43" spans="2:23" x14ac:dyDescent="0.2">
      <c r="B43" s="108">
        <v>61</v>
      </c>
      <c r="C43" s="330"/>
      <c r="D43" s="330"/>
      <c r="E43" s="330"/>
      <c r="F43" s="73" t="s">
        <v>188</v>
      </c>
      <c r="G43" s="73"/>
      <c r="H43" s="103" t="s">
        <v>176</v>
      </c>
      <c r="I43" s="81"/>
      <c r="J43" s="81" t="str">
        <f>IF('P1'!T12&lt;4,"Debe puntuar 8 en opción adicional (más anormal 4.0-5.0 años)","")</f>
        <v>Debe puntuar 8 en opción adicional (más anormal 4.0-5.0 años)</v>
      </c>
      <c r="L43" s="75" t="str">
        <f t="shared" si="0"/>
        <v xml:space="preserve"> - 61</v>
      </c>
      <c r="M43" s="75">
        <f>IF(C43="",61,"")</f>
        <v>61</v>
      </c>
    </row>
    <row r="44" spans="2:23" x14ac:dyDescent="0.2">
      <c r="B44" s="108">
        <v>62</v>
      </c>
      <c r="C44" s="330"/>
      <c r="D44" s="330"/>
      <c r="E44" s="330"/>
      <c r="F44" s="73" t="s">
        <v>188</v>
      </c>
      <c r="G44" s="73"/>
      <c r="H44" s="103" t="s">
        <v>177</v>
      </c>
      <c r="I44" s="81"/>
      <c r="J44" s="81" t="str">
        <f>IF('P1'!T12&lt;4,"Debe puntuar 8 en opción adicional (más anormal 4.0-5.0 años)","")</f>
        <v>Debe puntuar 8 en opción adicional (más anormal 4.0-5.0 años)</v>
      </c>
      <c r="L44" s="75" t="str">
        <f t="shared" si="0"/>
        <v xml:space="preserve"> - 62</v>
      </c>
      <c r="M44" s="75">
        <f>IF(C44="",62,"")</f>
        <v>62</v>
      </c>
    </row>
    <row r="45" spans="2:23" x14ac:dyDescent="0.2">
      <c r="B45" s="108">
        <v>63</v>
      </c>
      <c r="C45" s="330"/>
      <c r="D45" s="330"/>
      <c r="E45" s="330"/>
      <c r="F45" s="73" t="s">
        <v>188</v>
      </c>
      <c r="G45" s="73"/>
      <c r="H45" s="103" t="s">
        <v>177</v>
      </c>
      <c r="I45" s="81"/>
      <c r="J45" s="81" t="str">
        <f>IF('P1'!T12&lt;4,"Debe puntuar 8 en opción adicional (más anormal 4.0-5.0 años)","")</f>
        <v>Debe puntuar 8 en opción adicional (más anormal 4.0-5.0 años)</v>
      </c>
      <c r="L45" s="75" t="str">
        <f t="shared" si="0"/>
        <v xml:space="preserve"> - 63</v>
      </c>
      <c r="M45" s="75">
        <f>IF(C45="",63,"")</f>
        <v>63</v>
      </c>
      <c r="S45" s="72" t="s">
        <v>195</v>
      </c>
      <c r="T45" s="72"/>
      <c r="U45" s="72"/>
      <c r="V45" s="72"/>
      <c r="W45" s="72"/>
    </row>
    <row r="46" spans="2:23" x14ac:dyDescent="0.2">
      <c r="B46" s="108">
        <v>64</v>
      </c>
      <c r="C46" s="330"/>
      <c r="D46" s="330"/>
      <c r="E46" s="330"/>
      <c r="F46" s="73" t="s">
        <v>188</v>
      </c>
      <c r="G46" s="73"/>
      <c r="H46" s="103" t="s">
        <v>177</v>
      </c>
      <c r="I46" s="81"/>
      <c r="J46" s="81" t="str">
        <f>IF('P1'!T12&lt;4,"Debe puntuar 8 en opción adicional (más anormal 4.0-5.0 años)","")</f>
        <v>Debe puntuar 8 en opción adicional (más anormal 4.0-5.0 años)</v>
      </c>
      <c r="L46" s="75" t="str">
        <f t="shared" si="0"/>
        <v xml:space="preserve"> - 64</v>
      </c>
      <c r="M46" s="75">
        <f>IF(C46="",64,"")</f>
        <v>64</v>
      </c>
      <c r="S46" s="72" t="s">
        <v>196</v>
      </c>
      <c r="T46" s="72"/>
      <c r="U46" s="72"/>
      <c r="V46" s="72"/>
      <c r="W46" s="72"/>
    </row>
    <row r="47" spans="2:23" x14ac:dyDescent="0.2">
      <c r="B47" s="108">
        <v>65</v>
      </c>
      <c r="C47" s="330"/>
      <c r="D47" s="330"/>
      <c r="E47" s="330"/>
      <c r="F47" s="73" t="s">
        <v>188</v>
      </c>
      <c r="G47" s="73"/>
      <c r="H47" s="103" t="s">
        <v>177</v>
      </c>
      <c r="I47" s="81"/>
      <c r="J47" s="81" t="str">
        <f>IF('P1'!T12&lt;4,"Debe puntuar 8 en opción adicional (más anormal 4.0-5.0 años)","")</f>
        <v>Debe puntuar 8 en opción adicional (más anormal 4.0-5.0 años)</v>
      </c>
      <c r="L47" s="75" t="str">
        <f t="shared" si="0"/>
        <v xml:space="preserve"> - 65</v>
      </c>
      <c r="M47" s="75">
        <f>IF(C47="",65,"")</f>
        <v>65</v>
      </c>
    </row>
    <row r="48" spans="2:23" ht="6" customHeight="1" x14ac:dyDescent="0.2">
      <c r="B48" s="108"/>
      <c r="C48" s="329"/>
      <c r="D48" s="329"/>
      <c r="E48" s="329"/>
      <c r="F48" s="80"/>
      <c r="G48" s="80"/>
      <c r="H48" s="102"/>
      <c r="I48" s="82"/>
      <c r="J48" s="82"/>
      <c r="L48" s="75" t="str">
        <f t="shared" si="0"/>
        <v/>
      </c>
      <c r="M48" s="75" t="str">
        <f>IF(C48="","",1)</f>
        <v/>
      </c>
    </row>
    <row r="49" spans="2:58" x14ac:dyDescent="0.2">
      <c r="B49" s="108">
        <v>67</v>
      </c>
      <c r="C49" s="330"/>
      <c r="D49" s="330"/>
      <c r="E49" s="330"/>
      <c r="F49" s="73" t="s">
        <v>182</v>
      </c>
      <c r="G49" s="73"/>
      <c r="H49" s="103" t="s">
        <v>178</v>
      </c>
      <c r="I49" s="81"/>
      <c r="J49" s="81" t="str">
        <f>IF(G49&lt;C49,"Alguna vez debe ser igual o mayor que Actual","")</f>
        <v/>
      </c>
      <c r="L49" s="75" t="str">
        <f t="shared" si="0"/>
        <v xml:space="preserve"> - 67</v>
      </c>
      <c r="M49" s="75">
        <f>IF(C49="",67,"")</f>
        <v>67</v>
      </c>
      <c r="R49" s="43">
        <v>0</v>
      </c>
    </row>
    <row r="50" spans="2:58" ht="24" x14ac:dyDescent="0.2">
      <c r="B50" s="108">
        <v>68</v>
      </c>
      <c r="C50" s="330"/>
      <c r="D50" s="330"/>
      <c r="E50" s="330"/>
      <c r="F50" s="73" t="s">
        <v>196</v>
      </c>
      <c r="G50" s="73"/>
      <c r="H50" s="103" t="s">
        <v>178</v>
      </c>
      <c r="I50" s="81"/>
      <c r="J50" s="81"/>
      <c r="L50" s="75" t="str">
        <f t="shared" si="0"/>
        <v xml:space="preserve"> - 68</v>
      </c>
      <c r="M50" s="75">
        <f>IF(C50="",68,"")</f>
        <v>68</v>
      </c>
      <c r="R50" s="43">
        <v>1</v>
      </c>
    </row>
    <row r="51" spans="2:58" x14ac:dyDescent="0.2">
      <c r="B51" s="108">
        <v>69</v>
      </c>
      <c r="C51" s="330"/>
      <c r="D51" s="330"/>
      <c r="E51" s="330"/>
      <c r="F51" s="73" t="s">
        <v>182</v>
      </c>
      <c r="G51" s="73"/>
      <c r="H51" s="103" t="s">
        <v>178</v>
      </c>
      <c r="I51" s="81"/>
      <c r="J51" s="81" t="str">
        <f t="shared" ref="J51:J56" si="3">IF(G51&lt;C51,"Alguna vez debe ser igual o mayor que Actual","")</f>
        <v/>
      </c>
      <c r="L51" s="75" t="str">
        <f t="shared" si="0"/>
        <v xml:space="preserve"> - 69</v>
      </c>
      <c r="M51" s="75">
        <f>IF(C51="",69,"")</f>
        <v>69</v>
      </c>
      <c r="R51" s="43">
        <v>2</v>
      </c>
    </row>
    <row r="52" spans="2:58" x14ac:dyDescent="0.2">
      <c r="B52" s="108">
        <v>70</v>
      </c>
      <c r="C52" s="330"/>
      <c r="D52" s="330"/>
      <c r="E52" s="330"/>
      <c r="F52" s="73" t="s">
        <v>182</v>
      </c>
      <c r="G52" s="73"/>
      <c r="H52" s="103" t="s">
        <v>178</v>
      </c>
      <c r="I52" s="81"/>
      <c r="J52" s="81" t="str">
        <f t="shared" si="3"/>
        <v/>
      </c>
      <c r="L52" s="75" t="str">
        <f t="shared" si="0"/>
        <v xml:space="preserve"> - 70</v>
      </c>
      <c r="M52" s="75">
        <f>IF(C52="",70,"")</f>
        <v>70</v>
      </c>
      <c r="O52" s="69" t="s">
        <v>162</v>
      </c>
      <c r="R52" s="43">
        <v>3</v>
      </c>
    </row>
    <row r="53" spans="2:58" x14ac:dyDescent="0.2">
      <c r="B53" s="108">
        <v>71</v>
      </c>
      <c r="C53" s="330"/>
      <c r="D53" s="330"/>
      <c r="E53" s="330"/>
      <c r="F53" s="73" t="s">
        <v>182</v>
      </c>
      <c r="G53" s="73"/>
      <c r="H53" s="103" t="s">
        <v>178</v>
      </c>
      <c r="I53" s="81"/>
      <c r="J53" s="81" t="str">
        <f t="shared" si="3"/>
        <v/>
      </c>
      <c r="L53" s="75" t="str">
        <f t="shared" si="0"/>
        <v xml:space="preserve"> - 71</v>
      </c>
      <c r="M53" s="75">
        <f>IF(C53="",71,"")</f>
        <v>71</v>
      </c>
      <c r="R53" s="43">
        <v>4</v>
      </c>
    </row>
    <row r="54" spans="2:58" ht="4" customHeight="1" x14ac:dyDescent="0.2">
      <c r="B54" s="108"/>
      <c r="C54" s="329"/>
      <c r="D54" s="329"/>
      <c r="E54" s="329"/>
      <c r="F54" s="80"/>
      <c r="G54" s="80"/>
      <c r="H54" s="102"/>
      <c r="I54" s="82"/>
      <c r="J54" s="82"/>
      <c r="L54" s="75" t="str">
        <f t="shared" si="0"/>
        <v/>
      </c>
      <c r="M54" s="75" t="str">
        <f>IF(C54="","",1)</f>
        <v/>
      </c>
      <c r="R54" s="43">
        <v>9</v>
      </c>
    </row>
    <row r="55" spans="2:58" x14ac:dyDescent="0.2">
      <c r="B55" s="108">
        <v>77</v>
      </c>
      <c r="C55" s="330"/>
      <c r="D55" s="330"/>
      <c r="E55" s="330"/>
      <c r="F55" s="73" t="s">
        <v>182</v>
      </c>
      <c r="G55" s="73"/>
      <c r="H55" s="103" t="s">
        <v>178</v>
      </c>
      <c r="I55" s="81"/>
      <c r="J55" s="81" t="str">
        <f t="shared" si="3"/>
        <v/>
      </c>
      <c r="L55" s="75" t="str">
        <f t="shared" si="0"/>
        <v xml:space="preserve"> - 77</v>
      </c>
      <c r="M55" s="75">
        <f>IF(C55="",77,"")</f>
        <v>77</v>
      </c>
    </row>
    <row r="56" spans="2:58" x14ac:dyDescent="0.2">
      <c r="B56" s="108">
        <v>78</v>
      </c>
      <c r="C56" s="330"/>
      <c r="D56" s="330"/>
      <c r="E56" s="330"/>
      <c r="F56" s="73" t="s">
        <v>182</v>
      </c>
      <c r="G56" s="73"/>
      <c r="H56" s="103" t="s">
        <v>178</v>
      </c>
      <c r="I56" s="81"/>
      <c r="J56" s="81" t="str">
        <f t="shared" si="3"/>
        <v/>
      </c>
      <c r="L56" s="75" t="str">
        <f t="shared" si="0"/>
        <v xml:space="preserve"> - 78</v>
      </c>
      <c r="M56" s="75">
        <f>IF(C56="",78,"")</f>
        <v>78</v>
      </c>
    </row>
    <row r="57" spans="2:58" x14ac:dyDescent="0.2">
      <c r="B57" s="108">
        <v>79</v>
      </c>
      <c r="C57" s="313"/>
      <c r="D57" s="314"/>
      <c r="E57" s="315"/>
      <c r="F57" s="80"/>
      <c r="G57" s="80"/>
      <c r="H57" s="128" t="s">
        <v>290</v>
      </c>
      <c r="I57" s="82"/>
      <c r="J57" s="82"/>
    </row>
    <row r="58" spans="2:58" ht="5" customHeight="1" x14ac:dyDescent="0.2">
      <c r="B58" s="108"/>
      <c r="C58" s="329"/>
      <c r="D58" s="329"/>
      <c r="E58" s="329"/>
      <c r="F58" s="80"/>
      <c r="G58" s="80"/>
      <c r="H58" s="102"/>
      <c r="I58" s="82"/>
      <c r="J58" s="82"/>
      <c r="L58" s="75" t="str">
        <f t="shared" si="0"/>
        <v/>
      </c>
      <c r="M58" s="75" t="str">
        <f>IF(C58="","",1)</f>
        <v/>
      </c>
    </row>
    <row r="59" spans="2:58" ht="22.5" customHeight="1" x14ac:dyDescent="0.2">
      <c r="B59" s="108">
        <v>84</v>
      </c>
      <c r="C59" s="313"/>
      <c r="D59" s="314"/>
      <c r="E59" s="315"/>
      <c r="F59" s="80"/>
      <c r="G59" s="80"/>
      <c r="H59" s="128" t="s">
        <v>290</v>
      </c>
      <c r="I59" s="82"/>
      <c r="J59" s="82"/>
    </row>
    <row r="60" spans="2:58" ht="22.5" customHeight="1" x14ac:dyDescent="0.2">
      <c r="B60" s="108">
        <v>85</v>
      </c>
      <c r="C60" s="313"/>
      <c r="D60" s="314"/>
      <c r="E60" s="315"/>
      <c r="F60" s="80"/>
      <c r="G60" s="80"/>
      <c r="H60" s="128" t="s">
        <v>290</v>
      </c>
      <c r="I60" s="82"/>
      <c r="J60" s="82"/>
    </row>
    <row r="61" spans="2:58" x14ac:dyDescent="0.2">
      <c r="B61" s="108">
        <v>86</v>
      </c>
      <c r="C61" s="330"/>
      <c r="D61" s="330"/>
      <c r="E61" s="330"/>
      <c r="F61" s="80"/>
      <c r="G61" s="80"/>
      <c r="H61" s="103" t="s">
        <v>179</v>
      </c>
      <c r="I61" s="81"/>
      <c r="J61" s="82"/>
      <c r="L61" s="75" t="str">
        <f t="shared" si="0"/>
        <v xml:space="preserve"> - 86</v>
      </c>
      <c r="M61" s="75">
        <f>IF(C61="",86,"")</f>
        <v>86</v>
      </c>
    </row>
    <row r="62" spans="2:58" x14ac:dyDescent="0.2">
      <c r="B62" s="108">
        <v>87</v>
      </c>
      <c r="C62" s="110"/>
      <c r="D62" s="110"/>
      <c r="E62" s="110"/>
      <c r="F62" s="80"/>
      <c r="G62" s="80"/>
      <c r="H62" s="103" t="s">
        <v>179</v>
      </c>
      <c r="I62" s="81"/>
      <c r="J62" s="82"/>
      <c r="L62" s="75" t="str">
        <f t="shared" si="0"/>
        <v xml:space="preserve"> - 87</v>
      </c>
      <c r="M62" s="75">
        <f>IF((OR(C62="",D62="",E62="")),87,"")</f>
        <v>87</v>
      </c>
    </row>
    <row r="63" spans="2:58" s="118" customFormat="1" ht="20" thickBot="1" x14ac:dyDescent="0.25">
      <c r="B63" s="119"/>
      <c r="C63" s="119"/>
      <c r="D63" s="119"/>
      <c r="E63" s="119"/>
      <c r="F63" s="120"/>
      <c r="G63" s="120"/>
      <c r="H63" s="119"/>
      <c r="I63" s="121"/>
      <c r="J63" s="121"/>
      <c r="K63" s="121"/>
      <c r="L63" s="121"/>
      <c r="M63" s="121"/>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c r="AS63" s="119"/>
      <c r="AT63" s="119"/>
      <c r="AU63" s="119"/>
      <c r="AV63" s="119"/>
      <c r="AW63" s="119"/>
      <c r="AX63" s="119"/>
      <c r="AY63" s="119"/>
      <c r="AZ63" s="119"/>
      <c r="BA63" s="119"/>
      <c r="BB63" s="119"/>
      <c r="BC63" s="119"/>
      <c r="BD63" s="119"/>
      <c r="BE63" s="119"/>
      <c r="BF63" s="119"/>
    </row>
    <row r="64" spans="2:58" x14ac:dyDescent="0.2">
      <c r="B64" s="324" t="s">
        <v>227</v>
      </c>
      <c r="C64" s="325"/>
      <c r="D64" s="325"/>
      <c r="E64" s="325"/>
      <c r="F64" s="113" t="s">
        <v>228</v>
      </c>
      <c r="G64" s="113"/>
      <c r="H64" s="114" t="s">
        <v>229</v>
      </c>
      <c r="I64" s="318" t="s">
        <v>230</v>
      </c>
      <c r="J64" s="319"/>
    </row>
    <row r="65" spans="2:58" x14ac:dyDescent="0.2">
      <c r="B65" s="326" t="s">
        <v>177</v>
      </c>
      <c r="C65" s="327"/>
      <c r="D65" s="327"/>
      <c r="E65" s="327"/>
      <c r="F65" s="115">
        <f>F77</f>
        <v>0</v>
      </c>
      <c r="G65" s="115">
        <f t="shared" ref="G65:H65" si="4">G77</f>
        <v>0</v>
      </c>
      <c r="H65" s="115">
        <f t="shared" si="4"/>
        <v>16</v>
      </c>
      <c r="I65" s="320" t="str">
        <f>CONCATENATE(L14,L31,L32,L33,L34,L35,L36,L37,L38,L39,L40,L41,L44,L45,L46,L47)</f>
        <v xml:space="preserve"> - 31 - 49 - 50 - 51 - 52 - 53 - 54 - 55 - 56 - 57 - 58 - 59 - 62 - 63 - 64 - 65</v>
      </c>
      <c r="J65" s="320"/>
    </row>
    <row r="66" spans="2:58" x14ac:dyDescent="0.2">
      <c r="B66" s="326" t="s">
        <v>176</v>
      </c>
      <c r="C66" s="327"/>
      <c r="D66" s="327"/>
      <c r="E66" s="327"/>
      <c r="F66" s="115">
        <f t="shared" ref="F66:G66" si="5">F78</f>
        <v>0</v>
      </c>
      <c r="G66" s="115">
        <f t="shared" si="5"/>
        <v>0</v>
      </c>
      <c r="H66" s="115">
        <v>13</v>
      </c>
      <c r="I66" s="320" t="str">
        <f>CONCATENATE(L16,L17,L18,L19,L20,L21,L24,L25,L26,L27,L29,L30,L43)</f>
        <v xml:space="preserve"> - 33 - 34 - 35 - 36 - 37 - 38 - 42 - 43 - 44 - 45 - 47 - 48 - 61</v>
      </c>
      <c r="J66" s="320"/>
    </row>
    <row r="67" spans="2:58" x14ac:dyDescent="0.2">
      <c r="B67" s="326" t="s">
        <v>178</v>
      </c>
      <c r="C67" s="327"/>
      <c r="D67" s="327"/>
      <c r="E67" s="327"/>
      <c r="F67" s="115">
        <f t="shared" ref="F67:G67" si="6">F79</f>
        <v>0</v>
      </c>
      <c r="G67" s="115">
        <f t="shared" si="6"/>
        <v>0</v>
      </c>
      <c r="H67" s="115">
        <v>8</v>
      </c>
      <c r="I67" s="320" t="str">
        <f>CONCATENATE(L22,L49,L50,L51,L52,L53,L55,L56)</f>
        <v xml:space="preserve"> - 39 - 67 - 68 - 69 - 70 - 71 - 77 - 78</v>
      </c>
      <c r="J67" s="320"/>
    </row>
    <row r="68" spans="2:58" ht="20" thickBot="1" x14ac:dyDescent="0.25">
      <c r="B68" s="316" t="s">
        <v>179</v>
      </c>
      <c r="C68" s="317"/>
      <c r="D68" s="317"/>
      <c r="E68" s="317"/>
      <c r="F68" s="116">
        <f>5-F80</f>
        <v>0</v>
      </c>
      <c r="G68" s="116">
        <f t="shared" ref="G68:H68" si="7">G80</f>
        <v>0</v>
      </c>
      <c r="H68" s="115">
        <f t="shared" si="7"/>
        <v>5</v>
      </c>
      <c r="I68" s="320" t="str">
        <f>CONCATENATE(L5,L6,L7,L61,L62)</f>
        <v xml:space="preserve"> - 2 - 9 - 10 - 86 - 87</v>
      </c>
      <c r="J68" s="320"/>
    </row>
    <row r="69" spans="2:58" s="118" customFormat="1" x14ac:dyDescent="0.2">
      <c r="B69" s="119"/>
      <c r="C69" s="119"/>
      <c r="D69" s="119"/>
      <c r="E69" s="119"/>
      <c r="F69" s="120"/>
      <c r="G69" s="120"/>
      <c r="H69" s="119"/>
      <c r="I69" s="121"/>
      <c r="J69" s="121"/>
      <c r="K69" s="121"/>
      <c r="L69" s="121"/>
      <c r="M69" s="121"/>
      <c r="R69" s="119"/>
      <c r="S69" s="119"/>
      <c r="T69" s="119"/>
      <c r="U69" s="119"/>
      <c r="V69" s="119"/>
      <c r="W69" s="119"/>
      <c r="X69" s="119"/>
      <c r="Y69" s="119"/>
      <c r="Z69" s="119"/>
      <c r="AA69" s="119"/>
      <c r="AB69" s="119"/>
      <c r="AC69" s="119"/>
      <c r="AD69" s="119"/>
      <c r="AE69" s="119"/>
      <c r="AF69" s="119"/>
      <c r="AG69" s="119"/>
      <c r="AH69" s="119"/>
      <c r="AI69" s="119"/>
      <c r="AJ69" s="119"/>
      <c r="AK69" s="119"/>
      <c r="AL69" s="119"/>
      <c r="AM69" s="119"/>
      <c r="AN69" s="119"/>
      <c r="AO69" s="119"/>
      <c r="AP69" s="119"/>
      <c r="AQ69" s="119"/>
      <c r="AR69" s="119"/>
      <c r="AS69" s="119"/>
      <c r="AT69" s="119"/>
      <c r="AU69" s="119"/>
      <c r="AV69" s="119"/>
      <c r="AW69" s="119"/>
      <c r="AX69" s="119"/>
      <c r="AY69" s="119"/>
      <c r="AZ69" s="119"/>
      <c r="BA69" s="119"/>
      <c r="BB69" s="119"/>
      <c r="BC69" s="119"/>
      <c r="BD69" s="119"/>
      <c r="BE69" s="119"/>
      <c r="BF69" s="119"/>
    </row>
    <row r="77" spans="2:58" hidden="1" x14ac:dyDescent="0.2">
      <c r="E77" s="43" t="s">
        <v>223</v>
      </c>
      <c r="F77" s="74">
        <f>COUNTA(C47,C46,C45,C44,C41,C40,C34:E39,C31:E33,C14)</f>
        <v>0</v>
      </c>
      <c r="H77" s="43">
        <v>16</v>
      </c>
    </row>
    <row r="78" spans="2:58" hidden="1" x14ac:dyDescent="0.2">
      <c r="E78" s="43" t="s">
        <v>224</v>
      </c>
      <c r="F78" s="74">
        <f>COUNTA(C16,C17:E21,C24:E27,C29:E30,C43)</f>
        <v>0</v>
      </c>
    </row>
    <row r="79" spans="2:58" hidden="1" x14ac:dyDescent="0.2">
      <c r="E79" s="43" t="s">
        <v>225</v>
      </c>
      <c r="F79" s="74">
        <f>COUNTA(C55:E56,C49:E53,C22)</f>
        <v>0</v>
      </c>
    </row>
    <row r="80" spans="2:58" hidden="1" x14ac:dyDescent="0.2">
      <c r="E80" s="43" t="s">
        <v>226</v>
      </c>
      <c r="F80" s="74">
        <f>H80-(SUM((COUNTBLANK(M61:M62)),(COUNTBLANK(M5:M7))))</f>
        <v>5</v>
      </c>
      <c r="H80" s="43">
        <v>5</v>
      </c>
    </row>
  </sheetData>
  <sheetProtection algorithmName="SHA-512" hashValue="TVB8TOed+/DJ7epHisHVrxAR8/3C05FMXmyMj/q2wh0jQPUHmp3AXFwYQsvxzY4UQQ3whMfCKKYAd+QiK6mQNw==" saltValue="3AEKF57EGB2nGAWeaSXRyw==" spinCount="100000" sheet="1" objects="1" selectLockedCells="1"/>
  <mergeCells count="65">
    <mergeCell ref="C27:E27"/>
    <mergeCell ref="C4:E4"/>
    <mergeCell ref="C14:E14"/>
    <mergeCell ref="C15:E15"/>
    <mergeCell ref="C16:E16"/>
    <mergeCell ref="C17:E17"/>
    <mergeCell ref="C13:E13"/>
    <mergeCell ref="C22:E22"/>
    <mergeCell ref="C23:E23"/>
    <mergeCell ref="C24:E24"/>
    <mergeCell ref="C25:E25"/>
    <mergeCell ref="C26:E26"/>
    <mergeCell ref="C44:E44"/>
    <mergeCell ref="C18:E18"/>
    <mergeCell ref="C35:E35"/>
    <mergeCell ref="C36:E36"/>
    <mergeCell ref="C37:E37"/>
    <mergeCell ref="C38:E38"/>
    <mergeCell ref="C30:E30"/>
    <mergeCell ref="C31:E31"/>
    <mergeCell ref="C32:E32"/>
    <mergeCell ref="C33:E33"/>
    <mergeCell ref="C34:E34"/>
    <mergeCell ref="C28:E28"/>
    <mergeCell ref="C29:E29"/>
    <mergeCell ref="C19:E19"/>
    <mergeCell ref="C20:E20"/>
    <mergeCell ref="C21:E21"/>
    <mergeCell ref="C39:E39"/>
    <mergeCell ref="C40:E40"/>
    <mergeCell ref="C41:E41"/>
    <mergeCell ref="C42:E42"/>
    <mergeCell ref="C43:E43"/>
    <mergeCell ref="C56:E56"/>
    <mergeCell ref="C45:E45"/>
    <mergeCell ref="C46:E46"/>
    <mergeCell ref="C47:E47"/>
    <mergeCell ref="C48:E48"/>
    <mergeCell ref="C49:E49"/>
    <mergeCell ref="C50:E50"/>
    <mergeCell ref="B2:I2"/>
    <mergeCell ref="B64:E64"/>
    <mergeCell ref="B65:E65"/>
    <mergeCell ref="B66:E66"/>
    <mergeCell ref="B67:E67"/>
    <mergeCell ref="C8:E8"/>
    <mergeCell ref="C9:E9"/>
    <mergeCell ref="C10:E10"/>
    <mergeCell ref="F4:G4"/>
    <mergeCell ref="C58:E58"/>
    <mergeCell ref="C61:E61"/>
    <mergeCell ref="C51:E51"/>
    <mergeCell ref="C52:E52"/>
    <mergeCell ref="C53:E53"/>
    <mergeCell ref="C54:E54"/>
    <mergeCell ref="C55:E55"/>
    <mergeCell ref="C60:E60"/>
    <mergeCell ref="C59:E59"/>
    <mergeCell ref="C57:E57"/>
    <mergeCell ref="B68:E68"/>
    <mergeCell ref="I64:J64"/>
    <mergeCell ref="I65:J65"/>
    <mergeCell ref="I66:J66"/>
    <mergeCell ref="I67:J67"/>
    <mergeCell ref="I68:J68"/>
  </mergeCells>
  <conditionalFormatting sqref="C59:C60">
    <cfRule type="containsBlanks" dxfId="19" priority="1">
      <formula>LEN(TRIM(C59))=0</formula>
    </cfRule>
  </conditionalFormatting>
  <conditionalFormatting sqref="C5:E7 C8:C10 C11:E14 C16:E22 C24:E27 C29:E41 C43:E47 C49:E53 C55:E56 C57 C61:E62">
    <cfRule type="containsBlanks" dxfId="18" priority="10">
      <formula>LEN(TRIM(C5))=0</formula>
    </cfRule>
  </conditionalFormatting>
  <conditionalFormatting sqref="C22:E22">
    <cfRule type="expression" dxfId="17" priority="11">
      <formula>OR(elemento30=1,elemento30=2)</formula>
    </cfRule>
  </conditionalFormatting>
  <conditionalFormatting sqref="C29:E30">
    <cfRule type="expression" dxfId="16" priority="13">
      <formula>algoritmo=3</formula>
    </cfRule>
  </conditionalFormatting>
  <conditionalFormatting sqref="C31:E31">
    <cfRule type="expression" dxfId="15" priority="19">
      <formula>OR(algoritmo=1,algoritmo=3,algoritmo=4)</formula>
    </cfRule>
  </conditionalFormatting>
  <conditionalFormatting sqref="C32:E32">
    <cfRule type="expression" dxfId="14" priority="22">
      <formula>algoritmo=3</formula>
    </cfRule>
  </conditionalFormatting>
  <conditionalFormatting sqref="C43:E45">
    <cfRule type="expression" dxfId="13" priority="12">
      <formula>algoritmo=3</formula>
    </cfRule>
  </conditionalFormatting>
  <conditionalFormatting sqref="C46:E46">
    <cfRule type="expression" dxfId="12" priority="16">
      <formula>OR(algoritmo=1,algoritmo=3,algoritmo=4)</formula>
    </cfRule>
  </conditionalFormatting>
  <conditionalFormatting sqref="C47:E47">
    <cfRule type="expression" dxfId="11" priority="15">
      <formula>OR(algoritmo=1,algoritmo=2,algoritmo=4)</formula>
    </cfRule>
  </conditionalFormatting>
  <conditionalFormatting sqref="F65">
    <cfRule type="cellIs" dxfId="10" priority="9" operator="equal">
      <formula>16</formula>
    </cfRule>
  </conditionalFormatting>
  <conditionalFormatting sqref="F66">
    <cfRule type="cellIs" dxfId="9" priority="8" operator="equal">
      <formula>13</formula>
    </cfRule>
  </conditionalFormatting>
  <conditionalFormatting sqref="F67">
    <cfRule type="cellIs" dxfId="8" priority="7" operator="equal">
      <formula>8</formula>
    </cfRule>
  </conditionalFormatting>
  <conditionalFormatting sqref="F68">
    <cfRule type="cellIs" dxfId="7" priority="6" operator="equal">
      <formula>5</formula>
    </cfRule>
  </conditionalFormatting>
  <conditionalFormatting sqref="I65">
    <cfRule type="expression" dxfId="6" priority="2">
      <formula>$F$65&lt;16</formula>
    </cfRule>
  </conditionalFormatting>
  <conditionalFormatting sqref="I66">
    <cfRule type="expression" dxfId="5" priority="3">
      <formula>$F$66&lt;13</formula>
    </cfRule>
  </conditionalFormatting>
  <conditionalFormatting sqref="I67">
    <cfRule type="expression" dxfId="4" priority="4">
      <formula>$F$67&lt;8</formula>
    </cfRule>
  </conditionalFormatting>
  <conditionalFormatting sqref="I68">
    <cfRule type="expression" dxfId="3" priority="5">
      <formula>$F$68&lt;5</formula>
    </cfRule>
  </conditionalFormatting>
  <dataValidations count="11">
    <dataValidation type="list" allowBlank="1" showInputMessage="1" showErrorMessage="1" sqref="C13" xr:uid="{C9CFC229-4A31-44C6-9D4C-D115AF667F78}">
      <formula1>$S$13:$S$15</formula1>
    </dataValidation>
    <dataValidation type="list" allowBlank="1" showInputMessage="1" showErrorMessage="1" sqref="C14:E14 C29:E29 C22:E22 C27:E27 C16:E16 C18:E18" xr:uid="{A3C3F0F0-31F1-439A-BA14-627CE791405C}">
      <formula1>$T$13:$T$18</formula1>
    </dataValidation>
    <dataValidation type="list" allowBlank="1" showInputMessage="1" showErrorMessage="1" sqref="C19:E19 C21:E21 C24:E26" xr:uid="{02760DBF-AA31-4C23-A677-6349F092F65B}">
      <formula1>$U$13:$U$17</formula1>
    </dataValidation>
    <dataValidation type="list" allowBlank="1" showInputMessage="1" showErrorMessage="1" sqref="C20:E20" xr:uid="{A9DCEF2F-7F3D-40C1-A527-1E8554DB6E29}">
      <formula1>$V$13:$V$19</formula1>
    </dataValidation>
    <dataValidation type="list" allowBlank="1" showInputMessage="1" showErrorMessage="1" sqref="C30:E35 C37:E39 C41:E41 C50:E50 C8:E8 C43:E47 D55:E56 C55:C56" xr:uid="{2696F88F-80D3-4658-80D2-3632080A30BA}">
      <formula1>_0_1_2_3_8_9</formula1>
    </dataValidation>
    <dataValidation type="list" allowBlank="1" showInputMessage="1" showErrorMessage="1" sqref="C36:E36 C40:E40 C57:E57 C17:E17" xr:uid="{A8BCCE4E-4B51-4BE5-A64D-B9B122C671B6}">
      <formula1>_0_1_2_8_9</formula1>
    </dataValidation>
    <dataValidation type="list" allowBlank="1" showInputMessage="1" showErrorMessage="1" sqref="C49:E49 C52:E52" xr:uid="{CA858E85-7958-42ED-90C7-CEB47A03C181}">
      <formula1>$W$13:$W$17</formula1>
    </dataValidation>
    <dataValidation type="list" allowBlank="1" showInputMessage="1" showErrorMessage="1" sqref="C51:E51" xr:uid="{127C7304-A257-4743-A0D5-2C718031E199}">
      <formula1>_0_1_2_3_7_8_9</formula1>
    </dataValidation>
    <dataValidation type="list" allowBlank="1" showInputMessage="1" showErrorMessage="1" sqref="C53:E53 C9:E9" xr:uid="{77B163D8-8FCE-4034-BBFA-62F396249530}">
      <formula1>$R$13:$R$16</formula1>
    </dataValidation>
    <dataValidation type="list" allowBlank="1" showInputMessage="1" showErrorMessage="1" sqref="C61:E61" xr:uid="{4B3B77D8-8236-470B-BDF8-54A449A653AB}">
      <formula1>$R$49:$R$54</formula1>
    </dataValidation>
    <dataValidation type="list" allowBlank="1" showInputMessage="1" showErrorMessage="1" sqref="C10:E10" xr:uid="{CC1AA28F-6505-450F-86F5-DD2A5C3EC697}">
      <formula1>_0_1_2</formula1>
    </dataValidation>
  </dataValidations>
  <pageMargins left="0.7" right="0.7" top="0.75" bottom="0.75" header="0.3" footer="0.3"/>
  <pageSetup paperSize="9" orientation="portrait" horizontalDpi="0" verticalDpi="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6106985-9320-40FA-85A2-67C392F9F569}">
          <x14:formula1>
            <xm:f>'conf dg'!$B$31:$F$31</xm:f>
          </x14:formula1>
          <xm:sqref>C60:E60</xm:sqref>
        </x14:dataValidation>
        <x14:dataValidation type="list" allowBlank="1" showInputMessage="1" showErrorMessage="1" xr:uid="{14A0D5DD-198D-49D0-B858-4058BB72FBB8}">
          <x14:formula1>
            <xm:f>'conf dg'!$B$30:$E$30</xm:f>
          </x14:formula1>
          <xm:sqref>C59:E59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1D6B1-7F41-457A-8E94-171765EECEF9}">
  <dimension ref="A1:R99"/>
  <sheetViews>
    <sheetView tabSelected="1" view="pageLayout" zoomScale="73" zoomScaleNormal="100" zoomScalePageLayoutView="73" workbookViewId="0">
      <selection activeCell="I9" sqref="I9"/>
    </sheetView>
  </sheetViews>
  <sheetFormatPr baseColWidth="10" defaultColWidth="0" defaultRowHeight="15" zeroHeight="1" x14ac:dyDescent="0.2"/>
  <cols>
    <col min="1" max="1" width="3.1640625" style="174" customWidth="1"/>
    <col min="2" max="2" width="4.5" style="174" customWidth="1"/>
    <col min="3" max="8" width="9.5" style="174" customWidth="1"/>
    <col min="9" max="9" width="7" style="176" customWidth="1"/>
    <col min="10" max="10" width="14.33203125" style="174" customWidth="1"/>
    <col min="11" max="11" width="1.1640625" style="217" customWidth="1"/>
    <col min="12" max="13" width="24.33203125" style="174" hidden="1" customWidth="1"/>
    <col min="14" max="14" width="38.33203125" style="174" hidden="1" customWidth="1"/>
    <col min="15" max="17" width="10.83203125" style="174" hidden="1" customWidth="1"/>
    <col min="18" max="18" width="77.5" style="175" hidden="1" customWidth="1"/>
    <col min="19" max="16384" width="10.83203125" style="174" hidden="1"/>
  </cols>
  <sheetData>
    <row r="1" spans="1:18" ht="76.5" customHeight="1" x14ac:dyDescent="0.2">
      <c r="A1" s="370" t="s">
        <v>289</v>
      </c>
      <c r="B1" s="370"/>
      <c r="C1" s="370"/>
      <c r="D1" s="370"/>
      <c r="E1" s="370"/>
      <c r="F1" s="370"/>
      <c r="G1" s="370"/>
      <c r="H1" s="370"/>
      <c r="I1" s="370"/>
      <c r="J1" s="370"/>
      <c r="K1" s="220"/>
      <c r="L1" s="173"/>
      <c r="M1" s="173"/>
    </row>
    <row r="2" spans="1:18" ht="16" thickBot="1" x14ac:dyDescent="0.25">
      <c r="A2" s="217"/>
      <c r="B2" s="217"/>
      <c r="C2" s="217"/>
      <c r="D2" s="217"/>
      <c r="E2" s="217"/>
      <c r="F2" s="217"/>
      <c r="G2" s="217"/>
      <c r="H2" s="217"/>
      <c r="I2" s="217"/>
      <c r="J2" s="217"/>
    </row>
    <row r="3" spans="1:18" ht="16" thickBot="1" x14ac:dyDescent="0.25">
      <c r="A3" s="217"/>
      <c r="B3" s="217"/>
      <c r="C3" s="217"/>
      <c r="D3" s="217"/>
      <c r="E3" s="217"/>
      <c r="F3" s="217"/>
      <c r="G3" s="217"/>
      <c r="H3" s="217"/>
      <c r="I3" s="218"/>
      <c r="J3" s="177" t="s">
        <v>222</v>
      </c>
      <c r="K3" s="138"/>
      <c r="L3" s="178"/>
      <c r="M3" s="178"/>
    </row>
    <row r="4" spans="1:18" ht="14.5" customHeight="1" x14ac:dyDescent="0.2">
      <c r="A4" s="386" t="s">
        <v>221</v>
      </c>
      <c r="B4" s="371" t="str">
        <f>A12</f>
        <v>A. ALTERACIONES CUALITATIVAS DE LA INTERACCIÓN SOCIAL RECÍPROCA</v>
      </c>
      <c r="C4" s="372"/>
      <c r="D4" s="372"/>
      <c r="E4" s="372"/>
      <c r="F4" s="372"/>
      <c r="G4" s="372"/>
      <c r="H4" s="373"/>
      <c r="I4" s="179">
        <f>I17</f>
        <v>0</v>
      </c>
      <c r="J4" s="180">
        <v>10</v>
      </c>
      <c r="K4" s="218"/>
      <c r="L4" s="176"/>
      <c r="M4" s="176"/>
      <c r="O4" s="174" t="s">
        <v>223</v>
      </c>
      <c r="P4" s="174">
        <f>I4</f>
        <v>0</v>
      </c>
      <c r="Q4" s="174">
        <f>IF(P4&gt;=10,1,0)</f>
        <v>0</v>
      </c>
      <c r="R4" s="175" t="str">
        <f>IF(Q4=1,(CONCATENATE(B4,".
")),"")</f>
        <v/>
      </c>
    </row>
    <row r="5" spans="1:18" ht="14.5" customHeight="1" x14ac:dyDescent="0.2">
      <c r="A5" s="387"/>
      <c r="B5" s="389" t="str">
        <f>A19</f>
        <v>B. ALTERACIONES CUALITATIVAS DE LA COMUNICACIÓN</v>
      </c>
      <c r="C5" s="390"/>
      <c r="D5" s="390"/>
      <c r="E5" s="390"/>
      <c r="F5" s="390"/>
      <c r="G5" s="390"/>
      <c r="H5" s="390"/>
      <c r="I5" s="390"/>
      <c r="J5" s="181"/>
      <c r="K5" s="218"/>
      <c r="L5" s="176"/>
      <c r="M5" s="176"/>
      <c r="O5" s="174" t="s">
        <v>231</v>
      </c>
      <c r="P5" s="174">
        <f>I6</f>
        <v>0</v>
      </c>
      <c r="Q5" s="174">
        <f>IF(P5&gt;=J6,1,0)</f>
        <v>0</v>
      </c>
      <c r="R5" s="175" t="str">
        <f>IF(Q5=1,(CONCATENATE(B5,".
")),"")</f>
        <v/>
      </c>
    </row>
    <row r="6" spans="1:18" ht="14.5" customHeight="1" x14ac:dyDescent="0.2">
      <c r="A6" s="387"/>
      <c r="B6" s="359" t="s">
        <v>220</v>
      </c>
      <c r="C6" s="360"/>
      <c r="D6" s="360"/>
      <c r="E6" s="360"/>
      <c r="F6" s="360"/>
      <c r="G6" s="360"/>
      <c r="H6" s="361"/>
      <c r="I6" s="182">
        <f>I24</f>
        <v>0</v>
      </c>
      <c r="J6" s="181">
        <v>8</v>
      </c>
      <c r="K6" s="218"/>
      <c r="L6" s="176"/>
      <c r="M6" s="176"/>
      <c r="O6" s="174" t="s">
        <v>232</v>
      </c>
      <c r="P6" s="174">
        <f t="shared" ref="P6:P8" si="0">I7</f>
        <v>0</v>
      </c>
      <c r="Q6" s="174">
        <f>IF(P6&gt;=J7,1,0)</f>
        <v>0</v>
      </c>
      <c r="R6" s="175" t="str">
        <f>IF(Q6=1,(CONCATENATE(B5,".
")),"")</f>
        <v/>
      </c>
    </row>
    <row r="7" spans="1:18" ht="14.5" customHeight="1" x14ac:dyDescent="0.2">
      <c r="A7" s="387"/>
      <c r="B7" s="359" t="s">
        <v>219</v>
      </c>
      <c r="C7" s="360"/>
      <c r="D7" s="360"/>
      <c r="E7" s="360"/>
      <c r="F7" s="360"/>
      <c r="G7" s="360"/>
      <c r="H7" s="361"/>
      <c r="I7" s="182">
        <f>I25</f>
        <v>0</v>
      </c>
      <c r="J7" s="181">
        <v>7</v>
      </c>
      <c r="K7" s="218"/>
      <c r="L7" s="176"/>
      <c r="M7" s="176"/>
      <c r="O7" s="174" t="s">
        <v>225</v>
      </c>
      <c r="P7" s="174">
        <f t="shared" si="0"/>
        <v>0</v>
      </c>
      <c r="Q7" s="174">
        <f>IF(P7&gt;=J8,1,0)</f>
        <v>0</v>
      </c>
      <c r="R7" s="175" t="str">
        <f>IF(Q7=1,(CONCATENATE(B8,".
")),"")</f>
        <v/>
      </c>
    </row>
    <row r="8" spans="1:18" ht="18" customHeight="1" x14ac:dyDescent="0.2">
      <c r="A8" s="387"/>
      <c r="B8" s="374" t="str">
        <f>A27</f>
        <v>C. PATRONES DE CONDUCTA RESTRINGIDOS, REPETITIVOS Y ESTEREOTIPADOS</v>
      </c>
      <c r="C8" s="375"/>
      <c r="D8" s="375"/>
      <c r="E8" s="375"/>
      <c r="F8" s="375"/>
      <c r="G8" s="375"/>
      <c r="H8" s="376"/>
      <c r="I8" s="182">
        <f>I32</f>
        <v>0</v>
      </c>
      <c r="J8" s="181">
        <v>3</v>
      </c>
      <c r="K8" s="218"/>
      <c r="L8" s="176"/>
      <c r="M8" s="176"/>
      <c r="O8" s="174" t="s">
        <v>226</v>
      </c>
      <c r="P8" s="174">
        <f t="shared" si="0"/>
        <v>0</v>
      </c>
      <c r="Q8" s="174">
        <f>IF(P8&gt;=J9,1,0)</f>
        <v>0</v>
      </c>
      <c r="R8" s="175" t="str">
        <f>IF(Q8=1,(CONCATENATE(B9,".
")),"")</f>
        <v/>
      </c>
    </row>
    <row r="9" spans="1:18" ht="16" thickBot="1" x14ac:dyDescent="0.25">
      <c r="A9" s="388"/>
      <c r="B9" s="383" t="str">
        <f>A34</f>
        <v>D. ALTERACIONES EN EL DESARROLLO EVIDENTES A LOS 36 MESES O ANTES</v>
      </c>
      <c r="C9" s="384"/>
      <c r="D9" s="384"/>
      <c r="E9" s="384"/>
      <c r="F9" s="384"/>
      <c r="G9" s="384"/>
      <c r="H9" s="385"/>
      <c r="I9" s="183">
        <f>I40</f>
        <v>0</v>
      </c>
      <c r="J9" s="184">
        <v>1</v>
      </c>
      <c r="K9" s="218"/>
      <c r="L9" s="176"/>
      <c r="M9" s="176"/>
    </row>
    <row r="10" spans="1:18" ht="5.5" customHeight="1" x14ac:dyDescent="0.2">
      <c r="A10" s="217"/>
      <c r="B10" s="217"/>
      <c r="C10" s="217"/>
      <c r="D10" s="217"/>
      <c r="E10" s="217"/>
      <c r="F10" s="217"/>
      <c r="G10" s="217"/>
      <c r="H10" s="217"/>
      <c r="I10" s="218"/>
      <c r="J10" s="217"/>
      <c r="R10" s="185" t="str">
        <f>CONCATENATE(R4,(IF(elemento30=0,R5,R6)),R7,R8)</f>
        <v/>
      </c>
    </row>
    <row r="11" spans="1:18" ht="5.5" customHeight="1" thickBot="1" x14ac:dyDescent="0.25">
      <c r="A11" s="217"/>
      <c r="B11" s="217"/>
      <c r="C11" s="217"/>
      <c r="D11" s="217"/>
      <c r="E11" s="217"/>
      <c r="F11" s="217"/>
      <c r="G11" s="217"/>
      <c r="H11" s="217"/>
      <c r="I11" s="218"/>
      <c r="J11" s="217"/>
      <c r="R11" s="175">
        <f>SUM(Q4,(IF(elemento30=0,Q5,Q6)),Q7)</f>
        <v>0</v>
      </c>
    </row>
    <row r="12" spans="1:18" ht="14.5" customHeight="1" x14ac:dyDescent="0.2">
      <c r="A12" s="377" t="str">
        <f>A!A1</f>
        <v>A. ALTERACIONES CUALITATIVAS DE LA INTERACCIÓN SOCIAL RECÍPROCA</v>
      </c>
      <c r="B12" s="378"/>
      <c r="C12" s="378"/>
      <c r="D12" s="378"/>
      <c r="E12" s="378"/>
      <c r="F12" s="378"/>
      <c r="G12" s="378"/>
      <c r="H12" s="378"/>
      <c r="I12" s="186"/>
      <c r="J12" s="217"/>
    </row>
    <row r="13" spans="1:18" ht="28" customHeight="1" x14ac:dyDescent="0.2">
      <c r="A13" s="187"/>
      <c r="B13" s="188" t="str">
        <f>A!A6</f>
        <v>A.1</v>
      </c>
      <c r="C13" s="362" t="str">
        <f>A!B6</f>
        <v>Incapacidad para utilizar conductas no verbales en la regulación de la interacción social</v>
      </c>
      <c r="D13" s="363"/>
      <c r="E13" s="363"/>
      <c r="F13" s="363"/>
      <c r="G13" s="363"/>
      <c r="H13" s="364"/>
      <c r="I13" s="189">
        <f>A!AA14</f>
        <v>0</v>
      </c>
      <c r="J13" s="217"/>
    </row>
    <row r="14" spans="1:18" ht="16" x14ac:dyDescent="0.2">
      <c r="A14" s="187"/>
      <c r="B14" s="188" t="str">
        <f>A!A16</f>
        <v>A.2</v>
      </c>
      <c r="C14" s="362" t="str">
        <f>A!B16</f>
        <v>Incapacidad para desarrollar relaciones con sus iguales</v>
      </c>
      <c r="D14" s="363"/>
      <c r="E14" s="363"/>
      <c r="F14" s="363"/>
      <c r="G14" s="363"/>
      <c r="H14" s="364"/>
      <c r="I14" s="189">
        <f>'P1'!D38</f>
        <v>0</v>
      </c>
      <c r="J14" s="217"/>
    </row>
    <row r="15" spans="1:18" ht="16" x14ac:dyDescent="0.2">
      <c r="A15" s="187"/>
      <c r="B15" s="188" t="str">
        <f>A!A30</f>
        <v>A.3</v>
      </c>
      <c r="C15" s="362" t="str">
        <f>A!B30</f>
        <v>Falta de goce o placer compartido</v>
      </c>
      <c r="D15" s="363"/>
      <c r="E15" s="363"/>
      <c r="F15" s="363"/>
      <c r="G15" s="363"/>
      <c r="H15" s="364"/>
      <c r="I15" s="189">
        <f>'P1'!F38</f>
        <v>0</v>
      </c>
      <c r="J15" s="217"/>
    </row>
    <row r="16" spans="1:18" ht="17" thickBot="1" x14ac:dyDescent="0.25">
      <c r="A16" s="187"/>
      <c r="B16" s="188" t="str">
        <f>A!A40</f>
        <v>A.4</v>
      </c>
      <c r="C16" s="362" t="str">
        <f>A!B40</f>
        <v>Falta de reciprocidad socio-emocional</v>
      </c>
      <c r="D16" s="363"/>
      <c r="E16" s="363"/>
      <c r="F16" s="363"/>
      <c r="G16" s="363"/>
      <c r="H16" s="364"/>
      <c r="I16" s="189">
        <f>'P1'!J38</f>
        <v>0</v>
      </c>
      <c r="J16" s="217"/>
    </row>
    <row r="17" spans="1:13" ht="15.5" customHeight="1" thickBot="1" x14ac:dyDescent="0.25">
      <c r="A17" s="190"/>
      <c r="B17" s="334" t="s">
        <v>203</v>
      </c>
      <c r="C17" s="334"/>
      <c r="D17" s="334"/>
      <c r="E17" s="334"/>
      <c r="F17" s="334"/>
      <c r="G17" s="334"/>
      <c r="H17" s="334"/>
      <c r="I17" s="191">
        <f>'P1'!M38</f>
        <v>0</v>
      </c>
      <c r="J17" s="192" t="s">
        <v>208</v>
      </c>
      <c r="K17" s="221"/>
      <c r="L17" s="193"/>
      <c r="M17" s="193"/>
    </row>
    <row r="18" spans="1:13" ht="10" customHeight="1" thickBot="1" x14ac:dyDescent="0.25">
      <c r="A18" s="217"/>
      <c r="B18" s="217"/>
      <c r="C18" s="217"/>
      <c r="D18" s="217"/>
      <c r="E18" s="217"/>
      <c r="F18" s="217"/>
      <c r="G18" s="217"/>
      <c r="H18" s="379"/>
      <c r="I18" s="379"/>
      <c r="J18" s="217"/>
    </row>
    <row r="19" spans="1:13" ht="14.5" customHeight="1" x14ac:dyDescent="0.2">
      <c r="A19" s="380" t="str">
        <f>B!A1</f>
        <v>B. ALTERACIONES CUALITATIVAS DE LA COMUNICACIÓN</v>
      </c>
      <c r="B19" s="381"/>
      <c r="C19" s="381"/>
      <c r="D19" s="381"/>
      <c r="E19" s="381"/>
      <c r="F19" s="381"/>
      <c r="G19" s="381"/>
      <c r="H19" s="381"/>
      <c r="I19" s="382"/>
      <c r="J19" s="217"/>
    </row>
    <row r="20" spans="1:13" ht="16" x14ac:dyDescent="0.2">
      <c r="A20" s="187"/>
      <c r="B20" s="188" t="str">
        <f>B!A7</f>
        <v>B.1</v>
      </c>
      <c r="C20" s="362" t="str">
        <f>B!B7</f>
        <v>Falta o retraso del lenguaje hablado e incapacidad para compensar esta falta mediante gestos</v>
      </c>
      <c r="D20" s="363"/>
      <c r="E20" s="363"/>
      <c r="F20" s="363"/>
      <c r="G20" s="363"/>
      <c r="H20" s="364"/>
      <c r="I20" s="194">
        <f>'P1'!B40</f>
        <v>0</v>
      </c>
      <c r="J20" s="217"/>
    </row>
    <row r="21" spans="1:13" ht="28.5" customHeight="1" x14ac:dyDescent="0.2">
      <c r="A21" s="187"/>
      <c r="B21" s="188" t="str">
        <f>B!B29</f>
        <v>B.2</v>
      </c>
      <c r="C21" s="362" t="str">
        <f>B!C29</f>
        <v>(V). Incapacidad relativa para iniciar o sostener un intercambio conversacional</v>
      </c>
      <c r="D21" s="363"/>
      <c r="E21" s="363"/>
      <c r="F21" s="363"/>
      <c r="G21" s="363"/>
      <c r="H21" s="364"/>
      <c r="I21" s="194">
        <f>'P1'!D40</f>
        <v>0</v>
      </c>
      <c r="J21" s="217"/>
    </row>
    <row r="22" spans="1:13" ht="16" x14ac:dyDescent="0.2">
      <c r="A22" s="187"/>
      <c r="B22" s="188" t="str">
        <f>B!B37</f>
        <v>B.3</v>
      </c>
      <c r="C22" s="362" t="str">
        <f>B!C37</f>
        <v>(V). Habla estereotipada, repetitiva e idiosincrásica</v>
      </c>
      <c r="D22" s="363"/>
      <c r="E22" s="363"/>
      <c r="F22" s="363"/>
      <c r="G22" s="363"/>
      <c r="H22" s="364"/>
      <c r="I22" s="194">
        <f>'P1'!F40</f>
        <v>0</v>
      </c>
      <c r="J22" s="217"/>
    </row>
    <row r="23" spans="1:13" ht="28.5" customHeight="1" thickBot="1" x14ac:dyDescent="0.25">
      <c r="A23" s="187"/>
      <c r="B23" s="188" t="str">
        <f>B!A19</f>
        <v>B.4</v>
      </c>
      <c r="C23" s="362" t="str">
        <f>B!B19</f>
        <v>Falta de juego imaginativo o juego social imitativo espontáneo y variado</v>
      </c>
      <c r="D23" s="363"/>
      <c r="E23" s="363"/>
      <c r="F23" s="363"/>
      <c r="G23" s="363"/>
      <c r="H23" s="364"/>
      <c r="I23" s="194">
        <f>'P1'!J40</f>
        <v>0</v>
      </c>
      <c r="J23" s="217"/>
    </row>
    <row r="24" spans="1:13" x14ac:dyDescent="0.2">
      <c r="A24" s="187"/>
      <c r="B24" s="195"/>
      <c r="C24" s="391" t="s">
        <v>205</v>
      </c>
      <c r="D24" s="391"/>
      <c r="E24" s="391"/>
      <c r="F24" s="391"/>
      <c r="G24" s="391"/>
      <c r="H24" s="391"/>
      <c r="I24" s="196">
        <f>'P1'!M40</f>
        <v>0</v>
      </c>
      <c r="J24" s="197" t="s">
        <v>207</v>
      </c>
      <c r="K24" s="221"/>
      <c r="L24" s="193"/>
      <c r="M24" s="193"/>
    </row>
    <row r="25" spans="1:13" ht="16" customHeight="1" thickBot="1" x14ac:dyDescent="0.25">
      <c r="A25" s="198"/>
      <c r="B25" s="199"/>
      <c r="C25" s="392" t="s">
        <v>206</v>
      </c>
      <c r="D25" s="392"/>
      <c r="E25" s="392"/>
      <c r="F25" s="392"/>
      <c r="G25" s="392"/>
      <c r="H25" s="392"/>
      <c r="I25" s="200">
        <f>'P1'!O40</f>
        <v>0</v>
      </c>
      <c r="J25" s="201" t="s">
        <v>209</v>
      </c>
      <c r="K25" s="222"/>
      <c r="L25" s="202"/>
      <c r="M25" s="202"/>
    </row>
    <row r="26" spans="1:13" ht="16" thickBot="1" x14ac:dyDescent="0.25">
      <c r="A26" s="217"/>
      <c r="B26" s="217"/>
      <c r="C26" s="217"/>
      <c r="D26" s="217"/>
      <c r="E26" s="217"/>
      <c r="F26" s="217"/>
      <c r="G26" s="217"/>
      <c r="H26" s="217"/>
      <c r="I26" s="218"/>
      <c r="J26" s="217"/>
    </row>
    <row r="27" spans="1:13" x14ac:dyDescent="0.2">
      <c r="A27" s="380" t="str">
        <f>'C'!A1:X1</f>
        <v>C. PATRONES DE CONDUCTA RESTRINGIDOS, REPETITIVOS Y ESTEREOTIPADOS</v>
      </c>
      <c r="B27" s="381"/>
      <c r="C27" s="381"/>
      <c r="D27" s="381"/>
      <c r="E27" s="381"/>
      <c r="F27" s="381"/>
      <c r="G27" s="381"/>
      <c r="H27" s="381"/>
      <c r="I27" s="382"/>
      <c r="J27" s="217"/>
    </row>
    <row r="28" spans="1:13" ht="16" x14ac:dyDescent="0.2">
      <c r="A28" s="187"/>
      <c r="B28" s="188" t="str">
        <f>'C'!A6</f>
        <v>C.1</v>
      </c>
      <c r="C28" s="362" t="str">
        <f>'C'!B6</f>
        <v>Preocupación absorbente o patrón de intereses circunscrito</v>
      </c>
      <c r="D28" s="363"/>
      <c r="E28" s="363"/>
      <c r="F28" s="363"/>
      <c r="G28" s="363"/>
      <c r="H28" s="364"/>
      <c r="I28" s="194">
        <f>'P1'!B43</f>
        <v>0</v>
      </c>
      <c r="J28" s="217"/>
    </row>
    <row r="29" spans="1:13" ht="16" x14ac:dyDescent="0.2">
      <c r="A29" s="187"/>
      <c r="B29" s="188" t="str">
        <f>'C'!A14</f>
        <v>C.2</v>
      </c>
      <c r="C29" s="362" t="str">
        <f>'C'!B14</f>
        <v>Adhesión aparentemente compulsiva a rutinas o rituales no funcionales</v>
      </c>
      <c r="D29" s="363"/>
      <c r="E29" s="363"/>
      <c r="F29" s="363"/>
      <c r="G29" s="363"/>
      <c r="H29" s="364"/>
      <c r="I29" s="194">
        <f>'P1'!D43</f>
        <v>0</v>
      </c>
      <c r="J29" s="217"/>
    </row>
    <row r="30" spans="1:13" ht="16" x14ac:dyDescent="0.2">
      <c r="A30" s="187"/>
      <c r="B30" s="188" t="str">
        <f>'C'!A22</f>
        <v>C.3</v>
      </c>
      <c r="C30" s="362" t="str">
        <f>'C'!B22</f>
        <v>Manierismos motores estereotipados y repetitivos</v>
      </c>
      <c r="D30" s="363"/>
      <c r="E30" s="363"/>
      <c r="F30" s="363"/>
      <c r="G30" s="363"/>
      <c r="H30" s="364"/>
      <c r="I30" s="194">
        <f>'P1'!F43</f>
        <v>0</v>
      </c>
      <c r="J30" s="217"/>
    </row>
    <row r="31" spans="1:13" ht="31" customHeight="1" thickBot="1" x14ac:dyDescent="0.25">
      <c r="A31" s="187"/>
      <c r="B31" s="188" t="str">
        <f>'C'!A30</f>
        <v>C.4</v>
      </c>
      <c r="C31" s="365" t="str">
        <f>'C'!B30</f>
        <v>Preocupaciones con parte de objetos o elementos no funcionales de los materiales</v>
      </c>
      <c r="D31" s="366"/>
      <c r="E31" s="366"/>
      <c r="F31" s="366"/>
      <c r="G31" s="366"/>
      <c r="H31" s="367"/>
      <c r="I31" s="194">
        <f>'P1'!J43</f>
        <v>0</v>
      </c>
      <c r="J31" s="217"/>
    </row>
    <row r="32" spans="1:13" ht="15" customHeight="1" thickBot="1" x14ac:dyDescent="0.25">
      <c r="A32" s="190"/>
      <c r="B32" s="203"/>
      <c r="C32" s="334" t="s">
        <v>210</v>
      </c>
      <c r="D32" s="334"/>
      <c r="E32" s="334"/>
      <c r="F32" s="334"/>
      <c r="G32" s="334"/>
      <c r="H32" s="334"/>
      <c r="I32" s="204">
        <f>'P1'!M43</f>
        <v>0</v>
      </c>
      <c r="J32" s="192" t="s">
        <v>211</v>
      </c>
      <c r="K32" s="221"/>
      <c r="L32" s="193"/>
      <c r="M32" s="193"/>
    </row>
    <row r="33" spans="1:18" ht="11.5" customHeight="1" thickBot="1" x14ac:dyDescent="0.25">
      <c r="A33" s="217"/>
      <c r="B33" s="217"/>
      <c r="C33" s="217"/>
      <c r="D33" s="217"/>
      <c r="E33" s="217"/>
      <c r="F33" s="217"/>
      <c r="G33" s="217"/>
      <c r="H33" s="217"/>
      <c r="I33" s="218"/>
      <c r="J33" s="217"/>
    </row>
    <row r="34" spans="1:18" x14ac:dyDescent="0.2">
      <c r="A34" s="380" t="str">
        <f>D!A1</f>
        <v>D. ALTERACIONES EN EL DESARROLLO EVIDENTES A LOS 36 MESES O ANTES</v>
      </c>
      <c r="B34" s="381"/>
      <c r="C34" s="381"/>
      <c r="D34" s="381"/>
      <c r="E34" s="381"/>
      <c r="F34" s="381"/>
      <c r="G34" s="381"/>
      <c r="H34" s="381"/>
      <c r="I34" s="382"/>
      <c r="J34" s="217"/>
    </row>
    <row r="35" spans="1:18" x14ac:dyDescent="0.2">
      <c r="A35" s="187"/>
      <c r="B35" s="369" t="s">
        <v>215</v>
      </c>
      <c r="C35" s="369"/>
      <c r="D35" s="369"/>
      <c r="E35" s="369"/>
      <c r="F35" s="369"/>
      <c r="G35" s="369"/>
      <c r="H35" s="369"/>
      <c r="I35" s="194">
        <f>D!R7</f>
        <v>0</v>
      </c>
      <c r="J35" s="217"/>
    </row>
    <row r="36" spans="1:18" x14ac:dyDescent="0.2">
      <c r="A36" s="187"/>
      <c r="B36" s="369" t="s">
        <v>214</v>
      </c>
      <c r="C36" s="369"/>
      <c r="D36" s="369"/>
      <c r="E36" s="369"/>
      <c r="F36" s="369"/>
      <c r="G36" s="369"/>
      <c r="H36" s="369"/>
      <c r="I36" s="194">
        <f>D!R9</f>
        <v>0</v>
      </c>
      <c r="J36" s="217"/>
    </row>
    <row r="37" spans="1:18" x14ac:dyDescent="0.2">
      <c r="A37" s="187"/>
      <c r="B37" s="369" t="s">
        <v>217</v>
      </c>
      <c r="C37" s="369"/>
      <c r="D37" s="369"/>
      <c r="E37" s="369"/>
      <c r="F37" s="369"/>
      <c r="G37" s="369"/>
      <c r="H37" s="369"/>
      <c r="I37" s="194">
        <f>D!R11</f>
        <v>0</v>
      </c>
      <c r="J37" s="217"/>
    </row>
    <row r="38" spans="1:18" x14ac:dyDescent="0.2">
      <c r="A38" s="187"/>
      <c r="B38" s="369" t="s">
        <v>216</v>
      </c>
      <c r="C38" s="369"/>
      <c r="D38" s="369"/>
      <c r="E38" s="369"/>
      <c r="F38" s="369"/>
      <c r="G38" s="369"/>
      <c r="H38" s="369"/>
      <c r="I38" s="194">
        <f>D!R13</f>
        <v>0</v>
      </c>
      <c r="J38" s="217"/>
    </row>
    <row r="39" spans="1:18" ht="29.5" customHeight="1" thickBot="1" x14ac:dyDescent="0.25">
      <c r="A39" s="187"/>
      <c r="B39" s="369" t="s">
        <v>218</v>
      </c>
      <c r="C39" s="369"/>
      <c r="D39" s="369"/>
      <c r="E39" s="369"/>
      <c r="F39" s="369"/>
      <c r="G39" s="369"/>
      <c r="H39" s="369"/>
      <c r="I39" s="194">
        <f>D!R15</f>
        <v>0</v>
      </c>
      <c r="J39" s="217"/>
    </row>
    <row r="40" spans="1:18" ht="17" customHeight="1" thickBot="1" x14ac:dyDescent="0.25">
      <c r="A40" s="205"/>
      <c r="B40" s="334" t="s">
        <v>212</v>
      </c>
      <c r="C40" s="334"/>
      <c r="D40" s="334"/>
      <c r="E40" s="334"/>
      <c r="F40" s="334"/>
      <c r="G40" s="334"/>
      <c r="H40" s="334"/>
      <c r="I40" s="204">
        <f>'P1'!M45</f>
        <v>0</v>
      </c>
      <c r="J40" s="192" t="s">
        <v>213</v>
      </c>
      <c r="K40" s="221"/>
      <c r="L40" s="193"/>
      <c r="M40" s="193"/>
    </row>
    <row r="41" spans="1:18" s="217" customFormat="1" ht="5" customHeight="1" x14ac:dyDescent="0.2">
      <c r="I41" s="218"/>
      <c r="R41" s="219"/>
    </row>
    <row r="42" spans="1:18" ht="19" x14ac:dyDescent="0.2">
      <c r="A42" s="357" t="s">
        <v>288</v>
      </c>
      <c r="B42" s="357"/>
      <c r="C42" s="357"/>
      <c r="D42" s="357"/>
      <c r="E42" s="357"/>
      <c r="F42" s="357"/>
      <c r="G42" s="357"/>
      <c r="H42" s="357"/>
      <c r="I42" s="357"/>
      <c r="J42" s="357"/>
    </row>
    <row r="43" spans="1:18" ht="166" customHeight="1" x14ac:dyDescent="0.2">
      <c r="A43" s="332" t="str">
        <f>CONCATENATE(N48,N51,"
",N52)</f>
        <v xml:space="preserve">Según los resultados obtenidos  a partir de aplicación del ADI-R, es posible indicar que  es improbable que el sujeto tenga ninguna forma de Trastorno del Espectro Autista (TEA).
</v>
      </c>
      <c r="B43" s="332"/>
      <c r="C43" s="332"/>
      <c r="D43" s="332"/>
      <c r="E43" s="332"/>
      <c r="F43" s="332"/>
      <c r="G43" s="332"/>
      <c r="H43" s="332"/>
      <c r="I43" s="332"/>
      <c r="J43" s="332"/>
      <c r="K43" s="218"/>
      <c r="L43" s="176"/>
      <c r="M43" s="176"/>
    </row>
    <row r="44" spans="1:18" ht="6" customHeight="1" x14ac:dyDescent="0.2">
      <c r="A44" s="217"/>
      <c r="B44" s="217"/>
      <c r="C44" s="217"/>
      <c r="D44" s="217"/>
      <c r="E44" s="217"/>
      <c r="F44" s="217"/>
      <c r="G44" s="217"/>
      <c r="H44" s="217"/>
      <c r="I44" s="218"/>
      <c r="J44" s="217"/>
      <c r="L44" s="174" t="s">
        <v>234</v>
      </c>
      <c r="M44" s="206"/>
    </row>
    <row r="45" spans="1:18" ht="19" x14ac:dyDescent="0.2">
      <c r="A45" s="357" t="s">
        <v>250</v>
      </c>
      <c r="B45" s="357"/>
      <c r="C45" s="357"/>
      <c r="D45" s="357"/>
      <c r="E45" s="357"/>
      <c r="F45" s="357"/>
      <c r="G45" s="357"/>
      <c r="H45" s="357"/>
      <c r="I45" s="357"/>
      <c r="J45" s="357"/>
      <c r="L45" s="174" t="s">
        <v>29</v>
      </c>
      <c r="M45" s="174" t="str">
        <f>'P1'!N11</f>
        <v>FUERA DE RANGO</v>
      </c>
    </row>
    <row r="46" spans="1:18" ht="16" x14ac:dyDescent="0.2">
      <c r="A46" s="358" t="str">
        <f>IF(elemento30="","No se completa Elemento 30, el cual se utiliza para establecer si el sujeto es verbal o no.",CONCATENATE("Es importante tener en consideración que el sujeto es ",IF(elemento30=0,"verbal","no verbal")," (Elemento 30=",elemento30,")."))</f>
        <v>No se completa Elemento 30, el cual se utiliza para establecer si el sujeto es verbal o no.</v>
      </c>
      <c r="B46" s="358"/>
      <c r="C46" s="358"/>
      <c r="D46" s="358"/>
      <c r="E46" s="358"/>
      <c r="F46" s="358"/>
      <c r="G46" s="358"/>
      <c r="H46" s="358"/>
      <c r="I46" s="358"/>
      <c r="J46" s="358"/>
    </row>
    <row r="47" spans="1:18" ht="35" customHeight="1" x14ac:dyDescent="0.2">
      <c r="A47" s="332" t="s">
        <v>259</v>
      </c>
      <c r="B47" s="332"/>
      <c r="C47" s="332"/>
      <c r="D47" s="332"/>
      <c r="E47" s="332"/>
      <c r="F47" s="332"/>
      <c r="G47" s="332"/>
      <c r="H47" s="332"/>
      <c r="I47" s="332"/>
      <c r="J47" s="332"/>
    </row>
    <row r="48" spans="1:18" ht="7" customHeight="1" x14ac:dyDescent="0.2">
      <c r="A48" s="217"/>
      <c r="B48" s="217"/>
      <c r="C48" s="217"/>
      <c r="D48" s="217"/>
      <c r="E48" s="217"/>
      <c r="F48" s="217"/>
      <c r="G48" s="217"/>
      <c r="H48" s="217"/>
      <c r="I48" s="217"/>
      <c r="J48" s="217"/>
      <c r="N48" s="207" t="s">
        <v>233</v>
      </c>
    </row>
    <row r="49" spans="1:14" ht="19" x14ac:dyDescent="0.2">
      <c r="A49" s="333" t="s">
        <v>254</v>
      </c>
      <c r="B49" s="333"/>
      <c r="C49" s="333"/>
      <c r="D49" s="333"/>
      <c r="E49" s="333"/>
      <c r="F49" s="333"/>
      <c r="G49" s="333"/>
      <c r="H49" s="333"/>
      <c r="I49" s="333"/>
      <c r="J49" s="333"/>
    </row>
    <row r="50" spans="1:14" ht="64.5" customHeight="1" x14ac:dyDescent="0.2">
      <c r="A50" s="342" t="s">
        <v>284</v>
      </c>
      <c r="B50" s="342"/>
      <c r="C50" s="342"/>
      <c r="D50" s="342"/>
      <c r="E50" s="342"/>
      <c r="F50" s="342"/>
      <c r="G50" s="342"/>
      <c r="H50" s="342"/>
      <c r="I50" s="342"/>
      <c r="J50" s="342"/>
    </row>
    <row r="51" spans="1:14" x14ac:dyDescent="0.2">
      <c r="A51" s="208"/>
      <c r="B51" s="346" t="s">
        <v>256</v>
      </c>
      <c r="C51" s="346"/>
      <c r="D51" s="208" t="s">
        <v>174</v>
      </c>
      <c r="E51" s="346" t="s">
        <v>257</v>
      </c>
      <c r="F51" s="346"/>
      <c r="G51" s="343" t="s">
        <v>258</v>
      </c>
      <c r="H51" s="344"/>
      <c r="I51" s="344"/>
      <c r="J51" s="345"/>
      <c r="N51" s="207" t="str">
        <f>IF(SUM(Q4:Q7)=0," es improbable que el sujeto tenga ninguna forma de Trastorno del Espectro Autista (TEA).",(IF(R11&gt;0,CONCATENATE(" se observan dificultades en las siguientes áreas:
",R10))))</f>
        <v xml:space="preserve"> es improbable que el sujeto tenga ninguna forma de Trastorno del Espectro Autista (TEA).</v>
      </c>
    </row>
    <row r="52" spans="1:14" ht="28.5" customHeight="1" x14ac:dyDescent="0.2">
      <c r="A52" s="209" t="s">
        <v>255</v>
      </c>
      <c r="B52" s="355">
        <f>'conf dg'!A2</f>
        <v>21</v>
      </c>
      <c r="C52" s="355"/>
      <c r="D52" s="210" t="str">
        <f>'conf dg'!B2</f>
        <v>No Resp.</v>
      </c>
      <c r="E52" s="355" t="str">
        <f>IF('conf dg'!G2=1,"SI","NO")</f>
        <v>NO</v>
      </c>
      <c r="F52" s="355"/>
      <c r="G52" s="338" t="s">
        <v>261</v>
      </c>
      <c r="H52" s="338"/>
      <c r="I52" s="338"/>
      <c r="J52" s="338"/>
      <c r="N52" s="207" t="str">
        <f>IF((SUM(Q4:Q7))&gt;0,N53,"")</f>
        <v/>
      </c>
    </row>
    <row r="53" spans="1:14" ht="19.5" customHeight="1" x14ac:dyDescent="0.2">
      <c r="A53" s="347" t="s">
        <v>255</v>
      </c>
      <c r="B53" s="355">
        <f>'conf dg'!A3</f>
        <v>20</v>
      </c>
      <c r="C53" s="355"/>
      <c r="D53" s="210" t="str">
        <f>'conf dg'!B3</f>
        <v>No Resp.</v>
      </c>
      <c r="E53" s="355" t="str">
        <f>IF('conf dg'!G3=1,"SI","NO")</f>
        <v>NO</v>
      </c>
      <c r="F53" s="355"/>
      <c r="G53" s="338" t="s">
        <v>262</v>
      </c>
      <c r="H53" s="338"/>
      <c r="I53" s="338"/>
      <c r="J53" s="338"/>
      <c r="N53" s="211" t="str">
        <f>CONCATENATE("Como se observó anteriormente, las dificultades se presentan en ",R11," de los 3 dominios evaluados (A + B + C).",(IF(AND('conf dg'!O6&lt;3,'conf dg'!O7=3,'conf dg'!O6=2),N54,"")))</f>
        <v>Como se observó anteriormente, las dificultades se presentan en 0 de los 3 dominios evaluados (A + B + C).</v>
      </c>
    </row>
    <row r="54" spans="1:14" ht="19" customHeight="1" x14ac:dyDescent="0.2">
      <c r="A54" s="348"/>
      <c r="B54" s="355">
        <f>'conf dg'!A4</f>
        <v>28</v>
      </c>
      <c r="C54" s="355"/>
      <c r="D54" s="210" t="str">
        <f>'conf dg'!B4</f>
        <v>No Resp.</v>
      </c>
      <c r="E54" s="355" t="str">
        <f>IF('conf dg'!G4=1,"SI","NO")</f>
        <v>NO</v>
      </c>
      <c r="F54" s="355"/>
      <c r="G54" s="338"/>
      <c r="H54" s="338"/>
      <c r="I54" s="338"/>
      <c r="J54" s="338"/>
      <c r="N54" s="207" t="s">
        <v>252</v>
      </c>
    </row>
    <row r="55" spans="1:14" x14ac:dyDescent="0.2">
      <c r="A55" s="209" t="s">
        <v>255</v>
      </c>
      <c r="B55" s="355">
        <f>'conf dg'!A5</f>
        <v>79</v>
      </c>
      <c r="C55" s="355"/>
      <c r="D55" s="210" t="str">
        <f>'conf dg'!B5</f>
        <v>No Resp.</v>
      </c>
      <c r="E55" s="355" t="str">
        <f>IF('conf dg'!G5=1,"SI","NO")</f>
        <v>NO</v>
      </c>
      <c r="F55" s="355"/>
      <c r="G55" s="338" t="s">
        <v>263</v>
      </c>
      <c r="H55" s="338"/>
      <c r="I55" s="338"/>
      <c r="J55" s="338"/>
    </row>
    <row r="56" spans="1:14" ht="23" customHeight="1" x14ac:dyDescent="0.2">
      <c r="A56" s="347" t="s">
        <v>255</v>
      </c>
      <c r="B56" s="355">
        <f>'conf dg'!A6</f>
        <v>84</v>
      </c>
      <c r="C56" s="355"/>
      <c r="D56" s="210" t="str">
        <f>'conf dg'!B6</f>
        <v>No Resp.</v>
      </c>
      <c r="E56" s="355" t="str">
        <f>IF('conf dg'!G6=1,"SI","NO")</f>
        <v>NO</v>
      </c>
      <c r="F56" s="355"/>
      <c r="G56" s="349" t="s">
        <v>264</v>
      </c>
      <c r="H56" s="350"/>
      <c r="I56" s="350"/>
      <c r="J56" s="351"/>
    </row>
    <row r="57" spans="1:14" ht="28" customHeight="1" x14ac:dyDescent="0.2">
      <c r="A57" s="348"/>
      <c r="B57" s="355">
        <f>'conf dg'!A7</f>
        <v>85</v>
      </c>
      <c r="C57" s="355"/>
      <c r="D57" s="210" t="str">
        <f>'conf dg'!B7</f>
        <v>NoResp.</v>
      </c>
      <c r="E57" s="355" t="str">
        <f>IF('conf dg'!G7=1,"SI","NO")</f>
        <v>NO</v>
      </c>
      <c r="F57" s="355"/>
      <c r="G57" s="352"/>
      <c r="H57" s="353"/>
      <c r="I57" s="353"/>
      <c r="J57" s="354"/>
    </row>
    <row r="58" spans="1:14" ht="28" customHeight="1" x14ac:dyDescent="0.2">
      <c r="A58" s="209" t="s">
        <v>255</v>
      </c>
      <c r="B58" s="338" t="s">
        <v>270</v>
      </c>
      <c r="C58" s="338"/>
      <c r="D58" s="338"/>
      <c r="E58" s="338"/>
      <c r="F58" s="338"/>
      <c r="G58" s="338"/>
      <c r="H58" s="338"/>
      <c r="I58" s="338"/>
      <c r="J58" s="338"/>
    </row>
    <row r="59" spans="1:14" x14ac:dyDescent="0.2">
      <c r="A59" s="213"/>
      <c r="B59" s="339"/>
      <c r="C59" s="339"/>
      <c r="D59" s="213"/>
      <c r="E59" s="339"/>
      <c r="F59" s="339"/>
      <c r="G59" s="213"/>
      <c r="H59" s="213"/>
      <c r="I59" s="213"/>
      <c r="J59" s="213"/>
    </row>
    <row r="60" spans="1:14" ht="19" x14ac:dyDescent="0.2">
      <c r="A60" s="333" t="s">
        <v>260</v>
      </c>
      <c r="B60" s="333"/>
      <c r="C60" s="333"/>
      <c r="D60" s="333"/>
      <c r="E60" s="333"/>
      <c r="F60" s="333"/>
      <c r="G60" s="333"/>
      <c r="H60" s="333"/>
      <c r="I60" s="333"/>
      <c r="J60" s="333"/>
    </row>
    <row r="61" spans="1:14" ht="79" customHeight="1" x14ac:dyDescent="0.2">
      <c r="A61" s="342" t="s">
        <v>265</v>
      </c>
      <c r="B61" s="342"/>
      <c r="C61" s="342"/>
      <c r="D61" s="342"/>
      <c r="E61" s="342"/>
      <c r="F61" s="342"/>
      <c r="G61" s="342"/>
      <c r="H61" s="342"/>
      <c r="I61" s="342"/>
      <c r="J61" s="342"/>
    </row>
    <row r="62" spans="1:14" x14ac:dyDescent="0.2">
      <c r="A62" s="208"/>
      <c r="B62" s="346" t="s">
        <v>256</v>
      </c>
      <c r="C62" s="346"/>
      <c r="D62" s="208" t="s">
        <v>174</v>
      </c>
      <c r="E62" s="346" t="s">
        <v>257</v>
      </c>
      <c r="F62" s="346"/>
      <c r="G62" s="343" t="s">
        <v>258</v>
      </c>
      <c r="H62" s="344"/>
      <c r="I62" s="344"/>
      <c r="J62" s="345"/>
    </row>
    <row r="63" spans="1:14" x14ac:dyDescent="0.2">
      <c r="A63" s="336" t="s">
        <v>255</v>
      </c>
      <c r="B63" s="355">
        <f>'conf dg'!A13</f>
        <v>20</v>
      </c>
      <c r="C63" s="355"/>
      <c r="D63" s="210" t="str">
        <f>'conf dg'!B13</f>
        <v>No Resp.</v>
      </c>
      <c r="E63" s="355" t="str">
        <f>IF('conf dg'!G13=1,"SI","NO")</f>
        <v>NO</v>
      </c>
      <c r="F63" s="355"/>
      <c r="G63" s="337" t="s">
        <v>266</v>
      </c>
      <c r="H63" s="337"/>
      <c r="I63" s="337"/>
      <c r="J63" s="337"/>
    </row>
    <row r="64" spans="1:14" x14ac:dyDescent="0.2">
      <c r="A64" s="336"/>
      <c r="B64" s="355">
        <f>'conf dg'!A14</f>
        <v>26</v>
      </c>
      <c r="C64" s="355"/>
      <c r="D64" s="210" t="str">
        <f>'conf dg'!B14</f>
        <v>No Resp.</v>
      </c>
      <c r="E64" s="355" t="str">
        <f>IF('conf dg'!G14=1,"SI","NO")</f>
        <v>NO</v>
      </c>
      <c r="F64" s="355"/>
      <c r="G64" s="337"/>
      <c r="H64" s="337"/>
      <c r="I64" s="337"/>
      <c r="J64" s="337"/>
    </row>
    <row r="65" spans="1:18" ht="16" x14ac:dyDescent="0.2">
      <c r="A65" s="336"/>
      <c r="B65" s="355">
        <f>'conf dg'!A15</f>
        <v>12</v>
      </c>
      <c r="C65" s="355"/>
      <c r="D65" s="210" t="str">
        <f>'conf dg'!B15</f>
        <v>No Resp.</v>
      </c>
      <c r="E65" s="355" t="str">
        <f>IF('conf dg'!G15=1,"SI","NO")</f>
        <v>NO</v>
      </c>
      <c r="F65" s="355"/>
      <c r="G65" s="337"/>
      <c r="H65" s="337"/>
      <c r="I65" s="337"/>
      <c r="J65" s="337"/>
      <c r="L65" s="174" t="s">
        <v>235</v>
      </c>
    </row>
    <row r="66" spans="1:18" ht="18" customHeight="1" x14ac:dyDescent="0.2">
      <c r="A66" s="336"/>
      <c r="B66" s="355">
        <f>'conf dg'!A16</f>
        <v>87</v>
      </c>
      <c r="C66" s="355"/>
      <c r="D66" s="210" t="str">
        <f>'conf dg'!B16</f>
        <v>No Resp.</v>
      </c>
      <c r="E66" s="355" t="str">
        <f>IF('conf dg'!G16=1,"SI","NO")</f>
        <v>NO</v>
      </c>
      <c r="F66" s="355"/>
      <c r="G66" s="337"/>
      <c r="H66" s="337"/>
      <c r="I66" s="337"/>
      <c r="J66" s="337"/>
      <c r="L66" s="174">
        <v>0</v>
      </c>
      <c r="M66" s="356" t="s">
        <v>236</v>
      </c>
      <c r="N66" s="356"/>
    </row>
    <row r="67" spans="1:18" s="217" customFormat="1" ht="3.5" customHeight="1" x14ac:dyDescent="0.2">
      <c r="A67" s="223"/>
      <c r="B67" s="224"/>
      <c r="C67" s="224"/>
      <c r="D67" s="213"/>
      <c r="E67" s="224"/>
      <c r="F67" s="224"/>
      <c r="G67" s="225"/>
      <c r="H67" s="225"/>
      <c r="I67" s="225"/>
      <c r="J67" s="225"/>
      <c r="L67" s="217">
        <v>1</v>
      </c>
      <c r="M67" s="368"/>
      <c r="N67" s="368"/>
      <c r="R67" s="219"/>
    </row>
    <row r="68" spans="1:18" ht="22" customHeight="1" x14ac:dyDescent="0.2">
      <c r="A68" s="333" t="s">
        <v>267</v>
      </c>
      <c r="B68" s="333"/>
      <c r="C68" s="333"/>
      <c r="D68" s="333"/>
      <c r="E68" s="333"/>
      <c r="F68" s="333"/>
      <c r="G68" s="333"/>
      <c r="H68" s="333"/>
      <c r="I68" s="333"/>
      <c r="J68" s="333"/>
      <c r="L68" s="174">
        <v>2</v>
      </c>
      <c r="M68" s="356"/>
      <c r="N68" s="356"/>
    </row>
    <row r="69" spans="1:18" ht="55" customHeight="1" x14ac:dyDescent="0.2">
      <c r="A69" s="342" t="s">
        <v>268</v>
      </c>
      <c r="B69" s="342"/>
      <c r="C69" s="342"/>
      <c r="D69" s="342"/>
      <c r="E69" s="342"/>
      <c r="F69" s="342"/>
      <c r="G69" s="342"/>
      <c r="H69" s="342"/>
      <c r="I69" s="342"/>
      <c r="J69" s="342"/>
      <c r="L69" s="174">
        <v>3</v>
      </c>
      <c r="M69" s="356"/>
      <c r="N69" s="356"/>
    </row>
    <row r="70" spans="1:18" ht="14.5" customHeight="1" x14ac:dyDescent="0.2">
      <c r="A70" s="208"/>
      <c r="B70" s="346" t="s">
        <v>256</v>
      </c>
      <c r="C70" s="346"/>
      <c r="D70" s="208" t="s">
        <v>174</v>
      </c>
      <c r="E70" s="346" t="s">
        <v>257</v>
      </c>
      <c r="F70" s="346"/>
      <c r="G70" s="343" t="s">
        <v>258</v>
      </c>
      <c r="H70" s="344"/>
      <c r="I70" s="344"/>
      <c r="J70" s="345"/>
      <c r="L70" s="174">
        <v>4</v>
      </c>
      <c r="M70" s="356"/>
      <c r="N70" s="356"/>
    </row>
    <row r="71" spans="1:18" ht="28.5" customHeight="1" x14ac:dyDescent="0.2">
      <c r="A71" s="336" t="s">
        <v>255</v>
      </c>
      <c r="B71" s="340">
        <f>'conf dg'!A21</f>
        <v>9</v>
      </c>
      <c r="C71" s="341"/>
      <c r="D71" s="210" t="str">
        <f>'conf dg'!B21</f>
        <v>No Resp.</v>
      </c>
      <c r="E71" s="340" t="str">
        <f>IF('conf dg'!G21=1,"SI","NO")</f>
        <v>NO</v>
      </c>
      <c r="F71" s="341"/>
      <c r="G71" s="337" t="s">
        <v>269</v>
      </c>
      <c r="H71" s="337"/>
      <c r="I71" s="337"/>
      <c r="J71" s="337"/>
    </row>
    <row r="72" spans="1:18" x14ac:dyDescent="0.2">
      <c r="A72" s="336"/>
      <c r="B72" s="340">
        <f>'conf dg'!A22</f>
        <v>10</v>
      </c>
      <c r="C72" s="341"/>
      <c r="D72" s="210" t="str">
        <f>'conf dg'!B22</f>
        <v>No Resp.</v>
      </c>
      <c r="E72" s="340" t="str">
        <f>IF('conf dg'!G22=1,"SI","NO")</f>
        <v>NO</v>
      </c>
      <c r="F72" s="341"/>
      <c r="G72" s="337"/>
      <c r="H72" s="337"/>
      <c r="I72" s="337"/>
      <c r="J72" s="337"/>
    </row>
    <row r="73" spans="1:18" ht="24" customHeight="1" x14ac:dyDescent="0.2">
      <c r="A73" s="209" t="s">
        <v>255</v>
      </c>
      <c r="B73" s="338" t="s">
        <v>271</v>
      </c>
      <c r="C73" s="338"/>
      <c r="D73" s="338"/>
      <c r="E73" s="338"/>
      <c r="F73" s="338"/>
      <c r="G73" s="338"/>
      <c r="H73" s="338"/>
      <c r="I73" s="338"/>
      <c r="J73" s="338"/>
    </row>
    <row r="74" spans="1:18" s="217" customFormat="1" x14ac:dyDescent="0.2">
      <c r="A74" s="214"/>
      <c r="B74" s="339"/>
      <c r="C74" s="339"/>
      <c r="D74" s="339"/>
      <c r="E74" s="339"/>
      <c r="F74" s="339"/>
      <c r="G74" s="339"/>
      <c r="H74" s="339"/>
      <c r="I74" s="339"/>
      <c r="J74" s="339"/>
      <c r="R74" s="219"/>
    </row>
    <row r="75" spans="1:18" s="217" customFormat="1" x14ac:dyDescent="0.2">
      <c r="A75" s="213"/>
      <c r="B75" s="213"/>
      <c r="C75" s="213"/>
      <c r="D75" s="213"/>
      <c r="E75" s="213"/>
      <c r="F75" s="213"/>
      <c r="G75" s="213"/>
      <c r="H75" s="213"/>
      <c r="I75" s="215"/>
      <c r="J75" s="213"/>
      <c r="R75" s="219"/>
    </row>
    <row r="76" spans="1:18" s="217" customFormat="1" x14ac:dyDescent="0.2">
      <c r="A76" s="213"/>
      <c r="B76" s="213"/>
      <c r="C76" s="213"/>
      <c r="D76" s="213"/>
      <c r="E76" s="213"/>
      <c r="F76" s="213"/>
      <c r="G76" s="213"/>
      <c r="H76" s="213"/>
      <c r="I76" s="215"/>
      <c r="J76" s="213"/>
      <c r="R76" s="219"/>
    </row>
    <row r="77" spans="1:18" ht="19" x14ac:dyDescent="0.2">
      <c r="A77" s="333" t="s">
        <v>272</v>
      </c>
      <c r="B77" s="333"/>
      <c r="C77" s="333"/>
      <c r="D77" s="333"/>
      <c r="E77" s="333"/>
      <c r="F77" s="333"/>
      <c r="G77" s="333"/>
      <c r="H77" s="333"/>
      <c r="I77" s="333"/>
      <c r="J77" s="333"/>
    </row>
    <row r="78" spans="1:18" ht="106.5" customHeight="1" x14ac:dyDescent="0.2">
      <c r="A78" s="335" t="s">
        <v>281</v>
      </c>
      <c r="B78" s="335"/>
      <c r="C78" s="335"/>
      <c r="D78" s="335"/>
      <c r="E78" s="335"/>
      <c r="F78" s="335"/>
      <c r="G78" s="335"/>
      <c r="H78" s="335"/>
      <c r="I78" s="335"/>
      <c r="J78" s="335"/>
    </row>
    <row r="79" spans="1:18" x14ac:dyDescent="0.2">
      <c r="A79" s="285" t="s">
        <v>274</v>
      </c>
      <c r="B79" s="285"/>
      <c r="C79" s="285"/>
      <c r="D79" s="285"/>
      <c r="E79" s="285"/>
      <c r="F79" s="285"/>
      <c r="G79" s="285"/>
      <c r="H79" s="285"/>
      <c r="I79" s="285"/>
      <c r="J79" s="285"/>
    </row>
    <row r="80" spans="1:18" x14ac:dyDescent="0.2">
      <c r="A80" s="213"/>
      <c r="B80" s="214" t="s">
        <v>273</v>
      </c>
      <c r="C80" s="285" t="s">
        <v>275</v>
      </c>
      <c r="D80" s="285"/>
      <c r="E80" s="285"/>
      <c r="F80" s="285"/>
      <c r="G80" s="285"/>
      <c r="H80" s="285"/>
      <c r="I80" s="285"/>
      <c r="J80" s="285"/>
    </row>
    <row r="81" spans="1:10" x14ac:dyDescent="0.2">
      <c r="A81" s="213"/>
      <c r="B81" s="214" t="s">
        <v>273</v>
      </c>
      <c r="C81" s="285" t="s">
        <v>282</v>
      </c>
      <c r="D81" s="285"/>
      <c r="E81" s="285"/>
      <c r="F81" s="285"/>
      <c r="G81" s="285"/>
      <c r="H81" s="285"/>
      <c r="I81" s="285"/>
      <c r="J81" s="285"/>
    </row>
    <row r="82" spans="1:10" x14ac:dyDescent="0.2">
      <c r="A82" s="213"/>
      <c r="B82" s="214" t="s">
        <v>273</v>
      </c>
      <c r="C82" s="285" t="s">
        <v>276</v>
      </c>
      <c r="D82" s="285"/>
      <c r="E82" s="285"/>
      <c r="F82" s="285"/>
      <c r="G82" s="285"/>
      <c r="H82" s="285"/>
      <c r="I82" s="285"/>
      <c r="J82" s="285"/>
    </row>
    <row r="83" spans="1:10" x14ac:dyDescent="0.2">
      <c r="A83" s="213"/>
      <c r="B83" s="214" t="s">
        <v>273</v>
      </c>
      <c r="C83" s="285" t="s">
        <v>277</v>
      </c>
      <c r="D83" s="285"/>
      <c r="E83" s="285"/>
      <c r="F83" s="285"/>
      <c r="G83" s="285"/>
      <c r="H83" s="285"/>
      <c r="I83" s="285"/>
      <c r="J83" s="285"/>
    </row>
    <row r="84" spans="1:10" x14ac:dyDescent="0.2">
      <c r="A84" s="213"/>
      <c r="B84" s="213"/>
      <c r="C84" s="213"/>
      <c r="D84" s="213"/>
      <c r="E84" s="213"/>
      <c r="F84" s="213"/>
      <c r="G84" s="213"/>
      <c r="H84" s="213"/>
      <c r="I84" s="215"/>
      <c r="J84" s="213"/>
    </row>
    <row r="85" spans="1:10" x14ac:dyDescent="0.2">
      <c r="A85" s="213"/>
      <c r="B85" s="213"/>
      <c r="C85" s="213"/>
      <c r="D85" s="213"/>
      <c r="E85" s="213"/>
      <c r="F85" s="213"/>
      <c r="G85" s="213"/>
      <c r="H85" s="213"/>
      <c r="I85" s="215"/>
      <c r="J85" s="213"/>
    </row>
    <row r="86" spans="1:10" x14ac:dyDescent="0.2">
      <c r="A86" s="213"/>
      <c r="B86" s="213"/>
      <c r="C86" s="213"/>
      <c r="D86" s="213"/>
      <c r="E86" s="213"/>
      <c r="F86" s="213"/>
      <c r="G86" s="213"/>
      <c r="H86" s="213"/>
      <c r="I86" s="215"/>
      <c r="J86" s="213"/>
    </row>
    <row r="87" spans="1:10" x14ac:dyDescent="0.2">
      <c r="A87" s="213"/>
      <c r="B87" s="213"/>
      <c r="C87" s="213"/>
      <c r="D87" s="213"/>
      <c r="E87" s="213"/>
      <c r="F87" s="213"/>
      <c r="G87" s="213"/>
      <c r="H87" s="213"/>
      <c r="I87" s="215"/>
      <c r="J87" s="213"/>
    </row>
    <row r="88" spans="1:10" ht="19" x14ac:dyDescent="0.2">
      <c r="A88" s="333" t="s">
        <v>279</v>
      </c>
      <c r="B88" s="333"/>
      <c r="C88" s="333"/>
      <c r="D88" s="333"/>
      <c r="E88" s="333"/>
      <c r="F88" s="333"/>
      <c r="G88" s="333"/>
      <c r="H88" s="333"/>
      <c r="I88" s="333"/>
      <c r="J88" s="333"/>
    </row>
    <row r="89" spans="1:10" ht="32" customHeight="1" x14ac:dyDescent="0.2">
      <c r="A89" s="213"/>
      <c r="B89" s="216" t="s">
        <v>273</v>
      </c>
      <c r="C89" s="332" t="s">
        <v>278</v>
      </c>
      <c r="D89" s="332"/>
      <c r="E89" s="332"/>
      <c r="F89" s="332"/>
      <c r="G89" s="332"/>
      <c r="H89" s="332"/>
      <c r="I89" s="332"/>
      <c r="J89" s="332"/>
    </row>
    <row r="90" spans="1:10" ht="51" customHeight="1" x14ac:dyDescent="0.2">
      <c r="A90" s="213"/>
      <c r="B90" s="216" t="s">
        <v>273</v>
      </c>
      <c r="C90" s="332" t="s">
        <v>283</v>
      </c>
      <c r="D90" s="332"/>
      <c r="E90" s="332"/>
      <c r="F90" s="332"/>
      <c r="G90" s="332"/>
      <c r="H90" s="332"/>
      <c r="I90" s="332"/>
      <c r="J90" s="332"/>
    </row>
    <row r="91" spans="1:10" ht="47.5" customHeight="1" x14ac:dyDescent="0.2">
      <c r="A91" s="217"/>
      <c r="B91" s="216" t="s">
        <v>273</v>
      </c>
      <c r="C91" s="332" t="s">
        <v>280</v>
      </c>
      <c r="D91" s="332"/>
      <c r="E91" s="332"/>
      <c r="F91" s="332"/>
      <c r="G91" s="332"/>
      <c r="H91" s="332"/>
      <c r="I91" s="332"/>
      <c r="J91" s="332"/>
    </row>
    <row r="92" spans="1:10" x14ac:dyDescent="0.2">
      <c r="A92" s="217"/>
      <c r="B92" s="217"/>
      <c r="C92" s="217"/>
      <c r="D92" s="217"/>
      <c r="E92" s="217"/>
      <c r="F92" s="217"/>
      <c r="G92" s="217"/>
      <c r="H92" s="217"/>
      <c r="I92" s="218"/>
      <c r="J92" s="217"/>
    </row>
    <row r="93" spans="1:10" x14ac:dyDescent="0.2">
      <c r="A93" s="217"/>
      <c r="B93" s="217"/>
      <c r="C93" s="217"/>
      <c r="D93" s="217"/>
      <c r="E93" s="217"/>
      <c r="F93" s="217"/>
      <c r="G93" s="217"/>
      <c r="H93" s="217"/>
      <c r="I93" s="218"/>
      <c r="J93" s="217"/>
    </row>
    <row r="94" spans="1:10" x14ac:dyDescent="0.2">
      <c r="A94" s="217"/>
      <c r="B94" s="217"/>
      <c r="C94" s="217"/>
      <c r="D94" s="217"/>
      <c r="E94" s="217"/>
      <c r="F94" s="217"/>
      <c r="G94" s="217"/>
      <c r="H94" s="217"/>
      <c r="I94" s="218"/>
      <c r="J94" s="217"/>
    </row>
    <row r="95" spans="1:10" x14ac:dyDescent="0.2">
      <c r="A95" s="217"/>
      <c r="B95" s="217"/>
      <c r="C95" s="217"/>
      <c r="D95" s="217"/>
      <c r="E95" s="217"/>
      <c r="F95" s="217"/>
      <c r="G95" s="217"/>
      <c r="H95" s="217"/>
      <c r="I95" s="218"/>
      <c r="J95" s="217"/>
    </row>
    <row r="96" spans="1:10" x14ac:dyDescent="0.2">
      <c r="A96" s="217"/>
      <c r="B96" s="217"/>
      <c r="C96" s="217"/>
      <c r="D96" s="217"/>
      <c r="E96" s="217"/>
      <c r="F96" s="217"/>
      <c r="G96" s="217"/>
      <c r="H96" s="217"/>
      <c r="I96" s="218"/>
      <c r="J96" s="217"/>
    </row>
    <row r="97" spans="1:10" x14ac:dyDescent="0.2">
      <c r="A97" s="217"/>
      <c r="B97" s="217"/>
      <c r="C97" s="217"/>
      <c r="D97" s="217"/>
      <c r="E97" s="217"/>
      <c r="F97" s="217"/>
      <c r="G97" s="217"/>
      <c r="H97" s="217"/>
      <c r="I97" s="218"/>
      <c r="J97" s="217"/>
    </row>
    <row r="98" spans="1:10" x14ac:dyDescent="0.2">
      <c r="A98" s="217"/>
      <c r="B98" s="217"/>
      <c r="C98" s="217"/>
      <c r="D98" s="217"/>
      <c r="E98" s="217"/>
      <c r="F98" s="217"/>
      <c r="G98" s="217"/>
      <c r="H98" s="217"/>
      <c r="I98" s="218"/>
      <c r="J98" s="217"/>
    </row>
    <row r="99" spans="1:10" x14ac:dyDescent="0.2">
      <c r="A99" s="217"/>
      <c r="B99" s="217"/>
      <c r="C99" s="217"/>
      <c r="D99" s="217"/>
      <c r="E99" s="217"/>
      <c r="F99" s="217"/>
      <c r="G99" s="217"/>
      <c r="H99" s="217"/>
      <c r="I99" s="218"/>
      <c r="J99" s="217"/>
    </row>
  </sheetData>
  <sheetProtection algorithmName="SHA-512" hashValue="Jobp4I4Lxn5Re8trepOM4LbPLwNWUpd1AgxbAVQsiJVYd0ng1Z+3EHHJSpOnyUfYbqfWsNo0uGB9LjhbFGD7CA==" saltValue="b9C88wulIMk8wMiyXKKImw==" spinCount="100000" sheet="1" scenarios="1" formatColumns="0" formatRows="0"/>
  <mergeCells count="110">
    <mergeCell ref="A1:J1"/>
    <mergeCell ref="B4:H4"/>
    <mergeCell ref="B8:H8"/>
    <mergeCell ref="A12:H12"/>
    <mergeCell ref="H18:I18"/>
    <mergeCell ref="A19:I19"/>
    <mergeCell ref="A27:I27"/>
    <mergeCell ref="A34:I34"/>
    <mergeCell ref="B9:H9"/>
    <mergeCell ref="A4:A9"/>
    <mergeCell ref="B5:I5"/>
    <mergeCell ref="C22:H22"/>
    <mergeCell ref="C23:H23"/>
    <mergeCell ref="C24:H24"/>
    <mergeCell ref="C25:H25"/>
    <mergeCell ref="C28:H28"/>
    <mergeCell ref="C29:H29"/>
    <mergeCell ref="A43:J43"/>
    <mergeCell ref="M66:N66"/>
    <mergeCell ref="M67:N67"/>
    <mergeCell ref="B35:H35"/>
    <mergeCell ref="B36:H36"/>
    <mergeCell ref="B37:H37"/>
    <mergeCell ref="B38:H38"/>
    <mergeCell ref="B39:H39"/>
    <mergeCell ref="B40:H40"/>
    <mergeCell ref="B52:C52"/>
    <mergeCell ref="G51:J51"/>
    <mergeCell ref="A60:J60"/>
    <mergeCell ref="A61:J61"/>
    <mergeCell ref="B57:C57"/>
    <mergeCell ref="E57:F57"/>
    <mergeCell ref="G53:J54"/>
    <mergeCell ref="G52:J52"/>
    <mergeCell ref="G55:J55"/>
    <mergeCell ref="A50:J50"/>
    <mergeCell ref="B53:C53"/>
    <mergeCell ref="B54:C54"/>
    <mergeCell ref="B55:C55"/>
    <mergeCell ref="E51:F51"/>
    <mergeCell ref="E52:F52"/>
    <mergeCell ref="M68:N68"/>
    <mergeCell ref="M69:N69"/>
    <mergeCell ref="M70:N70"/>
    <mergeCell ref="A42:J42"/>
    <mergeCell ref="A45:J45"/>
    <mergeCell ref="A46:J46"/>
    <mergeCell ref="A47:J47"/>
    <mergeCell ref="A49:J49"/>
    <mergeCell ref="B6:H6"/>
    <mergeCell ref="B7:H7"/>
    <mergeCell ref="C13:H13"/>
    <mergeCell ref="C14:H14"/>
    <mergeCell ref="C15:H15"/>
    <mergeCell ref="C16:H16"/>
    <mergeCell ref="C20:H20"/>
    <mergeCell ref="C21:H21"/>
    <mergeCell ref="B59:C59"/>
    <mergeCell ref="E59:F59"/>
    <mergeCell ref="B56:C56"/>
    <mergeCell ref="E56:F56"/>
    <mergeCell ref="C30:H30"/>
    <mergeCell ref="C31:H31"/>
    <mergeCell ref="C32:H32"/>
    <mergeCell ref="B51:C51"/>
    <mergeCell ref="A53:A54"/>
    <mergeCell ref="A56:A57"/>
    <mergeCell ref="G56:J57"/>
    <mergeCell ref="E70:F70"/>
    <mergeCell ref="B71:C71"/>
    <mergeCell ref="B66:C66"/>
    <mergeCell ref="E66:F66"/>
    <mergeCell ref="A63:A66"/>
    <mergeCell ref="B64:C64"/>
    <mergeCell ref="E64:F64"/>
    <mergeCell ref="B65:C65"/>
    <mergeCell ref="E65:F65"/>
    <mergeCell ref="E53:F53"/>
    <mergeCell ref="E54:F54"/>
    <mergeCell ref="E55:F55"/>
    <mergeCell ref="G63:J66"/>
    <mergeCell ref="B62:C62"/>
    <mergeCell ref="E62:F62"/>
    <mergeCell ref="G62:J62"/>
    <mergeCell ref="B63:C63"/>
    <mergeCell ref="E63:F63"/>
    <mergeCell ref="C90:J90"/>
    <mergeCell ref="C91:J91"/>
    <mergeCell ref="A88:J88"/>
    <mergeCell ref="B17:H17"/>
    <mergeCell ref="A79:J79"/>
    <mergeCell ref="C89:J89"/>
    <mergeCell ref="C80:J80"/>
    <mergeCell ref="C81:J81"/>
    <mergeCell ref="C82:J82"/>
    <mergeCell ref="C83:J83"/>
    <mergeCell ref="A77:J77"/>
    <mergeCell ref="A78:J78"/>
    <mergeCell ref="A71:A72"/>
    <mergeCell ref="G71:J72"/>
    <mergeCell ref="B58:J58"/>
    <mergeCell ref="B73:J73"/>
    <mergeCell ref="B74:J74"/>
    <mergeCell ref="E71:F71"/>
    <mergeCell ref="B72:C72"/>
    <mergeCell ref="E72:F72"/>
    <mergeCell ref="A69:J69"/>
    <mergeCell ref="G70:J70"/>
    <mergeCell ref="A68:J68"/>
    <mergeCell ref="B70:C70"/>
  </mergeCells>
  <conditionalFormatting sqref="E52:F57">
    <cfRule type="cellIs" dxfId="2" priority="5" operator="equal">
      <formula>"SI"</formula>
    </cfRule>
  </conditionalFormatting>
  <conditionalFormatting sqref="E63:F67">
    <cfRule type="cellIs" dxfId="1" priority="3" operator="equal">
      <formula>"SI"</formula>
    </cfRule>
  </conditionalFormatting>
  <conditionalFormatting sqref="E71:F72">
    <cfRule type="cellIs" dxfId="0" priority="2" operator="equal">
      <formula>"SI"</formula>
    </cfRule>
  </conditionalFormatting>
  <printOptions horizontalCentered="1"/>
  <pageMargins left="0.70866141732283472" right="0.70866141732283472" top="0.94433070866141733" bottom="0" header="0.31496062992125984" footer="0.31496062992125984"/>
  <pageSetup paperSize="9" scale="95" orientation="portrait" horizontalDpi="1200" verticalDpi="1200" r:id="rId1"/>
  <rowBreaks count="3" manualBreakCount="3">
    <brk id="41" max="16383" man="1"/>
    <brk id="67" max="16383" man="1"/>
    <brk id="7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4483C-6295-49A9-9210-22C5E0B5A44C}">
  <dimension ref="A1:V31"/>
  <sheetViews>
    <sheetView workbookViewId="0">
      <selection activeCell="P25" sqref="P25"/>
    </sheetView>
  </sheetViews>
  <sheetFormatPr baseColWidth="10" defaultRowHeight="15" x14ac:dyDescent="0.2"/>
  <cols>
    <col min="1" max="1" width="27.83203125" customWidth="1"/>
    <col min="3" max="6" width="4" customWidth="1"/>
    <col min="7" max="7" width="11.1640625" bestFit="1" customWidth="1"/>
    <col min="16" max="16" width="11.1640625" bestFit="1" customWidth="1"/>
    <col min="19" max="21" width="4" customWidth="1"/>
  </cols>
  <sheetData>
    <row r="1" spans="1:22" x14ac:dyDescent="0.2">
      <c r="A1" t="s">
        <v>237</v>
      </c>
      <c r="C1" t="s">
        <v>238</v>
      </c>
      <c r="G1" t="s">
        <v>199</v>
      </c>
      <c r="L1" t="s">
        <v>246</v>
      </c>
      <c r="N1" t="s">
        <v>247</v>
      </c>
      <c r="O1" t="s">
        <v>248</v>
      </c>
    </row>
    <row r="2" spans="1:22" x14ac:dyDescent="0.2">
      <c r="A2">
        <v>21</v>
      </c>
      <c r="B2" t="str">
        <f>IF(INGRESO!C10="","No Resp.",S6)</f>
        <v>No Resp.</v>
      </c>
      <c r="C2">
        <v>1</v>
      </c>
      <c r="D2">
        <v>2</v>
      </c>
      <c r="G2" t="str">
        <f>IF(INGRESO!C10="","No Resp.",IF(OR(B2=C2,B2=D2),1,0))</f>
        <v>No Resp.</v>
      </c>
      <c r="J2" t="s">
        <v>223</v>
      </c>
      <c r="K2" s="1">
        <f>RESUMEN!I4</f>
        <v>0</v>
      </c>
      <c r="L2" s="1">
        <f>RESUMEN!J4</f>
        <v>10</v>
      </c>
      <c r="M2">
        <f>IF(K2=9,1,0)</f>
        <v>0</v>
      </c>
      <c r="N2">
        <f>IF(K2&gt;=L2,1,0)</f>
        <v>0</v>
      </c>
      <c r="O2" s="1">
        <f>N2</f>
        <v>0</v>
      </c>
      <c r="P2" t="str">
        <f>IF(O2&gt;0,"A","")</f>
        <v/>
      </c>
    </row>
    <row r="3" spans="1:22" x14ac:dyDescent="0.2">
      <c r="A3">
        <v>20</v>
      </c>
      <c r="B3" t="str">
        <f>IF(INGRESO!C9="","No Resp.",S5)</f>
        <v>No Resp.</v>
      </c>
      <c r="C3">
        <v>2</v>
      </c>
      <c r="G3" t="str">
        <f>IF(INGRESO!C9="","No Resp.",IF(B3=C3,1,0))</f>
        <v>No Resp.</v>
      </c>
      <c r="J3" t="s">
        <v>231</v>
      </c>
      <c r="K3" s="1">
        <f>RESUMEN!I6</f>
        <v>0</v>
      </c>
      <c r="L3" s="1">
        <f>RESUMEN!J6</f>
        <v>8</v>
      </c>
      <c r="M3">
        <f>IF(K3=7,1,0)</f>
        <v>0</v>
      </c>
      <c r="N3">
        <f t="shared" ref="N3:N5" si="0">IF(K3&gt;=L3,1,0)</f>
        <v>0</v>
      </c>
      <c r="O3" s="234">
        <f>IF(elemento30=0,N3,N4)</f>
        <v>0</v>
      </c>
      <c r="P3" t="str">
        <f>IF(O3&gt;0,"B","")</f>
        <v/>
      </c>
    </row>
    <row r="4" spans="1:22" x14ac:dyDescent="0.2">
      <c r="A4">
        <v>28</v>
      </c>
      <c r="B4" t="str">
        <f>IF(INGRESO!C12="","No Resp.",V8)</f>
        <v>No Resp.</v>
      </c>
      <c r="C4">
        <v>993</v>
      </c>
      <c r="D4">
        <v>994</v>
      </c>
      <c r="G4" t="str">
        <f>IF(INGRESO!E12="","No Resp.",IF(OR(B4=C4,B4=D4),1,0))</f>
        <v>No Resp.</v>
      </c>
      <c r="J4" t="s">
        <v>232</v>
      </c>
      <c r="K4" s="1">
        <f>RESUMEN!I7</f>
        <v>0</v>
      </c>
      <c r="L4" s="1">
        <f>RESUMEN!J7</f>
        <v>7</v>
      </c>
      <c r="M4">
        <f>IF(K4=6,1,0)</f>
        <v>0</v>
      </c>
      <c r="N4">
        <f t="shared" si="0"/>
        <v>0</v>
      </c>
      <c r="O4" s="234"/>
      <c r="R4">
        <f>12</f>
        <v>12</v>
      </c>
      <c r="S4" s="111">
        <f>INGRESO!C8</f>
        <v>0</v>
      </c>
    </row>
    <row r="5" spans="1:22" x14ac:dyDescent="0.2">
      <c r="A5">
        <v>79</v>
      </c>
      <c r="B5" t="str">
        <f>IF(INGRESO!C57="","No Resp.",V9)</f>
        <v>No Resp.</v>
      </c>
      <c r="C5">
        <v>1</v>
      </c>
      <c r="D5">
        <v>2</v>
      </c>
      <c r="G5" t="str">
        <f>IF(INGRESO!E57="","No Resp.",IF(OR(B5=C5,B5=D5),1,0))</f>
        <v>No Resp.</v>
      </c>
      <c r="J5" t="s">
        <v>225</v>
      </c>
      <c r="K5" s="1">
        <f>RESUMEN!I8</f>
        <v>0</v>
      </c>
      <c r="L5" s="1">
        <f>RESUMEN!J8</f>
        <v>3</v>
      </c>
      <c r="M5">
        <f>IF(K5=7,1,0)</f>
        <v>0</v>
      </c>
      <c r="N5">
        <f t="shared" si="0"/>
        <v>0</v>
      </c>
      <c r="O5" s="1">
        <f>N5</f>
        <v>0</v>
      </c>
      <c r="P5" t="str">
        <f>IF(O5&gt;0,"C","")</f>
        <v/>
      </c>
      <c r="R5">
        <v>20</v>
      </c>
      <c r="S5" s="111">
        <f>INGRESO!C9</f>
        <v>0</v>
      </c>
    </row>
    <row r="6" spans="1:22" x14ac:dyDescent="0.2">
      <c r="A6" s="124">
        <v>84</v>
      </c>
      <c r="B6" s="124" t="str">
        <f>IF(INGRESO!C59="","No Resp.",V10)</f>
        <v>No Resp.</v>
      </c>
      <c r="C6" s="124">
        <v>1</v>
      </c>
      <c r="D6" s="124">
        <v>2</v>
      </c>
      <c r="G6" t="str">
        <f>IF(INGRESO!E59="","No Resp.",IF(OR(B6=C6,B6=D6),1,0))</f>
        <v>No Resp.</v>
      </c>
      <c r="N6" s="126" t="s">
        <v>247</v>
      </c>
      <c r="O6" s="125">
        <f>SUM(O2:O5)</f>
        <v>0</v>
      </c>
      <c r="R6">
        <v>21</v>
      </c>
      <c r="S6" s="111">
        <f>INGRESO!C10</f>
        <v>0</v>
      </c>
    </row>
    <row r="7" spans="1:22" x14ac:dyDescent="0.2">
      <c r="A7" s="124">
        <v>85</v>
      </c>
      <c r="B7" s="124" t="str">
        <f>IF(INGRESO!C60="","NoResp.",V11)</f>
        <v>NoResp.</v>
      </c>
      <c r="C7" s="124">
        <v>1</v>
      </c>
      <c r="D7" s="124">
        <v>2</v>
      </c>
      <c r="G7" t="str">
        <f>IF(INGRESO!C60="","NoResp.",IF(OR(B7=C7,B7=D7),1,0))</f>
        <v>NoResp.</v>
      </c>
      <c r="N7" s="126" t="s">
        <v>249</v>
      </c>
      <c r="O7" s="127">
        <f>SUM(O2,O3,O5,M2,M5,IF(elemento30=0,M3,M4))</f>
        <v>0</v>
      </c>
      <c r="R7">
        <v>26</v>
      </c>
      <c r="S7">
        <f>INGRESO!C11</f>
        <v>0</v>
      </c>
      <c r="T7">
        <f>INGRESO!D11</f>
        <v>0</v>
      </c>
      <c r="U7">
        <f>INGRESO!E11</f>
        <v>0</v>
      </c>
      <c r="V7" s="111">
        <f>(S7*100)+(T7*10)+U7</f>
        <v>0</v>
      </c>
    </row>
    <row r="8" spans="1:22" x14ac:dyDescent="0.2">
      <c r="A8" t="s">
        <v>253</v>
      </c>
      <c r="R8">
        <v>28</v>
      </c>
      <c r="S8">
        <f>INGRESO!C12</f>
        <v>0</v>
      </c>
      <c r="T8">
        <f>INGRESO!D12</f>
        <v>0</v>
      </c>
      <c r="U8">
        <f>INGRESO!E12</f>
        <v>0</v>
      </c>
      <c r="V8" s="111">
        <f t="shared" ref="V8" si="1">(S8*100)+(T8*10)+U8</f>
        <v>0</v>
      </c>
    </row>
    <row r="9" spans="1:22" x14ac:dyDescent="0.2">
      <c r="R9">
        <v>79</v>
      </c>
      <c r="S9">
        <f>INGRESO!C57</f>
        <v>0</v>
      </c>
      <c r="T9" s="212" t="s">
        <v>294</v>
      </c>
      <c r="U9" s="212" t="s">
        <v>294</v>
      </c>
      <c r="V9" s="111">
        <f>S9</f>
        <v>0</v>
      </c>
    </row>
    <row r="10" spans="1:22" x14ac:dyDescent="0.2">
      <c r="R10">
        <v>84</v>
      </c>
      <c r="S10">
        <f>INGRESO!C59</f>
        <v>0</v>
      </c>
      <c r="T10" s="212" t="s">
        <v>294</v>
      </c>
      <c r="U10" s="212" t="s">
        <v>294</v>
      </c>
      <c r="V10" s="111">
        <f>S10</f>
        <v>0</v>
      </c>
    </row>
    <row r="11" spans="1:22" x14ac:dyDescent="0.2">
      <c r="R11">
        <v>85</v>
      </c>
      <c r="S11" s="212" t="s">
        <v>294</v>
      </c>
      <c r="T11" s="212" t="s">
        <v>294</v>
      </c>
      <c r="U11">
        <f>INGRESO!C60</f>
        <v>0</v>
      </c>
      <c r="V11" s="111">
        <f>U11</f>
        <v>0</v>
      </c>
    </row>
    <row r="12" spans="1:22" x14ac:dyDescent="0.2">
      <c r="A12" t="s">
        <v>239</v>
      </c>
      <c r="B12" t="s">
        <v>251</v>
      </c>
    </row>
    <row r="13" spans="1:22" x14ac:dyDescent="0.2">
      <c r="A13">
        <v>20</v>
      </c>
      <c r="B13" t="str">
        <f>IF(INGRESO!C9="","No Resp.",S5)</f>
        <v>No Resp.</v>
      </c>
      <c r="C13">
        <v>2</v>
      </c>
      <c r="G13" t="str">
        <f>IF(INGRESO!C9="","No Resp.",IF(B13=C13,1,0))</f>
        <v>No Resp.</v>
      </c>
    </row>
    <row r="14" spans="1:22" x14ac:dyDescent="0.2">
      <c r="A14">
        <v>26</v>
      </c>
      <c r="B14" t="str">
        <f>IF(INGRESO!C11="","No Resp.",V7)</f>
        <v>No Resp.</v>
      </c>
      <c r="C14" t="s">
        <v>240</v>
      </c>
      <c r="G14" t="str">
        <f>IF(INGRESO!E11="","No Resp.",IF(B14&gt;24,1,0))</f>
        <v>No Resp.</v>
      </c>
    </row>
    <row r="15" spans="1:22" x14ac:dyDescent="0.2">
      <c r="A15">
        <v>12</v>
      </c>
      <c r="B15" t="str">
        <f>IF(INGRESO!C8="","No Resp.",S4)</f>
        <v>No Resp.</v>
      </c>
      <c r="C15">
        <v>0</v>
      </c>
      <c r="G15" t="str">
        <f>IF(INGRESO!C8="","No Resp.",IF(B15=C15,1,0))</f>
        <v>No Resp.</v>
      </c>
    </row>
    <row r="16" spans="1:22" x14ac:dyDescent="0.2">
      <c r="A16">
        <v>87</v>
      </c>
      <c r="B16" t="str">
        <f>IF(INGRESO!C62="","No Resp.",D!X15)</f>
        <v>No Resp.</v>
      </c>
      <c r="C16" t="s">
        <v>240</v>
      </c>
      <c r="G16" t="str">
        <f>IF(INGRESO!E62="","No Resp.",IF(B16&gt;24,1,0))</f>
        <v>No Resp.</v>
      </c>
    </row>
    <row r="20" spans="1:7" x14ac:dyDescent="0.2">
      <c r="A20" t="s">
        <v>241</v>
      </c>
    </row>
    <row r="21" spans="1:7" x14ac:dyDescent="0.2">
      <c r="A21">
        <v>9</v>
      </c>
      <c r="B21" t="str">
        <f>IF(INGRESO!C6="","No Resp.",D!X9)</f>
        <v>No Resp.</v>
      </c>
      <c r="C21" t="s">
        <v>242</v>
      </c>
      <c r="G21" t="str">
        <f>IF(INGRESO!E6="","No Resp.",IF(B21&lt;24,1,0))</f>
        <v>No Resp.</v>
      </c>
    </row>
    <row r="22" spans="1:7" x14ac:dyDescent="0.2">
      <c r="A22">
        <v>10</v>
      </c>
      <c r="B22" t="str">
        <f>IF(INGRESO!C7="","No Resp.",D!X11)</f>
        <v>No Resp.</v>
      </c>
      <c r="C22" t="s">
        <v>243</v>
      </c>
      <c r="G22" t="str">
        <f>IF(INGRESO!E7="","No Resp.",IF(B22&lt;33,1,0))</f>
        <v>No Resp.</v>
      </c>
    </row>
    <row r="23" spans="1:7" x14ac:dyDescent="0.2">
      <c r="A23" t="s">
        <v>244</v>
      </c>
    </row>
    <row r="24" spans="1:7" x14ac:dyDescent="0.2">
      <c r="A24" t="s">
        <v>245</v>
      </c>
    </row>
    <row r="29" spans="1:7" x14ac:dyDescent="0.2">
      <c r="A29" t="s">
        <v>293</v>
      </c>
      <c r="B29">
        <v>0</v>
      </c>
      <c r="C29">
        <v>1</v>
      </c>
      <c r="D29">
        <v>2</v>
      </c>
      <c r="E29">
        <v>8</v>
      </c>
      <c r="F29">
        <v>9</v>
      </c>
    </row>
    <row r="30" spans="1:7" x14ac:dyDescent="0.2">
      <c r="A30" t="s">
        <v>292</v>
      </c>
      <c r="B30">
        <v>0</v>
      </c>
      <c r="C30">
        <v>1</v>
      </c>
      <c r="D30">
        <v>2</v>
      </c>
      <c r="E30">
        <v>9</v>
      </c>
    </row>
    <row r="31" spans="1:7" x14ac:dyDescent="0.2">
      <c r="A31" t="s">
        <v>291</v>
      </c>
      <c r="B31">
        <v>0</v>
      </c>
      <c r="C31">
        <v>1</v>
      </c>
      <c r="D31">
        <v>2</v>
      </c>
      <c r="E31">
        <v>7</v>
      </c>
      <c r="F31">
        <v>9</v>
      </c>
    </row>
  </sheetData>
  <mergeCells count="1">
    <mergeCell ref="O3:O4"/>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P1</vt:lpstr>
      <vt:lpstr>A</vt:lpstr>
      <vt:lpstr>B</vt:lpstr>
      <vt:lpstr>C</vt:lpstr>
      <vt:lpstr>D</vt:lpstr>
      <vt:lpstr>CP</vt:lpstr>
      <vt:lpstr>INGRESO</vt:lpstr>
      <vt:lpstr>RESUMEN</vt:lpstr>
      <vt:lpstr>conf dg</vt:lpstr>
      <vt:lpstr>_0_1_2</vt:lpstr>
      <vt:lpstr>_0_1_2_3_7_8_9</vt:lpstr>
      <vt:lpstr>_0_1_2_3_8_9</vt:lpstr>
      <vt:lpstr>_0_1_2_8_9</vt:lpstr>
      <vt:lpstr>algoritmo</vt:lpstr>
      <vt:lpstr>COD</vt:lpstr>
      <vt:lpstr>elemento30</vt:lpstr>
      <vt:lpstr>PUNT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Castillo Pizarro</dc:creator>
  <cp:lastModifiedBy>Ángel Reverol</cp:lastModifiedBy>
  <cp:lastPrinted>2023-10-28T19:11:34Z</cp:lastPrinted>
  <dcterms:created xsi:type="dcterms:W3CDTF">2022-10-14T18:05:11Z</dcterms:created>
  <dcterms:modified xsi:type="dcterms:W3CDTF">2024-07-10T17:05:07Z</dcterms:modified>
</cp:coreProperties>
</file>