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docs.live.net/fa99f81886292ca9/Documents/"/>
    </mc:Choice>
  </mc:AlternateContent>
  <xr:revisionPtr revIDLastSave="96" documentId="8_{62A38073-C02C-4650-92C4-EC07F843442A}" xr6:coauthVersionLast="47" xr6:coauthVersionMax="47" xr10:uidLastSave="{EA9655CC-C0CC-4149-9B72-6182A491855C}"/>
  <bookViews>
    <workbookView xWindow="-103" yWindow="-103" windowWidth="22149" windowHeight="13200" tabRatio="854" firstSheet="3" activeTab="4" xr2:uid="{702E4412-FA78-4E02-9E3C-B03417276F62}"/>
  </bookViews>
  <sheets>
    <sheet name="Master Input" sheetId="1" state="hidden" r:id="rId1"/>
    <sheet name="EV Input" sheetId="34" state="hidden" r:id="rId2"/>
    <sheet name="EV Charging Stations" sheetId="35" state="hidden" r:id="rId3"/>
    <sheet name="Solar Input" sheetId="31" r:id="rId4"/>
    <sheet name="Residential Solar" sheetId="30" r:id="rId5"/>
    <sheet name="Commercial Solar" sheetId="26" r:id="rId6"/>
  </sheets>
  <externalReferences>
    <externalReference r:id="rId7"/>
  </externalReferences>
  <definedNames>
    <definedName name="ActualNumberOfPayments">IFERROR(IF(LoanIsGood,IF(PaymentsPerYear=1,1,MATCH(0.01,End_Bal,-1)+1)),"")</definedName>
    <definedName name="actualnumberofpayments2">IFERROR(IF(LoanisGood2,IF(paymentsperyear2=1,1,MATCH(0.01,endbal2,-1)+1)),"")</definedName>
    <definedName name="End_Bal">[1]!PaymentSchedule[ENDING BALANCE]</definedName>
    <definedName name="endbal2">[1]!PaymentSchedule[ENDING BALANCE]</definedName>
    <definedName name="extrapaymenst2">#REF!</definedName>
    <definedName name="ExtraPayments">#REF!</definedName>
    <definedName name="InterestRate">#REF!</definedName>
    <definedName name="interestrate2">#REF!</definedName>
    <definedName name="LoanAmount">#REF!</definedName>
    <definedName name="loanamount2">#REF!</definedName>
    <definedName name="LoanIsGood">(#REF!*#REF!*#REF!*#REF!)&gt;0</definedName>
    <definedName name="LoanisGood2">(#REF!*#REF!*#REF!*#REF!)&gt;0</definedName>
    <definedName name="LoanPeriod">#REF!</definedName>
    <definedName name="loanperiod2">#REF!</definedName>
    <definedName name="LoanStartDate">#REF!</definedName>
    <definedName name="loanstartdate2">#REF!</definedName>
    <definedName name="PaymentsPerYear">#REF!</definedName>
    <definedName name="paymentsperyear2">#REF!</definedName>
    <definedName name="_xlnm.Print_Area" localSheetId="5">'Commercial Solar'!$A$1:$J$131</definedName>
    <definedName name="_xlnm.Print_Area" localSheetId="2">'EV Charging Stations'!$B$1:$J$90</definedName>
    <definedName name="_xlnm.Print_Area" localSheetId="4">'Residential Solar'!$A$1:$J$212</definedName>
    <definedName name="ScheduledNumberOfPayments">#REF!</definedName>
    <definedName name="schedulednumberofpayments2">#REF!</definedName>
    <definedName name="ScheduledPayment">#REF!</definedName>
    <definedName name="scheduledpayment2">#REF!</definedName>
    <definedName name="TotalEarlyPayments">SUM([1]!PaymentSchedule[EXTRA PAYMENT])</definedName>
    <definedName name="totalearlypayments2">SUM([1]!PaymentSchedule[EXTRA PAYMENT])</definedName>
    <definedName name="TotalInterest">SUM([1]!PaymentSchedule[INTEREST])</definedName>
    <definedName name="totalinterest2">SUM([1]!PaymentSchedule[INTEREST])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18" i="1"/>
  <c r="B156" i="1"/>
  <c r="I15" i="35"/>
  <c r="I13" i="35"/>
  <c r="C16" i="35"/>
  <c r="C15" i="35"/>
  <c r="C13" i="35"/>
  <c r="C89" i="30" l="1"/>
  <c r="G90" i="30"/>
  <c r="B158" i="1"/>
  <c r="B59" i="35" s="1"/>
  <c r="B160" i="1"/>
  <c r="B78" i="35" s="1"/>
  <c r="B180" i="1"/>
  <c r="B179" i="1"/>
  <c r="B178" i="1"/>
  <c r="B161" i="1"/>
  <c r="B57" i="35" s="1"/>
  <c r="B155" i="1"/>
  <c r="B154" i="1"/>
  <c r="B157" i="1"/>
  <c r="B14" i="1"/>
  <c r="D152" i="34"/>
  <c r="E152" i="34" s="1"/>
  <c r="D155" i="31"/>
  <c r="E155" i="31" s="1"/>
  <c r="D155" i="35"/>
  <c r="E155" i="35" s="1"/>
  <c r="D5" i="31"/>
  <c r="G5" i="31" s="1"/>
  <c r="G8" i="31" s="1"/>
  <c r="D2" i="1"/>
  <c r="B15" i="1"/>
  <c r="B12" i="1"/>
  <c r="B11" i="1"/>
  <c r="B10" i="1"/>
  <c r="B9" i="1"/>
  <c r="B8" i="1"/>
  <c r="B7" i="1"/>
  <c r="B6" i="1"/>
  <c r="B5" i="1"/>
  <c r="B4" i="1"/>
  <c r="I13" i="26" s="1"/>
  <c r="B3" i="1"/>
  <c r="C16" i="26" s="1"/>
  <c r="B2" i="1"/>
  <c r="C15" i="26" s="1"/>
  <c r="B1" i="1"/>
  <c r="C13" i="26" s="1"/>
  <c r="B55" i="35" l="1"/>
  <c r="D155" i="1"/>
  <c r="E155" i="1" s="1"/>
  <c r="B172" i="1"/>
  <c r="D154" i="1"/>
  <c r="E154" i="1" s="1"/>
  <c r="B56" i="35"/>
  <c r="C15" i="30"/>
  <c r="C14" i="30"/>
  <c r="I14" i="30"/>
  <c r="I12" i="30"/>
  <c r="C12" i="30"/>
  <c r="P154" i="1"/>
  <c r="C161" i="1"/>
  <c r="B173" i="1"/>
  <c r="B58" i="35"/>
  <c r="B54" i="35"/>
  <c r="I15" i="26"/>
  <c r="G13" i="31"/>
  <c r="B174" i="1" l="1"/>
  <c r="B177" i="1" s="1"/>
  <c r="B175" i="1"/>
  <c r="F154" i="1"/>
  <c r="D159" i="1"/>
  <c r="B170" i="1" s="1"/>
  <c r="B83" i="35" s="1"/>
  <c r="B176" i="1"/>
  <c r="H154" i="1" l="1"/>
  <c r="I154" i="1" s="1"/>
  <c r="G154" i="1"/>
  <c r="B181" i="1"/>
  <c r="B163" i="1" s="1"/>
  <c r="E4" i="34" s="1"/>
  <c r="B38" i="1"/>
  <c r="D140" i="30"/>
  <c r="H131" i="30"/>
  <c r="B90" i="30"/>
  <c r="B89" i="30"/>
  <c r="B16" i="1"/>
  <c r="D60" i="26" s="1"/>
  <c r="H155" i="1" l="1"/>
  <c r="E10" i="34" s="1"/>
  <c r="G159" i="1"/>
  <c r="G155" i="1"/>
  <c r="B79" i="35"/>
  <c r="B164" i="1"/>
  <c r="B169" i="1"/>
  <c r="B82" i="35" s="1"/>
  <c r="B74" i="35"/>
  <c r="J154" i="1"/>
  <c r="I155" i="1"/>
  <c r="B92" i="30"/>
  <c r="G96" i="30" s="1"/>
  <c r="D137" i="30"/>
  <c r="B91" i="30"/>
  <c r="C138" i="1"/>
  <c r="C137" i="1"/>
  <c r="C139" i="1"/>
  <c r="C136" i="1"/>
  <c r="C135" i="1"/>
  <c r="B156" i="30" l="1"/>
  <c r="B158" i="30"/>
  <c r="B157" i="30"/>
  <c r="B75" i="35"/>
  <c r="E5" i="34"/>
  <c r="B165" i="1"/>
  <c r="E6" i="34" s="1"/>
  <c r="K154" i="1"/>
  <c r="J155" i="1"/>
  <c r="M158" i="1"/>
  <c r="G106" i="30"/>
  <c r="G101" i="30"/>
  <c r="D58" i="26"/>
  <c r="D57" i="26"/>
  <c r="B76" i="35" l="1"/>
  <c r="B168" i="1"/>
  <c r="L154" i="1"/>
  <c r="K155" i="1"/>
  <c r="B57" i="1"/>
  <c r="O155" i="1" l="1"/>
  <c r="N158" i="1" s="1"/>
  <c r="B167" i="1" s="1"/>
  <c r="B81" i="35"/>
  <c r="E7" i="34"/>
  <c r="L155" i="1"/>
  <c r="M154" i="1"/>
  <c r="N154" i="1" s="1"/>
  <c r="H57" i="1"/>
  <c r="H61" i="1" s="1"/>
  <c r="G57" i="1"/>
  <c r="G61" i="1" s="1"/>
  <c r="F57" i="1"/>
  <c r="F61" i="1" s="1"/>
  <c r="E57" i="1"/>
  <c r="E61" i="1" s="1"/>
  <c r="D57" i="1"/>
  <c r="D61" i="1" s="1"/>
  <c r="C57" i="1"/>
  <c r="C61" i="1" s="1"/>
  <c r="J57" i="1"/>
  <c r="J61" i="1" s="1"/>
  <c r="N57" i="1"/>
  <c r="N61" i="1" s="1"/>
  <c r="M57" i="1"/>
  <c r="M61" i="1" s="1"/>
  <c r="L57" i="1"/>
  <c r="L61" i="1" s="1"/>
  <c r="K57" i="1"/>
  <c r="K61" i="1" s="1"/>
  <c r="I57" i="1"/>
  <c r="I61" i="1" s="1"/>
  <c r="D22" i="1"/>
  <c r="H23" i="1" s="1"/>
  <c r="E8" i="34" l="1"/>
  <c r="B77" i="35"/>
  <c r="B80" i="35"/>
  <c r="E11" i="34"/>
  <c r="D59" i="26"/>
  <c r="B34" i="1"/>
  <c r="D23" i="1"/>
  <c r="D24" i="1" s="1"/>
  <c r="H24" i="1" s="1"/>
  <c r="F24" i="1" s="1"/>
  <c r="B20" i="1"/>
  <c r="D15" i="31" s="1"/>
  <c r="B17" i="1"/>
  <c r="H129" i="30" l="1"/>
  <c r="H50" i="26"/>
  <c r="D143" i="30"/>
  <c r="D136" i="30"/>
  <c r="D150" i="30" s="1"/>
  <c r="E16" i="1"/>
  <c r="D16" i="1"/>
  <c r="B145" i="1"/>
  <c r="C146" i="1" s="1"/>
  <c r="B144" i="1"/>
  <c r="D69" i="26"/>
  <c r="D65" i="26"/>
  <c r="D73" i="26"/>
  <c r="B46" i="1"/>
  <c r="B37" i="1"/>
  <c r="B40" i="1"/>
  <c r="B22" i="1"/>
  <c r="D25" i="1"/>
  <c r="D26" i="1" s="1"/>
  <c r="D138" i="30"/>
  <c r="D139" i="30" l="1"/>
  <c r="G150" i="30"/>
  <c r="F150" i="30"/>
  <c r="H150" i="30"/>
  <c r="E150" i="30"/>
  <c r="D5" i="1"/>
  <c r="H54" i="1"/>
  <c r="B23" i="1"/>
  <c r="D74" i="26"/>
  <c r="D66" i="26"/>
  <c r="D72" i="26"/>
  <c r="A70" i="1"/>
  <c r="B24" i="1"/>
  <c r="C24" i="1" s="1"/>
  <c r="J54" i="1"/>
  <c r="I54" i="1"/>
  <c r="G54" i="1"/>
  <c r="F54" i="1"/>
  <c r="M54" i="1"/>
  <c r="E54" i="1"/>
  <c r="C54" i="1"/>
  <c r="L54" i="1"/>
  <c r="D54" i="1"/>
  <c r="K54" i="1"/>
  <c r="B28" i="1"/>
  <c r="C28" i="1" s="1"/>
  <c r="B27" i="1"/>
  <c r="C27" i="1" s="1"/>
  <c r="H25" i="1"/>
  <c r="F25" i="1" s="1"/>
  <c r="B33" i="1"/>
  <c r="B26" i="1"/>
  <c r="C26" i="1" s="1"/>
  <c r="B21" i="1"/>
  <c r="B25" i="1"/>
  <c r="C25" i="1" s="1"/>
  <c r="E22" i="1"/>
  <c r="B19" i="1"/>
  <c r="H26" i="1"/>
  <c r="D27" i="1"/>
  <c r="D8" i="31" l="1"/>
  <c r="B54" i="1"/>
  <c r="N54" i="1" s="1"/>
  <c r="N56" i="1" s="1"/>
  <c r="N60" i="1" s="1"/>
  <c r="D13" i="31"/>
  <c r="D144" i="30"/>
  <c r="D70" i="26"/>
  <c r="H53" i="26"/>
  <c r="A71" i="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M56" i="1"/>
  <c r="M60" i="1" s="1"/>
  <c r="C23" i="1"/>
  <c r="E24" i="1" s="1"/>
  <c r="B35" i="1"/>
  <c r="K56" i="1"/>
  <c r="K60" i="1" s="1"/>
  <c r="G56" i="1"/>
  <c r="G60" i="1" s="1"/>
  <c r="I56" i="1"/>
  <c r="I60" i="1" s="1"/>
  <c r="C56" i="1"/>
  <c r="F26" i="1"/>
  <c r="D56" i="1"/>
  <c r="D60" i="1" s="1"/>
  <c r="L56" i="1"/>
  <c r="L60" i="1" s="1"/>
  <c r="F56" i="1"/>
  <c r="F60" i="1" s="1"/>
  <c r="B56" i="1"/>
  <c r="E56" i="1"/>
  <c r="B58" i="1"/>
  <c r="H56" i="1"/>
  <c r="H60" i="1" s="1"/>
  <c r="J56" i="1"/>
  <c r="J60" i="1" s="1"/>
  <c r="D28" i="1"/>
  <c r="H28" i="1" s="1"/>
  <c r="H27" i="1"/>
  <c r="F27" i="1" s="1"/>
  <c r="H130" i="30" s="1"/>
  <c r="B32" i="1"/>
  <c r="B36" i="1"/>
  <c r="B41" i="1"/>
  <c r="B30" i="1"/>
  <c r="D142" i="30" l="1"/>
  <c r="E60" i="1"/>
  <c r="P57" i="1"/>
  <c r="O57" i="1"/>
  <c r="H51" i="26"/>
  <c r="D67" i="26"/>
  <c r="B80" i="1"/>
  <c r="D75" i="1"/>
  <c r="B90" i="1"/>
  <c r="B95" i="1"/>
  <c r="B100" i="1"/>
  <c r="B29" i="1" s="1"/>
  <c r="B85" i="1"/>
  <c r="C60" i="1"/>
  <c r="O56" i="1"/>
  <c r="P54" i="1"/>
  <c r="E28" i="1"/>
  <c r="E25" i="1"/>
  <c r="C29" i="1"/>
  <c r="E26" i="1"/>
  <c r="E23" i="1"/>
  <c r="E27" i="1"/>
  <c r="O54" i="1"/>
  <c r="F28" i="1"/>
  <c r="D145" i="30" l="1"/>
  <c r="D71" i="26"/>
  <c r="B31" i="1"/>
  <c r="D141" i="30" l="1"/>
  <c r="D68" i="2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C47AEB7-9D0A-4E15-B37B-DC2BF07CDBD5}" keepAlive="1" name="Query - Table3" description="Connection to the 'Table3' query in the workbook." type="5" refreshedVersion="0"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<sst xmlns="http://schemas.openxmlformats.org/spreadsheetml/2006/main" count="435" uniqueCount="307">
  <si>
    <t># panels</t>
  </si>
  <si>
    <t>cost per watt</t>
  </si>
  <si>
    <t>total solar offset</t>
  </si>
  <si>
    <t>Name</t>
  </si>
  <si>
    <t>Address</t>
  </si>
  <si>
    <t>Phone</t>
  </si>
  <si>
    <t>Email</t>
  </si>
  <si>
    <t>City ST Zip</t>
  </si>
  <si>
    <t>Customer:</t>
  </si>
  <si>
    <t>Phone:</t>
  </si>
  <si>
    <t>Email:</t>
  </si>
  <si>
    <t>total kW</t>
  </si>
  <si>
    <t>After engineering analysis and calculations for your home, we propose the following solar PV System:</t>
  </si>
  <si>
    <t>Enphase IQ7 Microinverters</t>
  </si>
  <si>
    <t>total cost</t>
  </si>
  <si>
    <t>tax credit</t>
  </si>
  <si>
    <t>net cost</t>
  </si>
  <si>
    <t xml:space="preserve">Address: </t>
  </si>
  <si>
    <t>ROI (in years)</t>
  </si>
  <si>
    <t>Annual ROR</t>
  </si>
  <si>
    <t>panel wattage</t>
  </si>
  <si>
    <t>KWH per year</t>
  </si>
  <si>
    <t>pv watts</t>
  </si>
  <si>
    <t>System size in total kilowatts (kW)</t>
  </si>
  <si>
    <t>Annual system production in kilowatt hours (kWH)</t>
  </si>
  <si>
    <t>year 1</t>
  </si>
  <si>
    <t>ROR</t>
  </si>
  <si>
    <t>The total cost of your PV system, inclusive of design, engineering, permit preperation and filing, and installation is:</t>
  </si>
  <si>
    <t xml:space="preserve">Year 5 annual savings estimate </t>
  </si>
  <si>
    <t xml:space="preserve">year 5 </t>
  </si>
  <si>
    <t>ROI with Prop Value</t>
  </si>
  <si>
    <t>lifetime estimate</t>
  </si>
  <si>
    <t>current bill</t>
  </si>
  <si>
    <t>utility rate</t>
  </si>
  <si>
    <t>year 10</t>
  </si>
  <si>
    <t>year 15</t>
  </si>
  <si>
    <t>ROI without prop value</t>
  </si>
  <si>
    <t>Secondary ROI calc</t>
  </si>
  <si>
    <t xml:space="preserve">  </t>
  </si>
  <si>
    <t>monthly savings year 1</t>
  </si>
  <si>
    <t>Cash value of MACRS</t>
  </si>
  <si>
    <t>Net Solar System Cost</t>
  </si>
  <si>
    <t>Tesla Powerwalls</t>
  </si>
  <si>
    <t>Net Battery cost</t>
  </si>
  <si>
    <t>Net system cost with battery</t>
  </si>
  <si>
    <t>Total Solar System Cost</t>
  </si>
  <si>
    <t>Generator cost</t>
  </si>
  <si>
    <t>Current bill</t>
  </si>
  <si>
    <t>Solar savings</t>
  </si>
  <si>
    <t>Offset amount</t>
  </si>
  <si>
    <t>Offset percent</t>
  </si>
  <si>
    <t>avg</t>
  </si>
  <si>
    <t>Jan.</t>
  </si>
  <si>
    <t>Mar.</t>
  </si>
  <si>
    <t>May</t>
  </si>
  <si>
    <t>June</t>
  </si>
  <si>
    <t>July</t>
  </si>
  <si>
    <t>Aug.</t>
  </si>
  <si>
    <t>Sep.</t>
  </si>
  <si>
    <t>Oct.</t>
  </si>
  <si>
    <t>Nov.</t>
  </si>
  <si>
    <t>Dec.</t>
  </si>
  <si>
    <t>Year 20</t>
  </si>
  <si>
    <t>Year 25</t>
  </si>
  <si>
    <t>Benchmark savings</t>
  </si>
  <si>
    <t>Year 30</t>
  </si>
  <si>
    <t>Cumulative Savings</t>
  </si>
  <si>
    <t>Benchmark Projected Bill</t>
  </si>
  <si>
    <t>5 year Cumulative Projected Bill</t>
  </si>
  <si>
    <t>Cumulative projeted bill</t>
  </si>
  <si>
    <t>Utility company</t>
  </si>
  <si>
    <t>Trees</t>
  </si>
  <si>
    <t>Cars</t>
  </si>
  <si>
    <t>Property Value</t>
  </si>
  <si>
    <t>Solar Proposal for:</t>
  </si>
  <si>
    <t>Lifetime Savings</t>
  </si>
  <si>
    <t>Qcells 340 Watt Modules</t>
  </si>
  <si>
    <t xml:space="preserve">Year 1 Savings (prior to rate increases or inflation) </t>
  </si>
  <si>
    <t>Net Cost of Your Proposed Solar System after Tax Credit</t>
  </si>
  <si>
    <t>Projected bill</t>
  </si>
  <si>
    <t>solar savings</t>
  </si>
  <si>
    <t>Estimated Property Value Increase</t>
  </si>
  <si>
    <t>Monthly Savings Estimate</t>
  </si>
  <si>
    <t>Flat, predicatble savings</t>
  </si>
  <si>
    <t>Total possible MACRS</t>
  </si>
  <si>
    <t>Apr</t>
  </si>
  <si>
    <t>property value increase</t>
  </si>
  <si>
    <t>Estimated Depreciation (MACRS) Value</t>
  </si>
  <si>
    <t>Tons of Carbon Offset</t>
  </si>
  <si>
    <t xml:space="preserve">Tons of Carbon Emissions Offset </t>
  </si>
  <si>
    <t>monthly kWH production estimate</t>
  </si>
  <si>
    <t>monthly kWH consumption</t>
  </si>
  <si>
    <t>year 20</t>
  </si>
  <si>
    <t>year 25</t>
  </si>
  <si>
    <t>year 30</t>
  </si>
  <si>
    <t>cumulative</t>
  </si>
  <si>
    <t>average</t>
  </si>
  <si>
    <t>FPL</t>
  </si>
  <si>
    <t xml:space="preserve">www.SailfishSolar.com </t>
  </si>
  <si>
    <t>Total Battery Cost</t>
  </si>
  <si>
    <t>roof plus solar</t>
  </si>
  <si>
    <t>Qcells 350 Watt Modules</t>
  </si>
  <si>
    <t>Mission Solar 345 Watt Modules</t>
  </si>
  <si>
    <t>LG Solar 335 Watt Modules</t>
  </si>
  <si>
    <t>Jinko Solar 405 Watt Modules</t>
  </si>
  <si>
    <t xml:space="preserve">Candian Solar 400 Watt Modules </t>
  </si>
  <si>
    <t xml:space="preserve">Canadian Solar 400 Watt Modules </t>
  </si>
  <si>
    <t>Panel Type</t>
  </si>
  <si>
    <t>Enphase IQ7+ Microinverters</t>
  </si>
  <si>
    <t>About Us:</t>
  </si>
  <si>
    <t>Have a competing quote?</t>
  </si>
  <si>
    <t>Cell Card Monitoring</t>
  </si>
  <si>
    <t>25 Year Panel Warranty</t>
  </si>
  <si>
    <t>Optional Premium Adders</t>
  </si>
  <si>
    <t>Included</t>
  </si>
  <si>
    <t>Qcells 400 Watt Black on Black Modules</t>
  </si>
  <si>
    <t>Canadian Solar 400 Watt Black on Black Modules</t>
  </si>
  <si>
    <t>25 Yr 1.99%</t>
  </si>
  <si>
    <t>20Yr 6.99%</t>
  </si>
  <si>
    <t>25 yr 1.99</t>
  </si>
  <si>
    <t>loanpal</t>
  </si>
  <si>
    <t>mosaic 25 yr 1.99%</t>
  </si>
  <si>
    <t>mosaic 20 yr 6.99%</t>
  </si>
  <si>
    <t>mosaic 10yr 3.99%</t>
  </si>
  <si>
    <t>mosaic 20 yr 1.49%</t>
  </si>
  <si>
    <t>25 yr 1.99%</t>
  </si>
  <si>
    <t>20 yr 1.49%</t>
  </si>
  <si>
    <t>10 Yr 3.99%</t>
  </si>
  <si>
    <t>Payment</t>
  </si>
  <si>
    <t>Total Project Amount</t>
  </si>
  <si>
    <t>15Yr 3.49%</t>
  </si>
  <si>
    <t>mosaic 15 yr 3.49%</t>
  </si>
  <si>
    <t>Origination fees</t>
  </si>
  <si>
    <t>Payment Options</t>
  </si>
  <si>
    <t>20Yr 1.49%</t>
  </si>
  <si>
    <t>20Yr  6.99%</t>
  </si>
  <si>
    <t>10Yr 3.99%</t>
  </si>
  <si>
    <t>Term &amp; Rate</t>
  </si>
  <si>
    <t>Our Equipment Standards</t>
  </si>
  <si>
    <t>Metric</t>
  </si>
  <si>
    <t>Minimum Rating</t>
  </si>
  <si>
    <t>Solar panels in Florida, particularly in high velocity wind zones, require solar installations to adhere to the highest possible equipment standards, in addition to local permitting and code requirement expertise. Our engineering team has designed hundreds of solar systems in High Velocity Wind Zones with adhernece to weather, wind, and conversion efficiency minimum standards.</t>
  </si>
  <si>
    <t xml:space="preserve">Frame </t>
  </si>
  <si>
    <t>35mm</t>
  </si>
  <si>
    <t>Windload Rating</t>
  </si>
  <si>
    <t>2400Pa</t>
  </si>
  <si>
    <t>Conversion Efficiency</t>
  </si>
  <si>
    <t>Temp. Coefficient</t>
  </si>
  <si>
    <t>carbon</t>
  </si>
  <si>
    <t>trees</t>
  </si>
  <si>
    <t>miles</t>
  </si>
  <si>
    <t>pounds of coal</t>
  </si>
  <si>
    <t>factor</t>
  </si>
  <si>
    <t>Trees Planted</t>
  </si>
  <si>
    <t>Miles of Driving Offset</t>
  </si>
  <si>
    <t>Flat, Predictble Savings</t>
  </si>
  <si>
    <t>Highest Average Customer Reviews in Florida</t>
  </si>
  <si>
    <t>sales@sailfishsolar.com</t>
  </si>
  <si>
    <t>Remote System Performance Monitoring &amp; User App Access</t>
  </si>
  <si>
    <t xml:space="preserve"> </t>
  </si>
  <si>
    <t>~Shane M</t>
  </si>
  <si>
    <t>Feb.</t>
  </si>
  <si>
    <t>Roof Cost</t>
  </si>
  <si>
    <t>battery cost</t>
  </si>
  <si>
    <t>roof/additional cost</t>
  </si>
  <si>
    <t>roof plus battey plus solar</t>
  </si>
  <si>
    <t>Aptos 440 Watt Modules</t>
  </si>
  <si>
    <t>LG Solar 375 Watt Modules</t>
  </si>
  <si>
    <t>Qcells 400 Watt Modules</t>
  </si>
  <si>
    <t>Mission Solar 370 Watt Modules</t>
  </si>
  <si>
    <t>Panasonic 360 Watt Modules</t>
  </si>
  <si>
    <t xml:space="preserve">Jupiter Island FL </t>
  </si>
  <si>
    <t>772.678.6923</t>
  </si>
  <si>
    <t>ty@webb.com</t>
  </si>
  <si>
    <t>Cost per watt</t>
  </si>
  <si>
    <t>Panel wattage</t>
  </si>
  <si>
    <t>Utility rate</t>
  </si>
  <si>
    <t>Battery cost</t>
  </si>
  <si>
    <t>Roof/additional cost</t>
  </si>
  <si>
    <t>Input Data</t>
  </si>
  <si>
    <t>Shingle</t>
  </si>
  <si>
    <t>Tile</t>
  </si>
  <si>
    <t>Standing seam metal</t>
  </si>
  <si>
    <t>5V Metal</t>
  </si>
  <si>
    <t>Flat</t>
  </si>
  <si>
    <t>Unkown</t>
  </si>
  <si>
    <t xml:space="preserve">Roof type </t>
  </si>
  <si>
    <t>Roof type</t>
  </si>
  <si>
    <t>Total System Size</t>
  </si>
  <si>
    <t>Total Cost</t>
  </si>
  <si>
    <t>Annual kWH Production</t>
  </si>
  <si>
    <t>Monthly Savings Year 1</t>
  </si>
  <si>
    <t>Tax Credit</t>
  </si>
  <si>
    <t>Roof Type:</t>
  </si>
  <si>
    <t>kW</t>
  </si>
  <si>
    <t>Utility Bill Offset</t>
  </si>
  <si>
    <t>Net Cost</t>
  </si>
  <si>
    <t>kWH</t>
  </si>
  <si>
    <t>4345 Bushwood Dr</t>
  </si>
  <si>
    <t xml:space="preserve"> Aptos DNA 440 Watt Black on Black Modules</t>
  </si>
  <si>
    <t>~ Charles C</t>
  </si>
  <si>
    <t>Ty Webb</t>
  </si>
  <si>
    <t>PV Watts (Avg Annual)</t>
  </si>
  <si>
    <t>Additional cost</t>
  </si>
  <si>
    <t>The total cost of your EV Charging Station(s), inclusive of design, engineering, permit preperation and filing, and installation is:</t>
  </si>
  <si>
    <t>30% Federal Tax Credit</t>
  </si>
  <si>
    <t>Total Charging Station Cost</t>
  </si>
  <si>
    <t>Net Charging Station Cost</t>
  </si>
  <si>
    <t>Level 2 Chargers</t>
  </si>
  <si>
    <t>Level 3 Chargers</t>
  </si>
  <si>
    <t># of Level 2</t>
  </si>
  <si>
    <t># of Level 3</t>
  </si>
  <si>
    <t>Chargepoint</t>
  </si>
  <si>
    <t>Tesla</t>
  </si>
  <si>
    <t>Enphase</t>
  </si>
  <si>
    <t>Maintenance and Operations</t>
  </si>
  <si>
    <t>Year 1 Net Revenue Estimate</t>
  </si>
  <si>
    <t>Revenue and Expense Calculations Below based on the following assumptions:</t>
  </si>
  <si>
    <t>Cost per kWH premium</t>
  </si>
  <si>
    <t>Sedan</t>
  </si>
  <si>
    <t>Cross/SUV</t>
  </si>
  <si>
    <t>Pickup</t>
  </si>
  <si>
    <t>Van</t>
  </si>
  <si>
    <t>Annual Inrease in EV adoption</t>
  </si>
  <si>
    <t>EV Inputs</t>
  </si>
  <si>
    <t>Level 2</t>
  </si>
  <si>
    <t>Level 3</t>
  </si>
  <si>
    <t>Utilization</t>
  </si>
  <si>
    <t>Cost per kWH</t>
  </si>
  <si>
    <t>Premium</t>
  </si>
  <si>
    <t>Annual increase</t>
  </si>
  <si>
    <t>Kwh per day</t>
  </si>
  <si>
    <t>kW Capacity</t>
  </si>
  <si>
    <t>Premium per day</t>
  </si>
  <si>
    <t>O&amp;M</t>
  </si>
  <si>
    <t>EV Growth Rate</t>
  </si>
  <si>
    <t>kWH per day</t>
  </si>
  <si>
    <t>cost</t>
  </si>
  <si>
    <t>net</t>
  </si>
  <si>
    <t>payback</t>
  </si>
  <si>
    <t>y2</t>
  </si>
  <si>
    <t>y3</t>
  </si>
  <si>
    <t>y4</t>
  </si>
  <si>
    <t>y5</t>
  </si>
  <si>
    <t>Level 2 cost</t>
  </si>
  <si>
    <t>Level 3 cost</t>
  </si>
  <si>
    <t>permitting</t>
  </si>
  <si>
    <t>engineering</t>
  </si>
  <si>
    <t>admin</t>
  </si>
  <si>
    <t>subtotal</t>
  </si>
  <si>
    <t>Total</t>
  </si>
  <si>
    <t>annual total</t>
  </si>
  <si>
    <t>daily total</t>
  </si>
  <si>
    <t>Commission</t>
  </si>
  <si>
    <t>Payback Period in Years</t>
  </si>
  <si>
    <t>5 year total</t>
  </si>
  <si>
    <t>5 year avg</t>
  </si>
  <si>
    <t>Year 5 Net Revenue Estimate Total</t>
  </si>
  <si>
    <t>Estimated 5 Year Depreciation Value</t>
  </si>
  <si>
    <t>depreciation</t>
  </si>
  <si>
    <t>property value</t>
  </si>
  <si>
    <t>kWH per year</t>
  </si>
  <si>
    <t>carbon emissions</t>
  </si>
  <si>
    <t>Tons of Carbon Emissions Offset vs. Conventional Fuel</t>
  </si>
  <si>
    <t>Cost of Electricity</t>
  </si>
  <si>
    <t>Construction adder</t>
  </si>
  <si>
    <t>Projected Customer Type</t>
  </si>
  <si>
    <t>Payback in years</t>
  </si>
  <si>
    <t>Depreciation Available</t>
  </si>
  <si>
    <t>Year 1 Revenue</t>
  </si>
  <si>
    <t>Year 5 Cumulative Revenue</t>
  </si>
  <si>
    <t>Market Growth Rate</t>
  </si>
  <si>
    <t>Non Standard Construction cost</t>
  </si>
  <si>
    <t>adder</t>
  </si>
  <si>
    <t>0&amp;M</t>
  </si>
  <si>
    <t>after o$m total</t>
  </si>
  <si>
    <t>5 yr o&amp;m</t>
  </si>
  <si>
    <t>Net 5 yr avg</t>
  </si>
  <si>
    <t>3 yr avg dly rev</t>
  </si>
  <si>
    <t>www.SailfishConstruction.com</t>
  </si>
  <si>
    <t>Premium Charged</t>
  </si>
  <si>
    <r>
      <t xml:space="preserve">A Solar PV System provides a </t>
    </r>
    <r>
      <rPr>
        <b/>
        <sz val="18"/>
        <color theme="1"/>
        <rFont val="Open Sans"/>
        <family val="2"/>
      </rPr>
      <t>levelized, predictable cost of electricity and significant savings</t>
    </r>
    <r>
      <rPr>
        <sz val="18"/>
        <color theme="1"/>
        <rFont val="Open Sans"/>
        <family val="2"/>
      </rPr>
      <t xml:space="preserve"> starting on</t>
    </r>
    <r>
      <rPr>
        <b/>
        <sz val="18"/>
        <color theme="1"/>
        <rFont val="Open Sans"/>
        <family val="2"/>
      </rPr>
      <t xml:space="preserve"> Day 1 of operation</t>
    </r>
    <r>
      <rPr>
        <sz val="18"/>
        <color theme="1"/>
        <rFont val="Open Sans"/>
        <family val="2"/>
      </rPr>
      <t xml:space="preserve"> and is an effective hedge against rising energy costs and inflation. </t>
    </r>
  </si>
  <si>
    <r>
      <t xml:space="preserve">Over the next </t>
    </r>
    <r>
      <rPr>
        <b/>
        <sz val="12"/>
        <rFont val="Open Sans"/>
        <family val="2"/>
      </rPr>
      <t>10 years,</t>
    </r>
    <r>
      <rPr>
        <sz val="12"/>
        <rFont val="Open Sans"/>
        <family val="2"/>
      </rPr>
      <t xml:space="preserve"> you will pay your utility company</t>
    </r>
  </si>
  <si>
    <r>
      <t xml:space="preserve">And in </t>
    </r>
    <r>
      <rPr>
        <b/>
        <sz val="12"/>
        <rFont val="Open Sans"/>
        <family val="2"/>
      </rPr>
      <t>25 years</t>
    </r>
    <r>
      <rPr>
        <sz val="12"/>
        <rFont val="Open Sans"/>
        <family val="2"/>
      </rPr>
      <t xml:space="preserve"> you will pay them more than </t>
    </r>
  </si>
  <si>
    <t>Environmental Equivalent (EPA.Gov)</t>
  </si>
  <si>
    <r>
      <t xml:space="preserve">The bottom line is that you are paying for electricity either way – </t>
    </r>
    <r>
      <rPr>
        <b/>
        <i/>
        <sz val="16"/>
        <color rgb="FF1A406F"/>
        <rFont val="Open Sans"/>
        <family val="2"/>
      </rPr>
      <t>you might as well invest in a fixed cost, a stable return and a short payback/long warranty at the same time.</t>
    </r>
  </si>
  <si>
    <t>~ Ted T</t>
  </si>
  <si>
    <r>
      <rPr>
        <b/>
        <sz val="18"/>
        <color theme="1"/>
        <rFont val="Open Sans Regular"/>
      </rPr>
      <t>The demand for Electric Vehicle Charging Stations is on the rise.</t>
    </r>
    <r>
      <rPr>
        <sz val="18"/>
        <color theme="1"/>
        <rFont val="Open Sans Regular"/>
      </rPr>
      <t xml:space="preserve"> An investment in charging stations is proven to be a profitable investment for companies that are willing to invest in them. By providing a convenient and affordable way for EV drivers to charge their vehicles, companies can benefit from </t>
    </r>
    <r>
      <rPr>
        <b/>
        <sz val="18"/>
        <color theme="1"/>
        <rFont val="Open Sans Regular"/>
      </rPr>
      <t xml:space="preserve">increased sales, customer loyalty, revenue generation, and improved brand image. </t>
    </r>
  </si>
  <si>
    <t>Electric Vehicle Charging Station Proposal for:</t>
  </si>
  <si>
    <t>Sailfish Construction is a Division of Sailfish Solar LLC</t>
  </si>
  <si>
    <t>Monthly Hours of Utilization</t>
  </si>
  <si>
    <t>Monthly Utilization Hours</t>
  </si>
  <si>
    <t>Qcells 405</t>
  </si>
  <si>
    <t>Mohammed Rabbany</t>
  </si>
  <si>
    <t>2950 SW Martin Downs Blvd</t>
  </si>
  <si>
    <t>Palm City FL 34997</t>
  </si>
  <si>
    <t>561.891.5548</t>
  </si>
  <si>
    <r>
      <t xml:space="preserve">A Solar PV System provides a </t>
    </r>
    <r>
      <rPr>
        <b/>
        <sz val="18"/>
        <color theme="1"/>
        <rFont val="Calibri"/>
        <family val="2"/>
        <scheme val="minor"/>
      </rPr>
      <t>levelized, predictable cost of electricity and significant savings</t>
    </r>
    <r>
      <rPr>
        <sz val="18"/>
        <color theme="1"/>
        <rFont val="Calibri"/>
        <family val="2"/>
        <scheme val="minor"/>
      </rPr>
      <t xml:space="preserve"> starting on </t>
    </r>
    <r>
      <rPr>
        <b/>
        <sz val="18"/>
        <color theme="1"/>
        <rFont val="Calibri"/>
        <family val="2"/>
        <scheme val="minor"/>
      </rPr>
      <t>Day 1 of operation</t>
    </r>
    <r>
      <rPr>
        <sz val="18"/>
        <color theme="1"/>
        <rFont val="Calibri"/>
        <family val="2"/>
        <scheme val="minor"/>
      </rPr>
      <t xml:space="preserve"> and is an effective hedge against rising energy costs and inflation. </t>
    </r>
  </si>
  <si>
    <r>
      <t xml:space="preserve">Over the next </t>
    </r>
    <r>
      <rPr>
        <b/>
        <sz val="12"/>
        <rFont val="Calibri"/>
        <family val="2"/>
        <scheme val="minor"/>
      </rPr>
      <t>10 years</t>
    </r>
    <r>
      <rPr>
        <sz val="12"/>
        <rFont val="Calibri"/>
        <family val="2"/>
        <scheme val="minor"/>
      </rPr>
      <t>, you will pay your utility company:</t>
    </r>
  </si>
  <si>
    <r>
      <t xml:space="preserve">And in </t>
    </r>
    <r>
      <rPr>
        <b/>
        <sz val="12"/>
        <rFont val="Calibri"/>
        <family val="2"/>
        <scheme val="minor"/>
      </rPr>
      <t>25 years</t>
    </r>
    <r>
      <rPr>
        <sz val="12"/>
        <rFont val="Calibri"/>
        <family val="2"/>
        <scheme val="minor"/>
      </rPr>
      <t xml:space="preserve"> you will pay them more than: </t>
    </r>
  </si>
  <si>
    <r>
      <t xml:space="preserve">Your </t>
    </r>
    <r>
      <rPr>
        <b/>
        <sz val="12"/>
        <rFont val="Calibri"/>
        <family val="2"/>
        <scheme val="minor"/>
      </rPr>
      <t>current</t>
    </r>
    <r>
      <rPr>
        <sz val="12"/>
        <rFont val="Calibri"/>
        <family val="2"/>
        <scheme val="minor"/>
      </rPr>
      <t xml:space="preserve"> monthly power bill:</t>
    </r>
  </si>
  <si>
    <r>
      <t>The</t>
    </r>
    <r>
      <rPr>
        <b/>
        <sz val="12"/>
        <rFont val="Calibri"/>
        <family val="2"/>
        <scheme val="minor"/>
      </rPr>
      <t xml:space="preserve"> total cost</t>
    </r>
    <r>
      <rPr>
        <sz val="12"/>
        <rFont val="Calibri"/>
        <family val="2"/>
        <scheme val="minor"/>
      </rPr>
      <t xml:space="preserve"> of your PV system, inclusive of design, engineering, permit preperation and filing, and installation is:</t>
    </r>
  </si>
  <si>
    <r>
      <t xml:space="preserve">The bottom line is that you are paying for electricity either way – </t>
    </r>
    <r>
      <rPr>
        <b/>
        <i/>
        <sz val="16"/>
        <color rgb="FF1A406F"/>
        <rFont val="Calibri"/>
        <family val="2"/>
        <scheme val="minor"/>
      </rPr>
      <t>you might as well invest in a fixed cost, a stable return and a short payback/long warranty at the same time.</t>
    </r>
  </si>
  <si>
    <r>
      <rPr>
        <b/>
        <i/>
        <sz val="16"/>
        <color rgb="FF1A406F"/>
        <rFont val="Calibri"/>
        <family val="2"/>
        <scheme val="minor"/>
      </rPr>
      <t>Sailfish Solar</t>
    </r>
    <r>
      <rPr>
        <sz val="12"/>
        <color theme="1"/>
        <rFont val="Calibri"/>
        <family val="2"/>
        <scheme val="minor"/>
      </rPr>
      <t xml:space="preserve"> is a leading solar developer in the State of Florida and manages a team of engineers and installers with the highest possible standards on every installation. </t>
    </r>
    <r>
      <rPr>
        <b/>
        <sz val="12"/>
        <color theme="1"/>
        <rFont val="Calibri"/>
        <family val="2"/>
        <scheme val="minor"/>
      </rPr>
      <t>Relying on his 15 years of experience in the solar industry</t>
    </r>
    <r>
      <rPr>
        <sz val="12"/>
        <color theme="1"/>
        <rFont val="Calibri"/>
        <family val="2"/>
        <scheme val="minor"/>
      </rPr>
      <t xml:space="preserve">, our principal, Mike Antheil expertly guides the solar design, installation and financing process from beginning to end. Mike has spent the </t>
    </r>
    <r>
      <rPr>
        <b/>
        <sz val="12"/>
        <color theme="1"/>
        <rFont val="Calibri"/>
        <family val="2"/>
        <scheme val="minor"/>
      </rPr>
      <t>past decade</t>
    </r>
    <r>
      <rPr>
        <sz val="12"/>
        <color theme="1"/>
        <rFont val="Calibri"/>
        <family val="2"/>
        <scheme val="minor"/>
      </rPr>
      <t xml:space="preserve"> financing renewable energy and energy efficiency projects all over the United States. Mike serves on several boards of Florida and US based non-profits dedicated to the responsible advancement of renewable energy in the United States and he has been a </t>
    </r>
    <r>
      <rPr>
        <b/>
        <sz val="12"/>
        <color theme="1"/>
        <rFont val="Calibri"/>
        <family val="2"/>
        <scheme val="minor"/>
      </rPr>
      <t>key leader</t>
    </r>
    <r>
      <rPr>
        <sz val="12"/>
        <color theme="1"/>
        <rFont val="Calibri"/>
        <family val="2"/>
        <scheme val="minor"/>
      </rPr>
      <t xml:space="preserve"> in statewide initiatives to bring clean energy to scale in Florida.</t>
    </r>
  </si>
  <si>
    <r>
      <rPr>
        <b/>
        <i/>
        <sz val="11"/>
        <color theme="1"/>
        <rFont val="Calibri"/>
        <family val="2"/>
        <scheme val="minor"/>
      </rPr>
      <t>Great system, great service.</t>
    </r>
    <r>
      <rPr>
        <i/>
        <sz val="11"/>
        <color theme="1"/>
        <rFont val="Calibri"/>
        <family val="2"/>
        <scheme val="minor"/>
      </rPr>
      <t xml:space="preserve"> These guys really know what they are doing and it was such a smooth process from beginning to end. Thank you!</t>
    </r>
  </si>
  <si>
    <r>
      <rPr>
        <b/>
        <i/>
        <sz val="11"/>
        <color theme="1"/>
        <rFont val="Calibri"/>
        <family val="2"/>
        <scheme val="minor"/>
      </rPr>
      <t>You need a company to trust and Sailfish Solar will be open and honest.</t>
    </r>
    <r>
      <rPr>
        <i/>
        <sz val="11"/>
        <color theme="1"/>
        <rFont val="Calibri"/>
        <family val="2"/>
        <scheme val="minor"/>
      </rPr>
      <t xml:space="preserve"> They are true experts. There are so many different solar companies, you need someone you can trust.</t>
    </r>
  </si>
  <si>
    <r>
      <rPr>
        <b/>
        <i/>
        <sz val="11"/>
        <color theme="1"/>
        <rFont val="Calibri"/>
        <family val="2"/>
        <scheme val="minor"/>
      </rPr>
      <t>The team was professional from start to finish.</t>
    </r>
    <r>
      <rPr>
        <i/>
        <sz val="11"/>
        <color theme="1"/>
        <rFont val="Calibri"/>
        <family val="2"/>
        <scheme val="minor"/>
      </rPr>
      <t xml:space="preserve"> There was no high pressure sales like we heard from the other solar companies. Instead they took their time to help us learn and finally make the right decision.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</si>
</sst>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44" formatCode="_(&quot;$&quot;* #,##0.00_);_(&quot;$&quot;* \(#,##0.00\);_(&quot;$&quot;* &quot;-&quot;??_);_(@_)"/>
    <numFmt numFmtId="164" formatCode="_(&quot;$&quot;* #,##0_);_(&quot;$&quot;* \(#,##0\);_(&quot;$&quot;* &quot;-&quot;??_);_(@_)"/>
    <numFmt numFmtId="165" formatCode="&quot;$&quot;#,##0.00"/>
    <numFmt numFmtId="166" formatCode="00000"/>
  </numFmts>
  <fonts count="87">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1"/>
      <name val="Calibri"/>
      <family val="2"/>
      <scheme val="minor"/>
    </font>
    <font>
      <sz val="12"/>
      <name val="Calibri"/>
      <family val="2"/>
      <scheme val="minor"/>
    </font>
    <font>
      <sz val="11"/>
      <name val="Posterama"/>
      <family val="2"/>
    </font>
    <font>
      <b/>
      <sz val="11"/>
      <name val="Posterama"/>
      <family val="2"/>
    </font>
    <font>
      <sz val="11"/>
      <name val="Aharoni"/>
      <charset val="177"/>
    </font>
    <font>
      <b/>
      <sz val="14"/>
      <name val="Calibri"/>
      <family val="2"/>
      <scheme val="minor"/>
    </font>
    <font>
      <b/>
      <sz val="11"/>
      <color theme="0"/>
      <name val="Calibri"/>
      <family val="2"/>
      <scheme val="minor"/>
    </font>
    <font>
      <sz val="11"/>
      <color theme="1" tint="0.24994659260841701"/>
      <name val="Calibri"/>
      <family val="2"/>
      <scheme val="minor"/>
    </font>
    <font>
      <b/>
      <sz val="11"/>
      <name val="Calibri"/>
      <family val="2"/>
      <scheme val="minor"/>
    </font>
    <font>
      <b/>
      <sz val="12"/>
      <color rgb="FFC00000"/>
      <name val="Calibri"/>
      <family val="2"/>
      <scheme val="minor"/>
    </font>
    <font>
      <b/>
      <sz val="11"/>
      <color rgb="FFC00000"/>
      <name val="Calibri"/>
      <family val="2"/>
      <scheme val="minor"/>
    </font>
    <font>
      <b/>
      <sz val="12"/>
      <color rgb="FF00B050"/>
      <name val="Calibri"/>
      <family val="2"/>
      <scheme val="minor"/>
    </font>
    <font>
      <u/>
      <sz val="14"/>
      <color theme="10"/>
      <name val="Calibri"/>
      <family val="2"/>
      <scheme val="minor"/>
    </font>
    <font>
      <sz val="14"/>
      <color theme="1"/>
      <name val="Calibri"/>
      <family val="2"/>
      <scheme val="minor"/>
    </font>
    <font>
      <b/>
      <sz val="11"/>
      <color theme="1"/>
      <name val="Calibri"/>
      <family val="2"/>
      <scheme val="minor"/>
    </font>
    <font>
      <b/>
      <sz val="11"/>
      <color rgb="FF00B050"/>
      <name val="Calibri"/>
      <family val="2"/>
      <scheme val="minor"/>
    </font>
    <font>
      <sz val="16"/>
      <color theme="1"/>
      <name val="Calibri"/>
      <family val="2"/>
      <scheme val="minor"/>
    </font>
    <font>
      <b/>
      <sz val="14"/>
      <color theme="1"/>
      <name val="Calibri"/>
      <family val="2"/>
      <scheme val="minor"/>
    </font>
    <font>
      <b/>
      <sz val="14"/>
      <color rgb="FF00B050"/>
      <name val="Calibri"/>
      <family val="2"/>
      <scheme val="minor"/>
    </font>
    <font>
      <b/>
      <i/>
      <sz val="14"/>
      <color rgb="FF082A75"/>
      <name val="Open Sans Regular"/>
    </font>
    <font>
      <sz val="11"/>
      <color theme="1"/>
      <name val="Open Sans"/>
      <family val="2"/>
    </font>
    <font>
      <sz val="11"/>
      <name val="Open Sans"/>
      <family val="2"/>
    </font>
    <font>
      <sz val="12"/>
      <name val="Open Sans"/>
      <family val="2"/>
    </font>
    <font>
      <b/>
      <sz val="14"/>
      <name val="Open Sans"/>
      <family val="2"/>
    </font>
    <font>
      <b/>
      <sz val="11"/>
      <color rgb="FFC00000"/>
      <name val="Open Sans"/>
      <family val="2"/>
    </font>
    <font>
      <b/>
      <sz val="12"/>
      <color rgb="FFC00000"/>
      <name val="Open Sans"/>
      <family val="2"/>
    </font>
    <font>
      <b/>
      <sz val="12"/>
      <color rgb="FF00B050"/>
      <name val="Open Sans"/>
      <family val="2"/>
    </font>
    <font>
      <b/>
      <sz val="12"/>
      <name val="Open Sans"/>
      <family val="2"/>
    </font>
    <font>
      <i/>
      <sz val="14"/>
      <color rgb="FF082A75"/>
      <name val="Open Sans"/>
      <family val="2"/>
    </font>
    <font>
      <u/>
      <sz val="12"/>
      <name val="Open Sans"/>
      <family val="2"/>
    </font>
    <font>
      <b/>
      <sz val="16"/>
      <name val="Open Sans"/>
      <family val="2"/>
    </font>
    <font>
      <b/>
      <sz val="12"/>
      <color theme="1"/>
      <name val="Open Sans"/>
      <family val="2"/>
    </font>
    <font>
      <sz val="14"/>
      <color theme="1"/>
      <name val="Open Sans"/>
      <family val="2"/>
    </font>
    <font>
      <b/>
      <sz val="14"/>
      <color rgb="FF0A88BC"/>
      <name val="Playfair Display"/>
    </font>
    <font>
      <sz val="12"/>
      <color theme="1"/>
      <name val="Open Sans"/>
      <family val="2"/>
    </font>
    <font>
      <sz val="18"/>
      <color theme="1"/>
      <name val="Open Sans"/>
      <family val="2"/>
    </font>
    <font>
      <sz val="14"/>
      <name val="Open Sans"/>
      <family val="2"/>
    </font>
    <font>
      <b/>
      <sz val="18"/>
      <color theme="1"/>
      <name val="Open Sans"/>
      <family val="2"/>
    </font>
    <font>
      <i/>
      <sz val="16"/>
      <color rgb="FF1A406F"/>
      <name val="Open Sans"/>
      <family val="2"/>
    </font>
    <font>
      <b/>
      <i/>
      <sz val="16"/>
      <color rgb="FF1A406F"/>
      <name val="Open Sans"/>
      <family val="2"/>
    </font>
    <font>
      <b/>
      <sz val="16"/>
      <color rgb="FF0A88BC"/>
      <name val="Playfair Display"/>
    </font>
    <font>
      <b/>
      <sz val="16"/>
      <color rgb="FF1A406F"/>
      <name val="Playfair Display"/>
    </font>
    <font>
      <b/>
      <u/>
      <sz val="14"/>
      <color rgb="FF0A88BC"/>
      <name val="Open Sans"/>
      <family val="2"/>
    </font>
    <font>
      <sz val="11"/>
      <name val="Open Sans Regular"/>
    </font>
    <font>
      <sz val="11"/>
      <color theme="1"/>
      <name val="Open Sans Regular"/>
    </font>
    <font>
      <b/>
      <sz val="11"/>
      <color rgb="FFC00000"/>
      <name val="Open Sans Regular"/>
    </font>
    <font>
      <sz val="12"/>
      <name val="Open Sans Regular"/>
    </font>
    <font>
      <b/>
      <sz val="12"/>
      <name val="Open Sans Regular"/>
    </font>
    <font>
      <b/>
      <sz val="11"/>
      <name val="Open Sans Regular"/>
    </font>
    <font>
      <b/>
      <sz val="12"/>
      <color rgb="FFC00000"/>
      <name val="Open Sans Regular"/>
    </font>
    <font>
      <b/>
      <sz val="12"/>
      <color rgb="FF00B050"/>
      <name val="Open Sans Regular"/>
    </font>
    <font>
      <b/>
      <sz val="12"/>
      <color theme="1"/>
      <name val="Open Sans Regular"/>
    </font>
    <font>
      <b/>
      <sz val="14"/>
      <name val="Open Sans Regular"/>
    </font>
    <font>
      <b/>
      <i/>
      <sz val="12"/>
      <color theme="1"/>
      <name val="Open Sans Regular"/>
    </font>
    <font>
      <sz val="14"/>
      <name val="Open Sans Regular"/>
    </font>
    <font>
      <b/>
      <sz val="16"/>
      <name val="Open Sans Regular"/>
    </font>
    <font>
      <b/>
      <sz val="18"/>
      <color theme="1"/>
      <name val="Open Sans Regular"/>
    </font>
    <font>
      <sz val="18"/>
      <color theme="1"/>
      <name val="Open Sans Regular"/>
    </font>
    <font>
      <b/>
      <u/>
      <sz val="14"/>
      <color theme="10"/>
      <name val="Open Sans Regular"/>
    </font>
    <font>
      <b/>
      <sz val="14"/>
      <color theme="4"/>
      <name val="Open Sans Regular"/>
    </font>
    <font>
      <b/>
      <sz val="14"/>
      <color theme="9"/>
      <name val="Open Sans Regular"/>
    </font>
    <font>
      <b/>
      <u/>
      <sz val="16"/>
      <color theme="10"/>
      <name val="Open Sans Regular"/>
    </font>
    <font>
      <b/>
      <u/>
      <sz val="16"/>
      <color theme="10"/>
      <name val="Calibri"/>
      <family val="2"/>
      <scheme val="minor"/>
    </font>
    <font>
      <b/>
      <sz val="11"/>
      <color rgb="FF00B050"/>
      <name val="Open Sans"/>
      <family val="2"/>
    </font>
    <font>
      <b/>
      <sz val="9"/>
      <name val="Open Sans Regular"/>
    </font>
    <font>
      <b/>
      <sz val="16"/>
      <color rgb="FF0A88BC"/>
      <name val="Calibri"/>
      <family val="2"/>
      <scheme val="minor"/>
    </font>
    <font>
      <b/>
      <sz val="12"/>
      <name val="Calibri"/>
      <family val="2"/>
      <scheme val="minor"/>
    </font>
    <font>
      <sz val="14"/>
      <name val="Calibri"/>
      <family val="2"/>
      <scheme val="minor"/>
    </font>
    <font>
      <b/>
      <sz val="16"/>
      <name val="Calibri"/>
      <family val="2"/>
      <scheme val="minor"/>
    </font>
    <font>
      <sz val="18"/>
      <color theme="1"/>
      <name val="Calibri"/>
      <family val="2"/>
      <scheme val="minor"/>
    </font>
    <font>
      <b/>
      <sz val="18"/>
      <color theme="1"/>
      <name val="Calibri"/>
      <family val="2"/>
      <scheme val="minor"/>
    </font>
    <font>
      <i/>
      <sz val="14"/>
      <color rgb="FF002060"/>
      <name val="Calibri"/>
      <family val="2"/>
      <scheme val="minor"/>
    </font>
    <font>
      <b/>
      <sz val="10"/>
      <name val="Calibri"/>
      <family val="2"/>
      <scheme val="minor"/>
    </font>
    <font>
      <b/>
      <sz val="16"/>
      <color rgb="FF1A406F"/>
      <name val="Calibri"/>
      <family val="2"/>
      <scheme val="minor"/>
    </font>
    <font>
      <b/>
      <i/>
      <sz val="14"/>
      <color rgb="FF082A75"/>
      <name val="Calibri"/>
      <family val="2"/>
      <scheme val="minor"/>
    </font>
    <font>
      <i/>
      <sz val="16"/>
      <color rgb="FF1A406F"/>
      <name val="Calibri"/>
      <family val="2"/>
      <scheme val="minor"/>
    </font>
    <font>
      <b/>
      <i/>
      <sz val="16"/>
      <color rgb="FF1A406F"/>
      <name val="Calibri"/>
      <family val="2"/>
      <scheme val="minor"/>
    </font>
    <font>
      <i/>
      <sz val="11"/>
      <color rgb="FF1A406F"/>
      <name val="Calibri"/>
      <family val="2"/>
      <scheme val="minor"/>
    </font>
    <font>
      <b/>
      <sz val="12"/>
      <color theme="1"/>
      <name val="Calibri"/>
      <family val="2"/>
      <scheme val="minor"/>
    </font>
    <font>
      <i/>
      <sz val="11"/>
      <color theme="1"/>
      <name val="Calibri"/>
      <family val="2"/>
      <scheme val="minor"/>
    </font>
    <font>
      <b/>
      <i/>
      <sz val="11"/>
      <color theme="1"/>
      <name val="Calibri"/>
      <family val="2"/>
      <scheme val="minor"/>
    </font>
    <font>
      <b/>
      <sz val="12"/>
      <color rgb="FF1A406F"/>
      <name val="Calibri"/>
      <family val="2"/>
      <scheme val="minor"/>
    </font>
    <font>
      <b/>
      <sz val="16"/>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5"/>
      </patternFill>
    </fill>
    <fill>
      <patternFill patternType="solid">
        <fgColor theme="0" tint="-0.14996795556505021"/>
        <bgColor indexed="64"/>
      </patternFill>
    </fill>
    <fill>
      <patternFill patternType="solid">
        <fgColor theme="4" tint="-0.49998474074526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D2FAF4"/>
        <bgColor indexed="64"/>
      </patternFill>
    </fill>
    <fill>
      <patternFill patternType="solid">
        <fgColor theme="7" tint="0.59999389629810485"/>
        <bgColor indexed="64"/>
      </patternFill>
    </fill>
    <fill>
      <patternFill patternType="solid">
        <fgColor theme="9"/>
        <bgColor indexed="64"/>
      </patternFill>
    </fill>
    <fill>
      <patternFill patternType="solid">
        <fgColor theme="2"/>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0A88BC"/>
      </bottom>
      <diagonal/>
    </border>
    <border>
      <left/>
      <right/>
      <top style="medium">
        <color rgb="FF0A88BC"/>
      </top>
      <bottom style="medium">
        <color rgb="FF0A88BC"/>
      </bottom>
      <diagonal/>
    </border>
    <border>
      <left style="medium">
        <color rgb="FF0A88BC"/>
      </left>
      <right/>
      <top style="medium">
        <color rgb="FF0A88BC"/>
      </top>
      <bottom/>
      <diagonal/>
    </border>
    <border>
      <left/>
      <right/>
      <top style="medium">
        <color rgb="FF0A88BC"/>
      </top>
      <bottom/>
      <diagonal/>
    </border>
    <border>
      <left/>
      <right style="medium">
        <color rgb="FF0A88BC"/>
      </right>
      <top style="medium">
        <color rgb="FF0A88BC"/>
      </top>
      <bottom/>
      <diagonal/>
    </border>
    <border>
      <left style="medium">
        <color rgb="FF0A88BC"/>
      </left>
      <right/>
      <top/>
      <bottom/>
      <diagonal/>
    </border>
    <border>
      <left/>
      <right style="medium">
        <color rgb="FF0A88BC"/>
      </right>
      <top/>
      <bottom/>
      <diagonal/>
    </border>
    <border>
      <left style="medium">
        <color rgb="FF0A88BC"/>
      </left>
      <right/>
      <top/>
      <bottom style="medium">
        <color rgb="FF0A88BC"/>
      </bottom>
      <diagonal/>
    </border>
    <border>
      <left/>
      <right style="medium">
        <color rgb="FF0A88BC"/>
      </right>
      <top/>
      <bottom style="medium">
        <color rgb="FF0A88BC"/>
      </bottom>
      <diagonal/>
    </border>
    <border>
      <left/>
      <right/>
      <top style="thick">
        <color rgb="FF0A88BC"/>
      </top>
      <bottom/>
      <diagonal/>
    </border>
    <border>
      <left/>
      <right/>
      <top/>
      <bottom style="thick">
        <color rgb="FF0A88BC"/>
      </bottom>
      <diagonal/>
    </border>
    <border>
      <left/>
      <right/>
      <top/>
      <bottom style="thin">
        <color theme="2" tint="-0.499984740745262"/>
      </bottom>
      <diagonal/>
    </border>
    <border>
      <left/>
      <right/>
      <top style="thin">
        <color theme="2" tint="-0.499984740745262"/>
      </top>
      <bottom/>
      <diagonal/>
    </border>
    <border>
      <left style="thick">
        <color rgb="FF0A88BC"/>
      </left>
      <right/>
      <top/>
      <bottom/>
      <diagonal/>
    </border>
    <border>
      <left/>
      <right style="thick">
        <color rgb="FF0A88BC"/>
      </right>
      <top/>
      <bottom/>
      <diagonal/>
    </border>
    <border>
      <left style="thick">
        <color rgb="FF0A88BC"/>
      </left>
      <right/>
      <top style="thick">
        <color rgb="FF0A88BC"/>
      </top>
      <bottom/>
      <diagonal/>
    </border>
    <border>
      <left/>
      <right style="thick">
        <color rgb="FF0A88BC"/>
      </right>
      <top style="thick">
        <color rgb="FF0A88BC"/>
      </top>
      <bottom/>
      <diagonal/>
    </border>
    <border>
      <left style="thick">
        <color rgb="FF0A88BC"/>
      </left>
      <right/>
      <top/>
      <bottom style="thick">
        <color rgb="FF0A88BC"/>
      </bottom>
      <diagonal/>
    </border>
    <border>
      <left/>
      <right style="thick">
        <color rgb="FF0A88BC"/>
      </right>
      <top/>
      <bottom style="thick">
        <color rgb="FF0A88BC"/>
      </bottom>
      <diagonal/>
    </border>
    <border>
      <left/>
      <right/>
      <top style="thin">
        <color theme="1" tint="0.249977111117893"/>
      </top>
      <bottom/>
      <diagonal/>
    </border>
    <border>
      <left/>
      <right/>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style="thin">
        <color theme="1" tint="0.249977111117893"/>
      </right>
      <top/>
      <bottom/>
      <diagonal/>
    </border>
    <border>
      <left style="thin">
        <color theme="1" tint="0.249977111117893"/>
      </left>
      <right/>
      <top/>
      <bottom/>
      <diagonal/>
    </border>
    <border>
      <left style="thin">
        <color theme="1" tint="0.249977111117893"/>
      </left>
      <right/>
      <top/>
      <bottom style="thin">
        <color theme="1" tint="0.249977111117893"/>
      </bottom>
      <diagonal/>
    </border>
    <border>
      <left/>
      <right style="thin">
        <color theme="1" tint="0.249977111117893"/>
      </right>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diagonal/>
    </border>
    <border>
      <left style="thin">
        <color theme="1" tint="0.249977111117893"/>
      </left>
      <right/>
      <top style="thin">
        <color theme="1" tint="0.249977111117893"/>
      </top>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right style="thin">
        <color theme="2" tint="-0.499984740745262"/>
      </right>
      <top style="thin">
        <color theme="2" tint="-0.499984740745262"/>
      </top>
      <bottom style="thin">
        <color theme="1" tint="0.249977111117893"/>
      </bottom>
      <diagonal/>
    </border>
  </borders>
  <cellStyleXfs count="10">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165" fontId="11" fillId="6" borderId="0" applyFont="0" applyFill="0" applyBorder="0" applyAlignment="0" applyProtection="0"/>
    <xf numFmtId="0" fontId="11" fillId="5" borderId="0" applyNumberFormat="0" applyFont="0" applyAlignment="0">
      <alignment horizontal="center" vertical="center" wrapText="1"/>
    </xf>
    <xf numFmtId="1" fontId="11" fillId="5" borderId="0" applyFont="0" applyFill="0" applyBorder="0" applyAlignment="0"/>
    <xf numFmtId="14" fontId="11" fillId="0" borderId="0" applyFont="0" applyFill="0" applyBorder="0" applyAlignment="0"/>
    <xf numFmtId="0" fontId="10" fillId="7" borderId="0" applyBorder="0" applyProtection="0">
      <alignment horizontal="right" vertical="center" wrapText="1" indent="2"/>
    </xf>
    <xf numFmtId="165" fontId="11" fillId="6" borderId="0" applyFont="0" applyFill="0" applyBorder="0" applyProtection="0">
      <alignment horizontal="right" indent="2"/>
    </xf>
  </cellStyleXfs>
  <cellXfs count="522">
    <xf numFmtId="0" fontId="0" fillId="0" borderId="0" xfId="0"/>
    <xf numFmtId="0" fontId="0" fillId="2" borderId="0" xfId="0" applyFill="1"/>
    <xf numFmtId="0" fontId="0" fillId="2" borderId="1" xfId="0" applyFill="1" applyBorder="1"/>
    <xf numFmtId="9" fontId="0" fillId="2" borderId="1" xfId="3" applyFont="1" applyFill="1" applyBorder="1"/>
    <xf numFmtId="0" fontId="0" fillId="3" borderId="1" xfId="0" applyFill="1" applyBorder="1"/>
    <xf numFmtId="2" fontId="0" fillId="2" borderId="1" xfId="3" applyNumberFormat="1" applyFont="1" applyFill="1" applyBorder="1"/>
    <xf numFmtId="0" fontId="4" fillId="2" borderId="0" xfId="0" applyFont="1" applyFill="1"/>
    <xf numFmtId="0" fontId="5" fillId="2" borderId="0" xfId="0" applyFont="1" applyFill="1"/>
    <xf numFmtId="44" fontId="0" fillId="2" borderId="1" xfId="0" applyNumberFormat="1" applyFill="1" applyBorder="1"/>
    <xf numFmtId="2" fontId="0" fillId="2" borderId="1" xfId="0" applyNumberFormat="1" applyFill="1" applyBorder="1"/>
    <xf numFmtId="164" fontId="0" fillId="4" borderId="1" xfId="1" applyNumberFormat="1" applyFont="1" applyFill="1" applyBorder="1"/>
    <xf numFmtId="44" fontId="0" fillId="2" borderId="1" xfId="1" applyFont="1" applyFill="1" applyBorder="1"/>
    <xf numFmtId="0" fontId="0" fillId="2" borderId="1" xfId="0" applyFill="1" applyBorder="1" applyAlignment="1">
      <alignment horizontal="right"/>
    </xf>
    <xf numFmtId="0" fontId="0" fillId="3" borderId="1" xfId="0" applyFill="1" applyBorder="1" applyAlignment="1">
      <alignment horizontal="right"/>
    </xf>
    <xf numFmtId="164" fontId="13" fillId="2" borderId="0" xfId="0" applyNumberFormat="1" applyFont="1" applyFill="1"/>
    <xf numFmtId="165" fontId="15" fillId="2" borderId="0" xfId="0" applyNumberFormat="1" applyFont="1" applyFill="1"/>
    <xf numFmtId="165" fontId="0" fillId="2" borderId="1" xfId="1" applyNumberFormat="1" applyFont="1" applyFill="1" applyBorder="1"/>
    <xf numFmtId="0" fontId="4" fillId="2" borderId="0" xfId="0" applyFont="1" applyFill="1" applyAlignment="1">
      <alignment horizontal="left"/>
    </xf>
    <xf numFmtId="165" fontId="14" fillId="2" borderId="0" xfId="1" applyNumberFormat="1" applyFont="1" applyFill="1" applyAlignment="1">
      <alignment horizontal="left"/>
    </xf>
    <xf numFmtId="165" fontId="0" fillId="3" borderId="1" xfId="1" applyNumberFormat="1" applyFont="1" applyFill="1" applyBorder="1"/>
    <xf numFmtId="44" fontId="0" fillId="2" borderId="1" xfId="1" applyFont="1" applyFill="1" applyBorder="1" applyProtection="1"/>
    <xf numFmtId="165" fontId="0" fillId="2" borderId="1" xfId="0" applyNumberFormat="1" applyFill="1" applyBorder="1"/>
    <xf numFmtId="1" fontId="0" fillId="2" borderId="1" xfId="0" applyNumberFormat="1" applyFill="1" applyBorder="1"/>
    <xf numFmtId="1" fontId="0" fillId="2" borderId="1" xfId="1" applyNumberFormat="1" applyFont="1" applyFill="1" applyBorder="1"/>
    <xf numFmtId="44" fontId="0" fillId="2" borderId="1" xfId="1" applyFont="1" applyFill="1" applyBorder="1" applyAlignment="1">
      <alignment horizontal="right"/>
    </xf>
    <xf numFmtId="0" fontId="5" fillId="2" borderId="0" xfId="0" applyFont="1" applyFill="1" applyAlignment="1">
      <alignment horizontal="right"/>
    </xf>
    <xf numFmtId="0" fontId="3" fillId="2" borderId="1" xfId="0" applyFont="1" applyFill="1" applyBorder="1"/>
    <xf numFmtId="0" fontId="0" fillId="2" borderId="2" xfId="0" applyFill="1" applyBorder="1"/>
    <xf numFmtId="0" fontId="0" fillId="2" borderId="3" xfId="0" applyFill="1" applyBorder="1"/>
    <xf numFmtId="0" fontId="19" fillId="0" borderId="0" xfId="0" applyFont="1"/>
    <xf numFmtId="165" fontId="0" fillId="2" borderId="1" xfId="1" applyNumberFormat="1" applyFont="1" applyFill="1" applyBorder="1" applyAlignment="1">
      <alignment horizontal="center"/>
    </xf>
    <xf numFmtId="0" fontId="18" fillId="0" borderId="0" xfId="0" applyFont="1"/>
    <xf numFmtId="3" fontId="0" fillId="2" borderId="1" xfId="0" applyNumberFormat="1" applyFill="1" applyBorder="1"/>
    <xf numFmtId="0" fontId="0" fillId="2" borderId="1" xfId="1" applyNumberFormat="1" applyFont="1" applyFill="1" applyBorder="1"/>
    <xf numFmtId="0" fontId="20" fillId="0" borderId="0" xfId="0" applyFont="1"/>
    <xf numFmtId="165" fontId="0" fillId="3" borderId="1" xfId="1" applyNumberFormat="1" applyFont="1" applyFill="1" applyBorder="1" applyAlignment="1">
      <alignment horizontal="right"/>
    </xf>
    <xf numFmtId="9" fontId="0" fillId="8" borderId="1" xfId="3" applyFont="1" applyFill="1" applyBorder="1"/>
    <xf numFmtId="9" fontId="0" fillId="9" borderId="1" xfId="3" applyFont="1" applyFill="1" applyBorder="1"/>
    <xf numFmtId="0" fontId="0" fillId="3" borderId="1" xfId="0" applyFill="1" applyBorder="1" applyAlignment="1">
      <alignment horizontal="left"/>
    </xf>
    <xf numFmtId="0" fontId="2" fillId="3" borderId="1" xfId="2" applyFill="1" applyBorder="1"/>
    <xf numFmtId="0" fontId="18" fillId="3" borderId="1" xfId="2" applyFont="1" applyFill="1" applyBorder="1" applyAlignment="1">
      <alignment horizontal="center"/>
    </xf>
    <xf numFmtId="0" fontId="17" fillId="10" borderId="0" xfId="0" applyFont="1" applyFill="1"/>
    <xf numFmtId="0" fontId="17" fillId="10" borderId="1" xfId="0" applyFont="1" applyFill="1" applyBorder="1"/>
    <xf numFmtId="0" fontId="17" fillId="10" borderId="0" xfId="0" applyFont="1" applyFill="1" applyProtection="1">
      <protection hidden="1"/>
    </xf>
    <xf numFmtId="0" fontId="21" fillId="10" borderId="0" xfId="0" applyFont="1" applyFill="1"/>
    <xf numFmtId="165" fontId="21" fillId="10" borderId="0" xfId="1" applyNumberFormat="1" applyFont="1" applyFill="1" applyBorder="1" applyProtection="1"/>
    <xf numFmtId="9" fontId="21" fillId="10" borderId="0" xfId="0" applyNumberFormat="1" applyFont="1" applyFill="1"/>
    <xf numFmtId="165" fontId="22" fillId="10" borderId="0" xfId="0" applyNumberFormat="1" applyFont="1" applyFill="1"/>
    <xf numFmtId="165" fontId="21" fillId="10" borderId="0" xfId="0" applyNumberFormat="1" applyFont="1" applyFill="1"/>
    <xf numFmtId="0" fontId="17" fillId="3" borderId="0" xfId="0" applyFont="1" applyFill="1" applyAlignment="1" applyProtection="1">
      <alignment horizontal="left"/>
      <protection locked="0"/>
    </xf>
    <xf numFmtId="0" fontId="17" fillId="3" borderId="0" xfId="0" applyFont="1" applyFill="1" applyProtection="1">
      <protection locked="0"/>
    </xf>
    <xf numFmtId="165" fontId="17" fillId="3" borderId="0" xfId="1" applyNumberFormat="1" applyFont="1" applyFill="1" applyBorder="1" applyAlignment="1" applyProtection="1">
      <alignment horizontal="left"/>
      <protection locked="0"/>
    </xf>
    <xf numFmtId="0" fontId="17" fillId="11" borderId="0" xfId="0" applyFont="1" applyFill="1" applyAlignment="1" applyProtection="1">
      <alignment horizontal="left"/>
      <protection locked="0"/>
    </xf>
    <xf numFmtId="165" fontId="17" fillId="11" borderId="0" xfId="1" applyNumberFormat="1" applyFont="1" applyFill="1" applyBorder="1" applyAlignment="1" applyProtection="1">
      <alignment horizontal="left"/>
      <protection locked="0"/>
    </xf>
    <xf numFmtId="9" fontId="17" fillId="10" borderId="0" xfId="0" applyNumberFormat="1" applyFont="1" applyFill="1"/>
    <xf numFmtId="9" fontId="0" fillId="2" borderId="1" xfId="0" applyNumberFormat="1" applyFill="1" applyBorder="1" applyAlignment="1">
      <alignment horizontal="right"/>
    </xf>
    <xf numFmtId="9" fontId="0" fillId="2" borderId="1" xfId="0" applyNumberFormat="1" applyFill="1" applyBorder="1"/>
    <xf numFmtId="0" fontId="0" fillId="12" borderId="1" xfId="0" applyFill="1" applyBorder="1"/>
    <xf numFmtId="44" fontId="0" fillId="12" borderId="1" xfId="1" applyFont="1" applyFill="1" applyBorder="1"/>
    <xf numFmtId="0" fontId="0" fillId="12" borderId="0" xfId="0" applyFill="1"/>
    <xf numFmtId="0" fontId="17" fillId="12" borderId="0" xfId="0" applyFont="1" applyFill="1"/>
    <xf numFmtId="9" fontId="0" fillId="0" borderId="0" xfId="3" applyFont="1"/>
    <xf numFmtId="9" fontId="17" fillId="10" borderId="0" xfId="3" applyFont="1" applyFill="1"/>
    <xf numFmtId="165" fontId="0" fillId="0" borderId="0" xfId="1" applyNumberFormat="1" applyFont="1"/>
    <xf numFmtId="165" fontId="17" fillId="10" borderId="0" xfId="1" applyNumberFormat="1" applyFont="1" applyFill="1"/>
    <xf numFmtId="9" fontId="17" fillId="11" borderId="0" xfId="3" applyFont="1" applyFill="1" applyAlignment="1" applyProtection="1">
      <alignment horizontal="left"/>
      <protection locked="0"/>
    </xf>
    <xf numFmtId="0" fontId="0" fillId="2" borderId="2" xfId="0" applyFill="1" applyBorder="1" applyAlignment="1">
      <alignment horizontal="center"/>
    </xf>
    <xf numFmtId="165" fontId="17" fillId="11" borderId="0" xfId="1" applyNumberFormat="1" applyFont="1" applyFill="1" applyAlignment="1" applyProtection="1">
      <alignment horizontal="left"/>
      <protection locked="0"/>
    </xf>
    <xf numFmtId="44" fontId="21" fillId="10" borderId="0" xfId="1" applyFont="1" applyFill="1"/>
    <xf numFmtId="44" fontId="17" fillId="10" borderId="0" xfId="1" applyFont="1" applyFill="1"/>
    <xf numFmtId="2" fontId="17" fillId="10" borderId="0" xfId="0" applyNumberFormat="1" applyFont="1" applyFill="1"/>
    <xf numFmtId="165" fontId="17" fillId="11" borderId="0" xfId="1" applyNumberFormat="1" applyFont="1" applyFill="1" applyAlignment="1">
      <alignment horizontal="left"/>
    </xf>
    <xf numFmtId="166" fontId="24" fillId="0" borderId="0" xfId="0" applyNumberFormat="1" applyFont="1"/>
    <xf numFmtId="0" fontId="25" fillId="2" borderId="0" xfId="0" applyFont="1" applyFill="1"/>
    <xf numFmtId="0" fontId="26" fillId="2" borderId="0" xfId="0" applyFont="1" applyFill="1"/>
    <xf numFmtId="0" fontId="27" fillId="2" borderId="0" xfId="0" applyFont="1" applyFill="1"/>
    <xf numFmtId="0" fontId="26" fillId="2" borderId="0" xfId="0" applyFont="1" applyFill="1" applyAlignment="1">
      <alignment horizontal="left"/>
    </xf>
    <xf numFmtId="165" fontId="28" fillId="2" borderId="0" xfId="1" applyNumberFormat="1" applyFont="1" applyFill="1" applyAlignment="1">
      <alignment horizontal="left"/>
    </xf>
    <xf numFmtId="0" fontId="25" fillId="2" borderId="0" xfId="0" applyFont="1" applyFill="1" applyAlignment="1">
      <alignment horizontal="left"/>
    </xf>
    <xf numFmtId="0" fontId="26" fillId="2" borderId="0" xfId="0" applyFont="1" applyFill="1" applyAlignment="1">
      <alignment horizontal="center"/>
    </xf>
    <xf numFmtId="165" fontId="29" fillId="2" borderId="0" xfId="0" applyNumberFormat="1" applyFont="1" applyFill="1" applyAlignment="1">
      <alignment horizontal="left"/>
    </xf>
    <xf numFmtId="0" fontId="26" fillId="2" borderId="0" xfId="0" applyFont="1" applyFill="1" applyAlignment="1">
      <alignment horizontal="right"/>
    </xf>
    <xf numFmtId="164" fontId="26" fillId="2" borderId="0" xfId="0" applyNumberFormat="1" applyFont="1" applyFill="1" applyAlignment="1">
      <alignment horizontal="center"/>
    </xf>
    <xf numFmtId="164" fontId="29" fillId="2" borderId="0" xfId="0" applyNumberFormat="1" applyFont="1" applyFill="1"/>
    <xf numFmtId="0" fontId="26" fillId="2" borderId="0" xfId="0" applyFont="1" applyFill="1" applyAlignment="1">
      <alignment horizontal="center" vertical="center" wrapText="1"/>
    </xf>
    <xf numFmtId="0" fontId="26" fillId="2" borderId="0" xfId="0" applyFont="1" applyFill="1" applyAlignment="1">
      <alignment vertical="center" wrapText="1"/>
    </xf>
    <xf numFmtId="0" fontId="26" fillId="2" borderId="0" xfId="0" applyFont="1" applyFill="1" applyAlignment="1">
      <alignment horizontal="left" vertical="center" wrapText="1"/>
    </xf>
    <xf numFmtId="0" fontId="31" fillId="2" borderId="0" xfId="0" applyFont="1" applyFill="1" applyAlignment="1">
      <alignment horizontal="center"/>
    </xf>
    <xf numFmtId="0" fontId="33" fillId="2" borderId="0" xfId="2" applyFont="1" applyFill="1"/>
    <xf numFmtId="0" fontId="24" fillId="2" borderId="0" xfId="0" applyFont="1" applyFill="1"/>
    <xf numFmtId="0" fontId="34" fillId="2" borderId="0" xfId="0" applyFont="1" applyFill="1"/>
    <xf numFmtId="0" fontId="37" fillId="2" borderId="0" xfId="0" applyFont="1" applyFill="1"/>
    <xf numFmtId="0" fontId="25" fillId="2" borderId="0" xfId="0" applyFont="1" applyFill="1" applyAlignment="1">
      <alignment vertical="center"/>
    </xf>
    <xf numFmtId="0" fontId="26" fillId="2" borderId="0" xfId="0" applyFont="1" applyFill="1" applyAlignment="1">
      <alignment vertical="center"/>
    </xf>
    <xf numFmtId="0" fontId="25" fillId="2" borderId="15" xfId="0" applyFont="1" applyFill="1" applyBorder="1"/>
    <xf numFmtId="0" fontId="26" fillId="2" borderId="15" xfId="0" applyFont="1" applyFill="1" applyBorder="1"/>
    <xf numFmtId="0" fontId="26" fillId="2" borderId="16" xfId="0" applyFont="1" applyFill="1" applyBorder="1"/>
    <xf numFmtId="44" fontId="31" fillId="2" borderId="16" xfId="1" applyFont="1" applyFill="1" applyBorder="1"/>
    <xf numFmtId="0" fontId="31" fillId="2" borderId="16" xfId="0" applyFont="1" applyFill="1" applyBorder="1" applyAlignment="1">
      <alignment horizontal="center"/>
    </xf>
    <xf numFmtId="0" fontId="31" fillId="2" borderId="0" xfId="0" applyFont="1" applyFill="1" applyAlignment="1">
      <alignment horizontal="center" vertical="center"/>
    </xf>
    <xf numFmtId="0" fontId="25" fillId="0" borderId="0" xfId="0" applyFont="1"/>
    <xf numFmtId="0" fontId="24" fillId="0" borderId="0" xfId="0" applyFont="1"/>
    <xf numFmtId="0" fontId="0" fillId="13" borderId="0" xfId="0" applyFill="1"/>
    <xf numFmtId="0" fontId="26" fillId="13" borderId="0" xfId="0" applyFont="1" applyFill="1" applyAlignment="1">
      <alignment horizontal="center"/>
    </xf>
    <xf numFmtId="0" fontId="0" fillId="14" borderId="0" xfId="0" applyFill="1"/>
    <xf numFmtId="0" fontId="26" fillId="14" borderId="0" xfId="0" applyFont="1" applyFill="1"/>
    <xf numFmtId="0" fontId="24" fillId="14" borderId="0" xfId="0" applyFont="1" applyFill="1"/>
    <xf numFmtId="0" fontId="24" fillId="13" borderId="0" xfId="0" applyFont="1" applyFill="1"/>
    <xf numFmtId="0" fontId="26" fillId="13" borderId="0" xfId="0" applyFont="1" applyFill="1"/>
    <xf numFmtId="0" fontId="25" fillId="14" borderId="15" xfId="0" applyFont="1" applyFill="1" applyBorder="1"/>
    <xf numFmtId="0" fontId="26" fillId="14" borderId="15" xfId="0" applyFont="1" applyFill="1" applyBorder="1"/>
    <xf numFmtId="44" fontId="31" fillId="14" borderId="0" xfId="1" applyFont="1" applyFill="1" applyBorder="1"/>
    <xf numFmtId="0" fontId="31" fillId="14" borderId="0" xfId="0" applyFont="1" applyFill="1" applyAlignment="1">
      <alignment horizontal="center"/>
    </xf>
    <xf numFmtId="0" fontId="31" fillId="14" borderId="15" xfId="0" applyFont="1" applyFill="1" applyBorder="1" applyAlignment="1">
      <alignment horizontal="center"/>
    </xf>
    <xf numFmtId="0" fontId="25" fillId="14" borderId="0" xfId="0" applyFont="1" applyFill="1"/>
    <xf numFmtId="0" fontId="31" fillId="14" borderId="0" xfId="0" applyFont="1" applyFill="1" applyAlignment="1">
      <alignment horizontal="center" vertical="center" wrapText="1"/>
    </xf>
    <xf numFmtId="0" fontId="25" fillId="14" borderId="16" xfId="0" applyFont="1" applyFill="1" applyBorder="1"/>
    <xf numFmtId="0" fontId="26" fillId="14" borderId="16" xfId="0" applyFont="1" applyFill="1" applyBorder="1"/>
    <xf numFmtId="0" fontId="26" fillId="13" borderId="0" xfId="0" applyFont="1" applyFill="1" applyAlignment="1">
      <alignment horizontal="left" vertical="center"/>
    </xf>
    <xf numFmtId="0" fontId="26" fillId="13" borderId="0" xfId="0" applyFont="1" applyFill="1" applyAlignment="1">
      <alignment horizontal="left"/>
    </xf>
    <xf numFmtId="0" fontId="26" fillId="13" borderId="18" xfId="0" applyFont="1" applyFill="1" applyBorder="1" applyAlignment="1">
      <alignment horizontal="center"/>
    </xf>
    <xf numFmtId="0" fontId="0" fillId="13" borderId="17" xfId="0" applyFill="1" applyBorder="1"/>
    <xf numFmtId="0" fontId="26" fillId="13" borderId="18" xfId="0" applyFont="1" applyFill="1" applyBorder="1"/>
    <xf numFmtId="0" fontId="26" fillId="13" borderId="17" xfId="0" applyFont="1" applyFill="1" applyBorder="1" applyAlignment="1">
      <alignment horizontal="left" vertical="center"/>
    </xf>
    <xf numFmtId="0" fontId="0" fillId="13" borderId="18" xfId="0" applyFill="1" applyBorder="1"/>
    <xf numFmtId="0" fontId="34" fillId="13" borderId="0" xfId="0" applyFont="1" applyFill="1" applyAlignment="1">
      <alignment horizontal="center" vertical="center" wrapText="1"/>
    </xf>
    <xf numFmtId="0" fontId="24" fillId="13" borderId="0" xfId="0" applyFont="1" applyFill="1" applyAlignment="1">
      <alignment vertical="center"/>
    </xf>
    <xf numFmtId="0" fontId="26" fillId="13" borderId="0" xfId="0" applyFont="1" applyFill="1" applyAlignment="1">
      <alignment vertical="center" wrapText="1"/>
    </xf>
    <xf numFmtId="0" fontId="26" fillId="13" borderId="0" xfId="0" applyFont="1" applyFill="1" applyAlignment="1">
      <alignment vertical="center"/>
    </xf>
    <xf numFmtId="0" fontId="31" fillId="13" borderId="0" xfId="0" applyFont="1" applyFill="1"/>
    <xf numFmtId="0" fontId="31" fillId="13" borderId="0" xfId="0" applyFont="1" applyFill="1" applyAlignment="1">
      <alignment horizontal="center"/>
    </xf>
    <xf numFmtId="0" fontId="31" fillId="13" borderId="0" xfId="0" applyFont="1" applyFill="1" applyAlignment="1">
      <alignment vertical="center"/>
    </xf>
    <xf numFmtId="0" fontId="31" fillId="13" borderId="0" xfId="0" applyFont="1" applyFill="1" applyAlignment="1">
      <alignment horizontal="center" vertical="center"/>
    </xf>
    <xf numFmtId="44" fontId="26" fillId="13" borderId="0" xfId="1" applyFont="1" applyFill="1" applyAlignment="1">
      <alignment vertical="center"/>
    </xf>
    <xf numFmtId="166" fontId="31" fillId="13" borderId="0" xfId="1" applyNumberFormat="1" applyFont="1" applyFill="1" applyAlignment="1" applyProtection="1">
      <alignment horizontal="center" vertical="center"/>
      <protection locked="0"/>
    </xf>
    <xf numFmtId="166" fontId="26" fillId="13" borderId="0" xfId="0" applyNumberFormat="1" applyFont="1" applyFill="1" applyAlignment="1" applyProtection="1">
      <alignment horizontal="center" vertical="center"/>
      <protection locked="0"/>
    </xf>
    <xf numFmtId="166" fontId="26" fillId="13" borderId="0" xfId="1" applyNumberFormat="1" applyFont="1" applyFill="1" applyAlignment="1" applyProtection="1">
      <alignment horizontal="center" vertical="center"/>
      <protection locked="0"/>
    </xf>
    <xf numFmtId="0" fontId="24" fillId="2" borderId="15" xfId="0" applyFont="1" applyFill="1" applyBorder="1"/>
    <xf numFmtId="0" fontId="0" fillId="2" borderId="15" xfId="0" applyFill="1" applyBorder="1"/>
    <xf numFmtId="0" fontId="40" fillId="2" borderId="0" xfId="0" applyFont="1" applyFill="1" applyAlignment="1">
      <alignment horizontal="left"/>
    </xf>
    <xf numFmtId="0" fontId="40" fillId="2" borderId="0" xfId="0" applyFont="1" applyFill="1" applyAlignment="1">
      <alignment horizontal="right"/>
    </xf>
    <xf numFmtId="0" fontId="0" fillId="2" borderId="0" xfId="0" applyFill="1" applyAlignment="1">
      <alignment horizontal="right"/>
    </xf>
    <xf numFmtId="0" fontId="24" fillId="2" borderId="15" xfId="0" applyFont="1" applyFill="1" applyBorder="1" applyAlignment="1">
      <alignment horizontal="left"/>
    </xf>
    <xf numFmtId="165" fontId="28" fillId="2" borderId="15" xfId="1" applyNumberFormat="1" applyFont="1" applyFill="1" applyBorder="1" applyAlignment="1">
      <alignment horizontal="left"/>
    </xf>
    <xf numFmtId="0" fontId="25" fillId="2" borderId="15" xfId="0" applyFont="1" applyFill="1" applyBorder="1" applyAlignment="1">
      <alignment horizontal="left"/>
    </xf>
    <xf numFmtId="0" fontId="24" fillId="2" borderId="0" xfId="0" applyFont="1" applyFill="1" applyAlignment="1">
      <alignment horizontal="left"/>
    </xf>
    <xf numFmtId="0" fontId="39" fillId="2" borderId="0" xfId="0" applyFont="1" applyFill="1" applyAlignment="1" applyProtection="1">
      <alignment vertical="center"/>
      <protection locked="0"/>
    </xf>
    <xf numFmtId="166" fontId="26" fillId="2" borderId="0" xfId="1" applyNumberFormat="1" applyFont="1" applyFill="1" applyAlignment="1" applyProtection="1">
      <alignment horizontal="center" vertical="center"/>
      <protection locked="0"/>
    </xf>
    <xf numFmtId="166" fontId="26" fillId="2" borderId="0" xfId="0" applyNumberFormat="1" applyFont="1" applyFill="1" applyAlignment="1" applyProtection="1">
      <alignment horizontal="center" vertical="center"/>
      <protection locked="0"/>
    </xf>
    <xf numFmtId="44" fontId="26" fillId="2" borderId="0" xfId="1" applyFont="1" applyFill="1" applyAlignment="1">
      <alignment vertical="center"/>
    </xf>
    <xf numFmtId="0" fontId="34" fillId="2" borderId="0" xfId="0" applyFont="1" applyFill="1" applyAlignment="1">
      <alignment horizontal="center" vertical="center" wrapText="1"/>
    </xf>
    <xf numFmtId="0" fontId="26" fillId="2" borderId="6"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26" fillId="2" borderId="6" xfId="0" applyFont="1" applyFill="1" applyBorder="1" applyAlignment="1">
      <alignment horizontal="right" vertical="center" wrapText="1"/>
    </xf>
    <xf numFmtId="165" fontId="30" fillId="2" borderId="0" xfId="0" applyNumberFormat="1" applyFont="1" applyFill="1"/>
    <xf numFmtId="0" fontId="31" fillId="2" borderId="0" xfId="0" applyFont="1" applyFill="1"/>
    <xf numFmtId="0" fontId="4" fillId="0" borderId="0" xfId="0" applyFont="1"/>
    <xf numFmtId="0" fontId="5" fillId="0" borderId="0" xfId="0" applyFont="1"/>
    <xf numFmtId="0" fontId="6" fillId="0" borderId="0" xfId="0" applyFont="1"/>
    <xf numFmtId="165" fontId="14" fillId="0" borderId="0" xfId="1" applyNumberFormat="1" applyFont="1" applyFill="1" applyAlignment="1">
      <alignment horizontal="left"/>
    </xf>
    <xf numFmtId="0" fontId="4" fillId="0" borderId="0" xfId="0" applyFont="1" applyAlignment="1">
      <alignment horizontal="left"/>
    </xf>
    <xf numFmtId="0" fontId="8" fillId="0" borderId="0" xfId="0" applyFont="1"/>
    <xf numFmtId="0" fontId="47" fillId="0" borderId="0" xfId="0" applyFont="1"/>
    <xf numFmtId="0" fontId="48" fillId="0" borderId="0" xfId="0" applyFont="1"/>
    <xf numFmtId="0" fontId="50" fillId="0" borderId="0" xfId="0" applyFont="1"/>
    <xf numFmtId="0" fontId="51" fillId="0" borderId="0" xfId="0" applyFont="1"/>
    <xf numFmtId="0" fontId="47" fillId="2" borderId="0" xfId="0" applyFont="1" applyFill="1"/>
    <xf numFmtId="0" fontId="50" fillId="2" borderId="0" xfId="0" applyFont="1" applyFill="1"/>
    <xf numFmtId="0" fontId="56" fillId="2" borderId="0" xfId="0" applyFont="1" applyFill="1"/>
    <xf numFmtId="0" fontId="50" fillId="2" borderId="0" xfId="0" applyFont="1" applyFill="1" applyAlignment="1">
      <alignment horizontal="left"/>
    </xf>
    <xf numFmtId="165" fontId="49" fillId="2" borderId="0" xfId="1" applyNumberFormat="1" applyFont="1" applyFill="1" applyAlignment="1">
      <alignment horizontal="left"/>
    </xf>
    <xf numFmtId="0" fontId="47" fillId="2" borderId="0" xfId="0" applyFont="1" applyFill="1" applyAlignment="1">
      <alignment horizontal="left"/>
    </xf>
    <xf numFmtId="0" fontId="34" fillId="2" borderId="0" xfId="0" applyFont="1" applyFill="1" applyAlignment="1">
      <alignment horizontal="right"/>
    </xf>
    <xf numFmtId="0" fontId="4" fillId="2" borderId="16" xfId="0" applyFont="1" applyFill="1" applyBorder="1"/>
    <xf numFmtId="0" fontId="5" fillId="2" borderId="16" xfId="0" applyFont="1" applyFill="1" applyBorder="1"/>
    <xf numFmtId="0" fontId="5" fillId="2" borderId="15" xfId="0" applyFont="1" applyFill="1" applyBorder="1"/>
    <xf numFmtId="0" fontId="58" fillId="2" borderId="0" xfId="0" applyFont="1" applyFill="1" applyAlignment="1">
      <alignment horizontal="left" vertical="center"/>
    </xf>
    <xf numFmtId="0" fontId="59" fillId="2" borderId="0" xfId="0" applyFont="1" applyFill="1" applyAlignment="1">
      <alignment horizontal="left" vertical="center"/>
    </xf>
    <xf numFmtId="0" fontId="58" fillId="2" borderId="0" xfId="0" applyFont="1" applyFill="1" applyAlignment="1">
      <alignment horizontal="right" vertical="center"/>
    </xf>
    <xf numFmtId="0" fontId="50" fillId="2" borderId="0" xfId="0" applyFont="1" applyFill="1" applyAlignment="1">
      <alignment vertical="center"/>
    </xf>
    <xf numFmtId="0" fontId="59" fillId="2" borderId="0" xfId="0" applyFont="1" applyFill="1" applyAlignment="1">
      <alignment horizontal="right" vertical="center"/>
    </xf>
    <xf numFmtId="0" fontId="59" fillId="2" borderId="0" xfId="0" applyFont="1" applyFill="1" applyAlignment="1">
      <alignment vertical="center"/>
    </xf>
    <xf numFmtId="0" fontId="50" fillId="2" borderId="0" xfId="0" applyFont="1" applyFill="1" applyAlignment="1">
      <alignment horizontal="left" vertical="center"/>
    </xf>
    <xf numFmtId="0" fontId="5" fillId="2" borderId="15" xfId="0" applyFont="1" applyFill="1" applyBorder="1" applyAlignment="1">
      <alignment horizontal="left"/>
    </xf>
    <xf numFmtId="0" fontId="38" fillId="13" borderId="0" xfId="0" applyFont="1" applyFill="1" applyAlignment="1">
      <alignment vertical="center"/>
    </xf>
    <xf numFmtId="0" fontId="38" fillId="2" borderId="0" xfId="0" applyFont="1" applyFill="1" applyAlignment="1">
      <alignment vertical="center"/>
    </xf>
    <xf numFmtId="0" fontId="50" fillId="13" borderId="0" xfId="0" applyFont="1" applyFill="1"/>
    <xf numFmtId="0" fontId="50" fillId="13" borderId="0" xfId="0" applyFont="1" applyFill="1" applyAlignment="1">
      <alignment horizontal="left"/>
    </xf>
    <xf numFmtId="0" fontId="50" fillId="13" borderId="0" xfId="0" applyFont="1" applyFill="1" applyAlignment="1">
      <alignment vertical="center"/>
    </xf>
    <xf numFmtId="0" fontId="51" fillId="13" borderId="0" xfId="0" applyFont="1" applyFill="1" applyAlignment="1">
      <alignment horizontal="center"/>
    </xf>
    <xf numFmtId="0" fontId="23" fillId="0" borderId="0" xfId="0" applyFont="1" applyAlignment="1">
      <alignment vertical="center"/>
    </xf>
    <xf numFmtId="0" fontId="51" fillId="2" borderId="0" xfId="0" applyFont="1" applyFill="1" applyAlignment="1">
      <alignment vertical="center"/>
    </xf>
    <xf numFmtId="0" fontId="48" fillId="2" borderId="0" xfId="0" applyFont="1" applyFill="1"/>
    <xf numFmtId="0" fontId="19" fillId="13" borderId="0" xfId="0" applyFont="1" applyFill="1" applyAlignment="1">
      <alignment vertical="center"/>
    </xf>
    <xf numFmtId="0" fontId="36" fillId="0" borderId="0" xfId="0" applyFont="1"/>
    <xf numFmtId="0" fontId="50" fillId="2" borderId="0" xfId="0" applyFont="1" applyFill="1" applyAlignment="1">
      <alignment horizontal="center" vertical="center" wrapText="1"/>
    </xf>
    <xf numFmtId="0" fontId="48" fillId="2" borderId="0" xfId="0" applyFont="1" applyFill="1" applyAlignment="1">
      <alignment horizontal="left"/>
    </xf>
    <xf numFmtId="0" fontId="50" fillId="2" borderId="0" xfId="0" applyFont="1" applyFill="1" applyAlignment="1">
      <alignment horizontal="center"/>
    </xf>
    <xf numFmtId="0" fontId="26" fillId="14" borderId="0" xfId="0" applyFont="1" applyFill="1" applyAlignment="1">
      <alignment vertical="center"/>
    </xf>
    <xf numFmtId="0" fontId="47" fillId="2" borderId="0" xfId="0" applyFont="1" applyFill="1" applyAlignment="1">
      <alignment vertical="center"/>
    </xf>
    <xf numFmtId="0" fontId="48" fillId="2" borderId="0" xfId="0" applyFont="1" applyFill="1" applyAlignment="1">
      <alignment vertical="center"/>
    </xf>
    <xf numFmtId="0" fontId="50" fillId="2" borderId="0" xfId="0" applyFont="1" applyFill="1" applyAlignment="1">
      <alignment horizontal="left" vertical="center" wrapText="1"/>
    </xf>
    <xf numFmtId="0" fontId="50" fillId="2" borderId="0" xfId="0" applyFont="1" applyFill="1" applyAlignment="1">
      <alignment vertical="center" wrapText="1"/>
    </xf>
    <xf numFmtId="9" fontId="59" fillId="2" borderId="0" xfId="0" applyNumberFormat="1" applyFont="1" applyFill="1" applyAlignment="1">
      <alignment horizontal="left" vertical="center"/>
    </xf>
    <xf numFmtId="0" fontId="44" fillId="2" borderId="16" xfId="0" applyFont="1" applyFill="1" applyBorder="1" applyAlignment="1">
      <alignment vertical="center"/>
    </xf>
    <xf numFmtId="0" fontId="44" fillId="2" borderId="0" xfId="0" applyFont="1" applyFill="1" applyAlignment="1">
      <alignment vertical="center"/>
    </xf>
    <xf numFmtId="0" fontId="7" fillId="0" borderId="0" xfId="0" applyFont="1" applyAlignment="1">
      <alignment vertical="center" wrapText="1"/>
    </xf>
    <xf numFmtId="0" fontId="17" fillId="0" borderId="0" xfId="0" applyFont="1"/>
    <xf numFmtId="0" fontId="16" fillId="0" borderId="0" xfId="2" applyFont="1" applyFill="1"/>
    <xf numFmtId="0" fontId="59" fillId="0" borderId="0" xfId="0" applyFont="1"/>
    <xf numFmtId="0" fontId="5" fillId="14" borderId="0" xfId="0" applyFont="1" applyFill="1" applyAlignment="1">
      <alignment horizontal="right"/>
    </xf>
    <xf numFmtId="164" fontId="5" fillId="14" borderId="0" xfId="0" applyNumberFormat="1" applyFont="1" applyFill="1" applyAlignment="1">
      <alignment horizontal="center"/>
    </xf>
    <xf numFmtId="0" fontId="5" fillId="14" borderId="0" xfId="0" applyFont="1" applyFill="1"/>
    <xf numFmtId="165" fontId="15" fillId="14" borderId="0" xfId="0" applyNumberFormat="1" applyFont="1" applyFill="1"/>
    <xf numFmtId="0" fontId="62" fillId="0" borderId="0" xfId="2" applyFont="1" applyFill="1" applyAlignment="1"/>
    <xf numFmtId="0" fontId="59" fillId="13" borderId="0" xfId="0" applyFont="1" applyFill="1" applyAlignment="1">
      <alignment horizontal="right" wrapText="1"/>
    </xf>
    <xf numFmtId="0" fontId="48" fillId="13" borderId="0" xfId="0" applyFont="1" applyFill="1" applyAlignment="1">
      <alignment horizontal="left"/>
    </xf>
    <xf numFmtId="165" fontId="59" fillId="13" borderId="0" xfId="1" applyNumberFormat="1" applyFont="1" applyFill="1" applyAlignment="1">
      <alignment horizontal="right" wrapText="1"/>
    </xf>
    <xf numFmtId="0" fontId="51" fillId="0" borderId="26" xfId="0" applyFont="1" applyBorder="1"/>
    <xf numFmtId="9" fontId="59" fillId="13" borderId="0" xfId="0" applyNumberFormat="1" applyFont="1" applyFill="1" applyAlignment="1">
      <alignment horizontal="left"/>
    </xf>
    <xf numFmtId="9" fontId="59" fillId="13" borderId="0" xfId="0" applyNumberFormat="1" applyFont="1" applyFill="1" applyAlignment="1">
      <alignment horizontal="left" vertical="center"/>
    </xf>
    <xf numFmtId="0" fontId="47" fillId="14" borderId="0" xfId="0" applyFont="1" applyFill="1"/>
    <xf numFmtId="0" fontId="23" fillId="2" borderId="0" xfId="0" applyFont="1" applyFill="1" applyAlignment="1">
      <alignment vertical="center"/>
    </xf>
    <xf numFmtId="0" fontId="57" fillId="2" borderId="0" xfId="0" applyFont="1" applyFill="1"/>
    <xf numFmtId="164" fontId="53" fillId="2" borderId="0" xfId="0" applyNumberFormat="1" applyFont="1" applyFill="1"/>
    <xf numFmtId="44" fontId="51" fillId="2" borderId="0" xfId="1" applyFont="1" applyFill="1"/>
    <xf numFmtId="0" fontId="51" fillId="2" borderId="0" xfId="0" applyFont="1" applyFill="1" applyAlignment="1">
      <alignment horizontal="center"/>
    </xf>
    <xf numFmtId="9" fontId="59" fillId="2" borderId="0" xfId="0" applyNumberFormat="1" applyFont="1" applyFill="1" applyAlignment="1">
      <alignment horizontal="right" wrapText="1"/>
    </xf>
    <xf numFmtId="0" fontId="51" fillId="2" borderId="0" xfId="0" applyFont="1" applyFill="1" applyAlignment="1">
      <alignment horizontal="left"/>
    </xf>
    <xf numFmtId="44" fontId="51" fillId="2" borderId="0" xfId="1" applyFont="1" applyFill="1" applyBorder="1"/>
    <xf numFmtId="0" fontId="51" fillId="0" borderId="26" xfId="0" applyFont="1" applyBorder="1" applyAlignment="1">
      <alignment horizontal="left" vertical="center"/>
    </xf>
    <xf numFmtId="0" fontId="50" fillId="2" borderId="0" xfId="0" applyFont="1" applyFill="1" applyAlignment="1">
      <alignment horizontal="right"/>
    </xf>
    <xf numFmtId="165" fontId="54" fillId="2" borderId="0" xfId="0" applyNumberFormat="1" applyFont="1" applyFill="1"/>
    <xf numFmtId="0" fontId="48" fillId="2" borderId="16" xfId="0" applyFont="1" applyFill="1" applyBorder="1" applyAlignment="1">
      <alignment vertical="center"/>
    </xf>
    <xf numFmtId="0" fontId="0" fillId="2" borderId="16" xfId="0" applyFill="1" applyBorder="1" applyAlignment="1">
      <alignment vertical="center"/>
    </xf>
    <xf numFmtId="0" fontId="0" fillId="2" borderId="16" xfId="0" applyFill="1" applyBorder="1"/>
    <xf numFmtId="0" fontId="50" fillId="2" borderId="16" xfId="0" applyFont="1" applyFill="1" applyBorder="1" applyAlignment="1">
      <alignment vertical="center"/>
    </xf>
    <xf numFmtId="0" fontId="48" fillId="2" borderId="15" xfId="0" applyFont="1" applyFill="1" applyBorder="1" applyAlignment="1">
      <alignment vertical="center"/>
    </xf>
    <xf numFmtId="0" fontId="59" fillId="2" borderId="0" xfId="0" applyFont="1" applyFill="1" applyAlignment="1">
      <alignment horizontal="right" wrapText="1"/>
    </xf>
    <xf numFmtId="9" fontId="59" fillId="2" borderId="0" xfId="3" applyFont="1" applyFill="1" applyAlignment="1">
      <alignment horizontal="right" wrapText="1"/>
    </xf>
    <xf numFmtId="0" fontId="12" fillId="0" borderId="0" xfId="0" applyFont="1"/>
    <xf numFmtId="165" fontId="56" fillId="13" borderId="25" xfId="1" applyNumberFormat="1" applyFont="1" applyFill="1" applyBorder="1" applyAlignment="1">
      <alignment vertical="center"/>
    </xf>
    <xf numFmtId="0" fontId="58" fillId="13" borderId="0" xfId="0" applyFont="1" applyFill="1" applyAlignment="1">
      <alignment horizontal="left" vertical="center"/>
    </xf>
    <xf numFmtId="0" fontId="17" fillId="13" borderId="0" xfId="0" applyFont="1" applyFill="1"/>
    <xf numFmtId="0" fontId="56" fillId="13" borderId="0" xfId="0" applyFont="1" applyFill="1" applyAlignment="1">
      <alignment horizontal="left"/>
    </xf>
    <xf numFmtId="165" fontId="63" fillId="2" borderId="0" xfId="1" applyNumberFormat="1" applyFont="1" applyFill="1" applyAlignment="1">
      <alignment vertical="center"/>
    </xf>
    <xf numFmtId="0" fontId="17" fillId="2" borderId="0" xfId="0" applyFont="1" applyFill="1"/>
    <xf numFmtId="0" fontId="58" fillId="2" borderId="0" xfId="0" applyFont="1" applyFill="1" applyAlignment="1">
      <alignment horizontal="left"/>
    </xf>
    <xf numFmtId="165" fontId="64" fillId="13" borderId="0" xfId="1" applyNumberFormat="1" applyFont="1" applyFill="1" applyAlignment="1">
      <alignment vertical="center"/>
    </xf>
    <xf numFmtId="2" fontId="56" fillId="2" borderId="0" xfId="0" applyNumberFormat="1" applyFont="1" applyFill="1" applyAlignment="1">
      <alignment vertical="center"/>
    </xf>
    <xf numFmtId="0" fontId="58" fillId="2" borderId="0" xfId="0" applyFont="1" applyFill="1" applyAlignment="1">
      <alignment vertical="center"/>
    </xf>
    <xf numFmtId="0" fontId="58" fillId="2" borderId="0" xfId="0" applyFont="1" applyFill="1"/>
    <xf numFmtId="165" fontId="56" fillId="13" borderId="0" xfId="1" applyNumberFormat="1" applyFont="1" applyFill="1" applyAlignment="1">
      <alignment vertical="center"/>
    </xf>
    <xf numFmtId="0" fontId="58" fillId="13" borderId="0" xfId="0" applyFont="1" applyFill="1" applyAlignment="1">
      <alignment vertical="center"/>
    </xf>
    <xf numFmtId="0" fontId="58" fillId="13" borderId="0" xfId="0" applyFont="1" applyFill="1"/>
    <xf numFmtId="165" fontId="56" fillId="2" borderId="0" xfId="0" applyNumberFormat="1" applyFont="1" applyFill="1" applyAlignment="1">
      <alignment vertical="center"/>
    </xf>
    <xf numFmtId="44" fontId="58" fillId="2" borderId="0" xfId="1" applyFont="1" applyFill="1" applyAlignment="1">
      <alignment horizontal="left" vertical="center"/>
    </xf>
    <xf numFmtId="44" fontId="58" fillId="2" borderId="0" xfId="1" applyFont="1" applyFill="1" applyAlignment="1">
      <alignment horizontal="left"/>
    </xf>
    <xf numFmtId="165" fontId="63" fillId="13" borderId="0" xfId="1" applyNumberFormat="1" applyFont="1" applyFill="1" applyAlignment="1">
      <alignment vertical="center"/>
    </xf>
    <xf numFmtId="44" fontId="58" fillId="13" borderId="0" xfId="1" applyFont="1" applyFill="1" applyAlignment="1">
      <alignment vertical="center"/>
    </xf>
    <xf numFmtId="0" fontId="56" fillId="13" borderId="0" xfId="0" applyFont="1" applyFill="1" applyAlignment="1">
      <alignment horizontal="center"/>
    </xf>
    <xf numFmtId="0" fontId="12" fillId="2" borderId="0" xfId="0" applyFont="1" applyFill="1"/>
    <xf numFmtId="0" fontId="52" fillId="14" borderId="0" xfId="0" applyFont="1" applyFill="1"/>
    <xf numFmtId="165" fontId="28" fillId="13" borderId="17" xfId="0" applyNumberFormat="1" applyFont="1" applyFill="1" applyBorder="1" applyAlignment="1">
      <alignment horizontal="center" vertical="center"/>
    </xf>
    <xf numFmtId="165" fontId="28" fillId="13" borderId="0" xfId="0" applyNumberFormat="1" applyFont="1" applyFill="1" applyAlignment="1">
      <alignment horizontal="center" vertical="center"/>
    </xf>
    <xf numFmtId="165" fontId="67" fillId="14" borderId="0" xfId="0" applyNumberFormat="1" applyFont="1" applyFill="1" applyAlignment="1" applyProtection="1">
      <alignment horizontal="center" vertical="center"/>
      <protection locked="0"/>
    </xf>
    <xf numFmtId="0" fontId="2" fillId="11" borderId="0" xfId="2" applyFill="1" applyAlignment="1" applyProtection="1">
      <alignment horizontal="left"/>
      <protection locked="0"/>
    </xf>
    <xf numFmtId="0" fontId="68" fillId="2" borderId="0" xfId="0" applyFont="1" applyFill="1" applyAlignment="1">
      <alignment horizontal="right" vertical="center"/>
    </xf>
    <xf numFmtId="0" fontId="17" fillId="11" borderId="0" xfId="3" applyNumberFormat="1" applyFont="1" applyFill="1" applyAlignment="1" applyProtection="1">
      <alignment horizontal="left"/>
      <protection locked="0"/>
    </xf>
    <xf numFmtId="2" fontId="59" fillId="13" borderId="0" xfId="3" applyNumberFormat="1" applyFont="1" applyFill="1" applyAlignment="1">
      <alignment horizontal="right" wrapText="1"/>
    </xf>
    <xf numFmtId="0" fontId="0" fillId="2" borderId="4" xfId="0" applyFill="1" applyBorder="1" applyAlignment="1">
      <alignment horizontal="center"/>
    </xf>
    <xf numFmtId="0" fontId="0" fillId="2" borderId="5" xfId="0" applyFill="1" applyBorder="1" applyAlignment="1">
      <alignment horizontal="center"/>
    </xf>
    <xf numFmtId="44" fontId="0" fillId="2" borderId="4" xfId="1" applyFont="1" applyFill="1" applyBorder="1" applyProtection="1"/>
    <xf numFmtId="44" fontId="0" fillId="2" borderId="2" xfId="1" applyFont="1" applyFill="1" applyBorder="1" applyProtection="1"/>
    <xf numFmtId="44" fontId="0" fillId="2" borderId="5" xfId="1" applyFont="1" applyFill="1" applyBorder="1" applyProtection="1"/>
    <xf numFmtId="0" fontId="21" fillId="10" borderId="0" xfId="0" applyFont="1" applyFill="1" applyAlignment="1">
      <alignment horizontal="center"/>
    </xf>
    <xf numFmtId="0" fontId="17" fillId="10" borderId="0" xfId="0" applyFont="1" applyFill="1" applyAlignment="1">
      <alignment horizontal="center"/>
    </xf>
    <xf numFmtId="0" fontId="17" fillId="10" borderId="0" xfId="0" applyFont="1" applyFill="1"/>
    <xf numFmtId="0" fontId="55" fillId="0" borderId="0" xfId="0" applyFont="1" applyAlignment="1">
      <alignment horizontal="center"/>
    </xf>
    <xf numFmtId="0" fontId="50" fillId="2" borderId="0" xfId="0" applyFont="1" applyFill="1" applyAlignment="1">
      <alignment horizontal="center" vertical="center" wrapText="1"/>
    </xf>
    <xf numFmtId="0" fontId="66" fillId="14" borderId="0" xfId="2" applyFont="1" applyFill="1" applyAlignment="1">
      <alignment horizontal="center" vertical="center" wrapText="1"/>
    </xf>
    <xf numFmtId="0" fontId="65" fillId="14" borderId="0" xfId="2" applyFont="1" applyFill="1" applyAlignment="1">
      <alignment horizontal="center" vertical="center" wrapText="1"/>
    </xf>
    <xf numFmtId="0" fontId="61" fillId="2" borderId="21" xfId="0" applyFont="1" applyFill="1" applyBorder="1" applyAlignment="1">
      <alignment horizontal="left" vertical="center" wrapText="1" indent="1"/>
    </xf>
    <xf numFmtId="0" fontId="61" fillId="2" borderId="15" xfId="0" applyFont="1" applyFill="1" applyBorder="1" applyAlignment="1">
      <alignment horizontal="left" vertical="center" wrapText="1" indent="1"/>
    </xf>
    <xf numFmtId="0" fontId="61" fillId="2" borderId="22" xfId="0" applyFont="1" applyFill="1" applyBorder="1" applyAlignment="1">
      <alignment horizontal="left" vertical="center" wrapText="1" indent="1"/>
    </xf>
    <xf numFmtId="0" fontId="61" fillId="2" borderId="19" xfId="0" applyFont="1" applyFill="1" applyBorder="1" applyAlignment="1">
      <alignment horizontal="left" vertical="center" wrapText="1" indent="1"/>
    </xf>
    <xf numFmtId="0" fontId="61" fillId="2" borderId="0" xfId="0" applyFont="1" applyFill="1" applyAlignment="1">
      <alignment horizontal="left" vertical="center" wrapText="1" indent="1"/>
    </xf>
    <xf numFmtId="0" fontId="61" fillId="2" borderId="20" xfId="0" applyFont="1" applyFill="1" applyBorder="1" applyAlignment="1">
      <alignment horizontal="left" vertical="center" wrapText="1" indent="1"/>
    </xf>
    <xf numFmtId="0" fontId="61" fillId="2" borderId="23" xfId="0" applyFont="1" applyFill="1" applyBorder="1" applyAlignment="1">
      <alignment horizontal="left" vertical="center" wrapText="1" indent="1"/>
    </xf>
    <xf numFmtId="0" fontId="61" fillId="2" borderId="16" xfId="0" applyFont="1" applyFill="1" applyBorder="1" applyAlignment="1">
      <alignment horizontal="left" vertical="center" wrapText="1" indent="1"/>
    </xf>
    <xf numFmtId="0" fontId="61" fillId="2" borderId="24" xfId="0" applyFont="1" applyFill="1" applyBorder="1" applyAlignment="1">
      <alignment horizontal="left" vertical="center" wrapText="1" indent="1"/>
    </xf>
    <xf numFmtId="0" fontId="51" fillId="2" borderId="0" xfId="0" applyFont="1" applyFill="1" applyAlignment="1">
      <alignment horizontal="left" vertical="center" wrapText="1"/>
    </xf>
    <xf numFmtId="0" fontId="51" fillId="2" borderId="26" xfId="0" applyFont="1" applyFill="1" applyBorder="1" applyAlignment="1">
      <alignment horizontal="left" vertical="center" wrapText="1"/>
    </xf>
    <xf numFmtId="0" fontId="56" fillId="2" borderId="0" xfId="0" applyFont="1" applyFill="1" applyAlignment="1">
      <alignment horizontal="left" vertical="center" wrapText="1"/>
    </xf>
    <xf numFmtId="0" fontId="56" fillId="2" borderId="26" xfId="0" applyFont="1" applyFill="1" applyBorder="1" applyAlignment="1">
      <alignment horizontal="left" vertical="center" wrapText="1"/>
    </xf>
    <xf numFmtId="44" fontId="58" fillId="2" borderId="0" xfId="1" applyFont="1" applyFill="1" applyAlignment="1">
      <alignment horizontal="right" vertical="center" wrapText="1"/>
    </xf>
    <xf numFmtId="0" fontId="51" fillId="14" borderId="0" xfId="0" applyFont="1" applyFill="1" applyAlignment="1">
      <alignment horizontal="center" wrapText="1"/>
    </xf>
    <xf numFmtId="0" fontId="51" fillId="0" borderId="0" xfId="0" applyFont="1" applyAlignment="1">
      <alignment horizontal="center"/>
    </xf>
    <xf numFmtId="0" fontId="9" fillId="2" borderId="16" xfId="0" applyFont="1" applyFill="1" applyBorder="1" applyAlignment="1">
      <alignment horizontal="center"/>
    </xf>
    <xf numFmtId="0" fontId="46" fillId="2" borderId="0" xfId="2" applyFont="1" applyFill="1" applyAlignment="1">
      <alignment horizontal="center" vertical="center" wrapText="1"/>
    </xf>
    <xf numFmtId="0" fontId="39"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0" xfId="0" applyFont="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4" xfId="0" applyFont="1" applyBorder="1" applyAlignment="1">
      <alignment horizontal="center" vertical="center" wrapText="1"/>
    </xf>
    <xf numFmtId="0" fontId="26" fillId="0" borderId="7" xfId="0" applyFont="1" applyBorder="1" applyAlignment="1">
      <alignment horizontal="center" vertical="center" wrapText="1"/>
    </xf>
    <xf numFmtId="0" fontId="42" fillId="14" borderId="0" xfId="0" applyFont="1" applyFill="1" applyAlignment="1">
      <alignment horizontal="left" vertical="center" wrapText="1"/>
    </xf>
    <xf numFmtId="0" fontId="32" fillId="14" borderId="0" xfId="0" applyFont="1" applyFill="1" applyAlignment="1">
      <alignment horizontal="left" vertical="center" wrapText="1"/>
    </xf>
    <xf numFmtId="0" fontId="35" fillId="2" borderId="0" xfId="0" applyFont="1" applyFill="1" applyAlignment="1">
      <alignment horizontal="center"/>
    </xf>
    <xf numFmtId="0" fontId="26" fillId="2" borderId="0" xfId="0" applyFont="1" applyFill="1" applyAlignment="1">
      <alignment horizontal="center" vertical="center" wrapText="1"/>
    </xf>
    <xf numFmtId="0" fontId="26" fillId="2" borderId="6" xfId="0" applyFont="1" applyFill="1" applyBorder="1" applyAlignment="1">
      <alignment horizontal="center" vertical="center" wrapText="1"/>
    </xf>
    <xf numFmtId="0" fontId="45" fillId="2" borderId="0" xfId="0" applyFont="1" applyFill="1" applyAlignment="1">
      <alignment horizontal="center" vertical="center" wrapText="1"/>
    </xf>
    <xf numFmtId="0" fontId="0" fillId="0" borderId="0" xfId="0" applyFont="1"/>
    <xf numFmtId="0" fontId="0" fillId="2" borderId="0" xfId="0" applyFont="1" applyFill="1"/>
    <xf numFmtId="0" fontId="69" fillId="2" borderId="16" xfId="0" applyFont="1" applyFill="1" applyBorder="1" applyAlignment="1">
      <alignment vertical="center"/>
    </xf>
    <xf numFmtId="0" fontId="70" fillId="2" borderId="0" xfId="0" applyFont="1" applyFill="1"/>
    <xf numFmtId="0" fontId="71" fillId="2" borderId="0" xfId="0" applyFont="1" applyFill="1" applyAlignment="1">
      <alignment horizontal="left" vertical="center"/>
    </xf>
    <xf numFmtId="0" fontId="72" fillId="2" borderId="0" xfId="0" applyFont="1" applyFill="1" applyAlignment="1">
      <alignment horizontal="left" vertical="center"/>
    </xf>
    <xf numFmtId="0" fontId="3" fillId="2" borderId="0" xfId="0" applyFont="1" applyFill="1" applyAlignment="1">
      <alignment vertical="center"/>
    </xf>
    <xf numFmtId="0" fontId="71" fillId="2" borderId="0" xfId="0" applyFont="1" applyFill="1" applyAlignment="1">
      <alignment horizontal="right" vertical="center"/>
    </xf>
    <xf numFmtId="0" fontId="5" fillId="2" borderId="0" xfId="0" applyFont="1" applyFill="1" applyAlignment="1">
      <alignment vertical="center"/>
    </xf>
    <xf numFmtId="0" fontId="72" fillId="2" borderId="0" xfId="0" applyFont="1" applyFill="1" applyAlignment="1">
      <alignment horizontal="right" vertical="center"/>
    </xf>
    <xf numFmtId="0" fontId="72" fillId="2" borderId="0" xfId="0" applyFont="1" applyFill="1" applyAlignment="1">
      <alignment vertical="center"/>
    </xf>
    <xf numFmtId="0" fontId="5" fillId="2" borderId="0" xfId="0" applyFont="1" applyFill="1" applyAlignment="1">
      <alignment horizontal="left" vertical="center"/>
    </xf>
    <xf numFmtId="0" fontId="0" fillId="2" borderId="15" xfId="0" applyFont="1" applyFill="1" applyBorder="1"/>
    <xf numFmtId="0" fontId="0" fillId="0" borderId="0" xfId="0" applyFont="1" applyAlignment="1">
      <alignment horizontal="left"/>
    </xf>
    <xf numFmtId="0" fontId="0" fillId="2" borderId="0" xfId="0" applyFont="1" applyFill="1" applyAlignment="1">
      <alignment horizontal="left"/>
    </xf>
    <xf numFmtId="0" fontId="73" fillId="2" borderId="21" xfId="0" applyFont="1" applyFill="1" applyBorder="1" applyAlignment="1">
      <alignment horizontal="center" vertical="center" wrapText="1"/>
    </xf>
    <xf numFmtId="0" fontId="75" fillId="2" borderId="15" xfId="0" applyFont="1" applyFill="1" applyBorder="1" applyAlignment="1">
      <alignment horizontal="center" vertical="center" wrapText="1"/>
    </xf>
    <xf numFmtId="0" fontId="75" fillId="2" borderId="22" xfId="0" applyFont="1" applyFill="1" applyBorder="1" applyAlignment="1">
      <alignment horizontal="center" vertical="center" wrapText="1"/>
    </xf>
    <xf numFmtId="0" fontId="75" fillId="2" borderId="19" xfId="0" applyFont="1" applyFill="1" applyBorder="1" applyAlignment="1">
      <alignment horizontal="center" vertical="center" wrapText="1"/>
    </xf>
    <xf numFmtId="0" fontId="75" fillId="2" borderId="0" xfId="0" applyFont="1" applyFill="1" applyAlignment="1">
      <alignment horizontal="center" vertical="center" wrapText="1"/>
    </xf>
    <xf numFmtId="0" fontId="75" fillId="2" borderId="20" xfId="0" applyFont="1" applyFill="1" applyBorder="1" applyAlignment="1">
      <alignment horizontal="center" vertical="center" wrapText="1"/>
    </xf>
    <xf numFmtId="0" fontId="75" fillId="2" borderId="23" xfId="0" applyFont="1" applyFill="1" applyBorder="1" applyAlignment="1">
      <alignment horizontal="center" vertical="center" wrapText="1"/>
    </xf>
    <xf numFmtId="0" fontId="75" fillId="2" borderId="16" xfId="0" applyFont="1" applyFill="1" applyBorder="1" applyAlignment="1">
      <alignment horizontal="center" vertical="center" wrapText="1"/>
    </xf>
    <xf numFmtId="0" fontId="75" fillId="2" borderId="24" xfId="0" applyFont="1" applyFill="1" applyBorder="1" applyAlignment="1">
      <alignment horizontal="center" vertical="center" wrapText="1"/>
    </xf>
    <xf numFmtId="165" fontId="14" fillId="2" borderId="0" xfId="1" applyNumberFormat="1" applyFont="1" applyFill="1" applyAlignment="1">
      <alignment horizontal="center"/>
    </xf>
    <xf numFmtId="165" fontId="14" fillId="0" borderId="0" xfId="1" applyNumberFormat="1" applyFont="1" applyFill="1" applyAlignment="1">
      <alignment horizontal="center"/>
    </xf>
    <xf numFmtId="0" fontId="69" fillId="2" borderId="6" xfId="0" applyFont="1" applyFill="1" applyBorder="1" applyAlignment="1">
      <alignment horizontal="left"/>
    </xf>
    <xf numFmtId="165" fontId="14" fillId="2" borderId="6" xfId="1" applyNumberFormat="1" applyFont="1" applyFill="1" applyBorder="1" applyAlignment="1">
      <alignment horizontal="center"/>
    </xf>
    <xf numFmtId="0" fontId="4" fillId="2" borderId="6" xfId="0" applyFont="1" applyFill="1" applyBorder="1"/>
    <xf numFmtId="0" fontId="5" fillId="2" borderId="6" xfId="0" applyFont="1" applyFill="1" applyBorder="1"/>
    <xf numFmtId="0" fontId="0" fillId="2" borderId="9" xfId="0" applyFont="1" applyFill="1" applyBorder="1"/>
    <xf numFmtId="0" fontId="5" fillId="2" borderId="9" xfId="0" applyFont="1" applyFill="1" applyBorder="1"/>
    <xf numFmtId="0" fontId="5" fillId="2" borderId="0" xfId="0" applyFont="1" applyFill="1" applyAlignment="1">
      <alignment horizontal="left" vertical="top" wrapText="1"/>
    </xf>
    <xf numFmtId="0" fontId="5" fillId="2" borderId="17" xfId="0" applyFont="1" applyFill="1" applyBorder="1" applyAlignment="1">
      <alignment horizontal="left" vertical="top" wrapText="1"/>
    </xf>
    <xf numFmtId="0" fontId="4" fillId="2" borderId="39" xfId="0" applyFont="1" applyFill="1" applyBorder="1"/>
    <xf numFmtId="0" fontId="70" fillId="2" borderId="26" xfId="0" applyFont="1" applyFill="1" applyBorder="1"/>
    <xf numFmtId="0" fontId="0" fillId="2" borderId="26" xfId="0" applyFont="1" applyFill="1" applyBorder="1"/>
    <xf numFmtId="0" fontId="5" fillId="2" borderId="26" xfId="0" applyFont="1" applyFill="1" applyBorder="1" applyAlignment="1">
      <alignment vertical="center" wrapText="1"/>
    </xf>
    <xf numFmtId="0" fontId="0" fillId="2" borderId="42" xfId="0" applyFont="1" applyFill="1" applyBorder="1"/>
    <xf numFmtId="0" fontId="5" fillId="2" borderId="0" xfId="0" applyFont="1" applyFill="1" applyAlignment="1">
      <alignment vertical="center" wrapText="1"/>
    </xf>
    <xf numFmtId="0" fontId="0" fillId="2" borderId="38" xfId="0" applyFont="1" applyFill="1" applyBorder="1"/>
    <xf numFmtId="0" fontId="5" fillId="13" borderId="0" xfId="0" applyFont="1" applyFill="1" applyAlignment="1">
      <alignment vertical="center"/>
    </xf>
    <xf numFmtId="0" fontId="0" fillId="13" borderId="0" xfId="0" applyFont="1" applyFill="1"/>
    <xf numFmtId="0" fontId="5" fillId="13" borderId="0" xfId="0" applyFont="1" applyFill="1" applyAlignment="1">
      <alignment vertical="center" wrapText="1"/>
    </xf>
    <xf numFmtId="0" fontId="72" fillId="13" borderId="0" xfId="0" applyFont="1" applyFill="1" applyAlignment="1">
      <alignment horizontal="left" vertical="center"/>
    </xf>
    <xf numFmtId="0" fontId="0" fillId="13" borderId="39" xfId="0" applyFont="1" applyFill="1" applyBorder="1"/>
    <xf numFmtId="0" fontId="5" fillId="2" borderId="39" xfId="0" applyFont="1" applyFill="1" applyBorder="1" applyAlignment="1">
      <alignment vertical="center" wrapText="1"/>
    </xf>
    <xf numFmtId="10" fontId="72" fillId="2" borderId="0" xfId="0" applyNumberFormat="1" applyFont="1" applyFill="1" applyAlignment="1">
      <alignment horizontal="left" vertical="center"/>
    </xf>
    <xf numFmtId="0" fontId="0" fillId="2" borderId="39" xfId="0" applyFont="1" applyFill="1" applyBorder="1"/>
    <xf numFmtId="0" fontId="5" fillId="13" borderId="0" xfId="0" applyFont="1" applyFill="1"/>
    <xf numFmtId="0" fontId="5" fillId="2" borderId="40" xfId="0" applyFont="1" applyFill="1" applyBorder="1" applyAlignment="1">
      <alignment vertical="center"/>
    </xf>
    <xf numFmtId="0" fontId="0" fillId="2" borderId="17" xfId="0" applyFont="1" applyFill="1" applyBorder="1"/>
    <xf numFmtId="0" fontId="5" fillId="2" borderId="17" xfId="0" applyFont="1" applyFill="1" applyBorder="1"/>
    <xf numFmtId="9" fontId="72" fillId="2" borderId="0" xfId="0" applyNumberFormat="1" applyFont="1" applyFill="1" applyAlignment="1">
      <alignment horizontal="left" vertical="center"/>
    </xf>
    <xf numFmtId="0" fontId="0" fillId="2" borderId="41" xfId="0" applyFont="1" applyFill="1" applyBorder="1"/>
    <xf numFmtId="0" fontId="0" fillId="2" borderId="17" xfId="0" applyFont="1" applyFill="1" applyBorder="1" applyAlignment="1">
      <alignment horizontal="left"/>
    </xf>
    <xf numFmtId="0" fontId="0" fillId="2" borderId="41" xfId="0" applyFont="1" applyFill="1" applyBorder="1" applyAlignment="1">
      <alignment horizontal="left"/>
    </xf>
    <xf numFmtId="0" fontId="12" fillId="2" borderId="18" xfId="0" applyFont="1" applyFill="1" applyBorder="1"/>
    <xf numFmtId="0" fontId="5" fillId="2" borderId="18" xfId="0" applyFont="1" applyFill="1" applyBorder="1"/>
    <xf numFmtId="0" fontId="70" fillId="2" borderId="0" xfId="0" applyFont="1" applyFill="1" applyAlignment="1">
      <alignment horizontal="left" vertical="center" wrapText="1"/>
    </xf>
    <xf numFmtId="0" fontId="70" fillId="2" borderId="0" xfId="0" applyFont="1" applyFill="1" applyAlignment="1">
      <alignment vertical="center"/>
    </xf>
    <xf numFmtId="0" fontId="70" fillId="2" borderId="26" xfId="0" applyFont="1" applyFill="1" applyBorder="1" applyAlignment="1">
      <alignment horizontal="left" vertical="center" wrapText="1"/>
    </xf>
    <xf numFmtId="0" fontId="70" fillId="2" borderId="26" xfId="0" applyFont="1" applyFill="1" applyBorder="1" applyAlignment="1">
      <alignment vertical="center"/>
    </xf>
    <xf numFmtId="0" fontId="72" fillId="13" borderId="0" xfId="0" applyFont="1" applyFill="1" applyAlignment="1">
      <alignment vertical="center" wrapText="1"/>
    </xf>
    <xf numFmtId="0" fontId="3" fillId="13" borderId="0" xfId="0" applyFont="1" applyFill="1" applyAlignment="1">
      <alignment horizontal="left" vertical="center"/>
    </xf>
    <xf numFmtId="0" fontId="3" fillId="13" borderId="0" xfId="0" applyFont="1" applyFill="1"/>
    <xf numFmtId="0" fontId="5" fillId="13" borderId="0" xfId="0" applyFont="1" applyFill="1" applyAlignment="1">
      <alignment horizontal="center" vertical="center" wrapText="1"/>
    </xf>
    <xf numFmtId="0" fontId="5" fillId="13" borderId="29" xfId="0" applyFont="1" applyFill="1" applyBorder="1" applyAlignment="1">
      <alignment horizontal="center" vertical="center" wrapText="1"/>
    </xf>
    <xf numFmtId="0" fontId="5" fillId="14" borderId="27" xfId="0" applyFont="1" applyFill="1" applyBorder="1" applyAlignment="1">
      <alignment vertical="center"/>
    </xf>
    <xf numFmtId="0" fontId="5" fillId="14" borderId="33" xfId="0" applyFont="1" applyFill="1" applyBorder="1" applyAlignment="1">
      <alignment horizontal="center"/>
    </xf>
    <xf numFmtId="0" fontId="5" fillId="14" borderId="28" xfId="0" applyFont="1" applyFill="1" applyBorder="1" applyAlignment="1">
      <alignment vertical="center"/>
    </xf>
    <xf numFmtId="0" fontId="5" fillId="2" borderId="30" xfId="0" applyFont="1" applyFill="1" applyBorder="1"/>
    <xf numFmtId="0" fontId="9" fillId="0" borderId="35" xfId="0" applyFont="1" applyBorder="1" applyAlignment="1">
      <alignment horizontal="center" vertical="center"/>
    </xf>
    <xf numFmtId="0" fontId="9" fillId="0" borderId="25" xfId="0" applyFont="1" applyBorder="1" applyAlignment="1">
      <alignment horizontal="center" vertical="center"/>
    </xf>
    <xf numFmtId="0" fontId="9" fillId="0" borderId="34" xfId="0" applyFont="1" applyBorder="1" applyAlignment="1">
      <alignment horizontal="center" vertical="center"/>
    </xf>
    <xf numFmtId="0" fontId="5" fillId="2" borderId="0" xfId="0" applyFont="1" applyFill="1" applyAlignment="1">
      <alignment horizontal="center"/>
    </xf>
    <xf numFmtId="2" fontId="72" fillId="13" borderId="0" xfId="0" applyNumberFormat="1" applyFont="1" applyFill="1" applyAlignment="1">
      <alignment vertical="center"/>
    </xf>
    <xf numFmtId="0" fontId="5" fillId="13" borderId="0" xfId="0" applyFont="1" applyFill="1" applyAlignment="1">
      <alignment horizontal="left" vertical="center" wrapText="1"/>
    </xf>
    <xf numFmtId="0" fontId="9" fillId="0" borderId="30" xfId="0" applyFont="1" applyBorder="1" applyAlignment="1">
      <alignment horizontal="center" vertical="center"/>
    </xf>
    <xf numFmtId="0" fontId="9" fillId="0" borderId="0" xfId="0" applyFont="1" applyAlignment="1">
      <alignment horizontal="center" vertical="center"/>
    </xf>
    <xf numFmtId="0" fontId="9" fillId="0" borderId="29" xfId="0" applyFont="1" applyBorder="1" applyAlignment="1">
      <alignment horizontal="center" vertical="center"/>
    </xf>
    <xf numFmtId="0" fontId="5" fillId="2" borderId="0" xfId="0" applyFont="1" applyFill="1" applyAlignment="1">
      <alignment horizontal="left" vertical="center" wrapText="1"/>
    </xf>
    <xf numFmtId="0" fontId="9" fillId="0" borderId="31" xfId="0" applyFont="1" applyBorder="1" applyAlignment="1">
      <alignment horizontal="center" vertical="center"/>
    </xf>
    <xf numFmtId="0" fontId="9" fillId="0" borderId="26" xfId="0" applyFont="1" applyBorder="1" applyAlignment="1">
      <alignment horizontal="center" vertical="center"/>
    </xf>
    <xf numFmtId="0" fontId="9" fillId="0" borderId="32" xfId="0" applyFont="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0" fontId="76" fillId="2" borderId="0" xfId="0" applyFont="1" applyFill="1" applyAlignment="1">
      <alignment horizontal="center"/>
    </xf>
    <xf numFmtId="2" fontId="9" fillId="4" borderId="0" xfId="0" applyNumberFormat="1" applyFont="1" applyFill="1" applyAlignment="1">
      <alignment horizontal="center"/>
    </xf>
    <xf numFmtId="0" fontId="5" fillId="4" borderId="0" xfId="0" applyFont="1" applyFill="1"/>
    <xf numFmtId="0" fontId="5" fillId="4" borderId="0" xfId="0" applyFont="1" applyFill="1" applyAlignment="1">
      <alignment horizontal="center"/>
    </xf>
    <xf numFmtId="0" fontId="4" fillId="0" borderId="15" xfId="0" applyFont="1" applyBorder="1"/>
    <xf numFmtId="165" fontId="77" fillId="2" borderId="15" xfId="1" applyNumberFormat="1" applyFont="1" applyFill="1" applyBorder="1" applyAlignment="1">
      <alignment horizontal="center" vertical="center" wrapText="1"/>
    </xf>
    <xf numFmtId="0" fontId="5" fillId="0" borderId="15" xfId="0" applyFont="1" applyBorder="1"/>
    <xf numFmtId="0" fontId="0" fillId="13" borderId="0" xfId="0" applyFont="1" applyFill="1" applyAlignment="1">
      <alignment vertical="center"/>
    </xf>
    <xf numFmtId="0" fontId="5" fillId="13" borderId="0" xfId="0" applyFont="1" applyFill="1" applyAlignment="1">
      <alignment horizontal="right" vertical="center"/>
    </xf>
    <xf numFmtId="165" fontId="14" fillId="13" borderId="0" xfId="0" applyNumberFormat="1" applyFont="1" applyFill="1" applyAlignment="1">
      <alignment horizontal="left" vertical="center"/>
    </xf>
    <xf numFmtId="0" fontId="5" fillId="13" borderId="0" xfId="0" applyFont="1" applyFill="1" applyAlignment="1">
      <alignment horizontal="left"/>
    </xf>
    <xf numFmtId="0" fontId="0" fillId="2" borderId="0" xfId="0" applyFont="1" applyFill="1" applyAlignment="1">
      <alignment vertical="center"/>
    </xf>
    <xf numFmtId="0" fontId="5" fillId="2" borderId="0" xfId="0" applyFont="1" applyFill="1" applyAlignment="1">
      <alignment horizontal="right" vertical="center"/>
    </xf>
    <xf numFmtId="165" fontId="14" fillId="2" borderId="0" xfId="0" applyNumberFormat="1" applyFont="1" applyFill="1" applyAlignment="1">
      <alignment horizontal="left" vertical="center"/>
    </xf>
    <xf numFmtId="165" fontId="13" fillId="2" borderId="0" xfId="0" applyNumberFormat="1" applyFont="1" applyFill="1" applyAlignment="1">
      <alignment horizontal="left"/>
    </xf>
    <xf numFmtId="0" fontId="70" fillId="13" borderId="0" xfId="0" applyFont="1" applyFill="1" applyAlignment="1">
      <alignment vertical="center"/>
    </xf>
    <xf numFmtId="165" fontId="14" fillId="13" borderId="0" xfId="1" applyNumberFormat="1" applyFont="1" applyFill="1" applyAlignment="1">
      <alignment horizontal="left" vertical="center" wrapText="1"/>
    </xf>
    <xf numFmtId="0" fontId="5" fillId="2" borderId="0" xfId="0" applyFont="1" applyFill="1" applyAlignment="1">
      <alignment horizontal="right" vertical="center" wrapText="1"/>
    </xf>
    <xf numFmtId="0" fontId="70" fillId="2" borderId="0" xfId="0" applyFont="1" applyFill="1" applyAlignment="1">
      <alignment horizontal="right" vertical="center" wrapText="1"/>
    </xf>
    <xf numFmtId="44" fontId="13" fillId="2" borderId="0" xfId="1" applyFont="1" applyFill="1" applyAlignment="1">
      <alignment horizontal="center" vertical="center" wrapText="1"/>
    </xf>
    <xf numFmtId="0" fontId="5" fillId="2" borderId="26" xfId="0" applyFont="1" applyFill="1" applyBorder="1" applyAlignment="1">
      <alignment horizontal="center" vertical="center" wrapText="1"/>
    </xf>
    <xf numFmtId="0" fontId="5" fillId="2" borderId="0" xfId="0" applyFont="1" applyFill="1" applyAlignment="1">
      <alignment horizontal="center" vertical="center" wrapText="1"/>
    </xf>
    <xf numFmtId="165" fontId="12" fillId="13" borderId="0" xfId="1" applyNumberFormat="1" applyFont="1" applyFill="1" applyAlignment="1">
      <alignment vertical="center"/>
    </xf>
    <xf numFmtId="0" fontId="5" fillId="13" borderId="0" xfId="0" applyFont="1" applyFill="1" applyAlignment="1">
      <alignment horizontal="center" vertical="center"/>
    </xf>
    <xf numFmtId="165" fontId="12" fillId="2" borderId="0" xfId="1" applyNumberFormat="1" applyFont="1" applyFill="1" applyAlignment="1">
      <alignment vertical="center"/>
    </xf>
    <xf numFmtId="0" fontId="5" fillId="2" borderId="0" xfId="0" applyFont="1" applyFill="1" applyAlignment="1">
      <alignment horizontal="center" vertical="center"/>
    </xf>
    <xf numFmtId="0" fontId="19" fillId="2" borderId="0" xfId="0" applyFont="1" applyFill="1"/>
    <xf numFmtId="165" fontId="19" fillId="13" borderId="0" xfId="1" applyNumberFormat="1" applyFont="1" applyFill="1" applyAlignment="1">
      <alignment vertical="center"/>
    </xf>
    <xf numFmtId="0" fontId="15" fillId="13" borderId="0" xfId="0" applyFont="1" applyFill="1" applyAlignment="1">
      <alignment vertical="center"/>
    </xf>
    <xf numFmtId="0" fontId="15" fillId="13" borderId="0" xfId="0" applyFont="1" applyFill="1" applyAlignment="1">
      <alignment horizontal="center" vertical="center"/>
    </xf>
    <xf numFmtId="44" fontId="19" fillId="2" borderId="0" xfId="1" applyFont="1" applyFill="1"/>
    <xf numFmtId="0" fontId="70" fillId="2" borderId="0" xfId="0" applyFont="1" applyFill="1" applyAlignment="1">
      <alignment horizontal="center" vertical="center"/>
    </xf>
    <xf numFmtId="0" fontId="70" fillId="13" borderId="0" xfId="0" applyFont="1" applyFill="1" applyAlignment="1">
      <alignment horizontal="center" vertical="center"/>
    </xf>
    <xf numFmtId="2" fontId="12" fillId="2" borderId="25" xfId="0" applyNumberFormat="1" applyFont="1" applyFill="1" applyBorder="1" applyAlignment="1">
      <alignment vertical="center"/>
    </xf>
    <xf numFmtId="0" fontId="0" fillId="2" borderId="25" xfId="0" applyFont="1" applyFill="1" applyBorder="1" applyAlignment="1">
      <alignment vertical="center"/>
    </xf>
    <xf numFmtId="0" fontId="5" fillId="2" borderId="25" xfId="0" applyFont="1" applyFill="1" applyBorder="1" applyAlignment="1">
      <alignment vertical="center"/>
    </xf>
    <xf numFmtId="10" fontId="12" fillId="13" borderId="0" xfId="0" applyNumberFormat="1" applyFont="1" applyFill="1" applyAlignment="1">
      <alignment vertical="center"/>
    </xf>
    <xf numFmtId="165" fontId="12" fillId="2" borderId="0" xfId="0" applyNumberFormat="1" applyFont="1" applyFill="1" applyAlignment="1">
      <alignment vertical="center"/>
    </xf>
    <xf numFmtId="165" fontId="19" fillId="2" borderId="0" xfId="1" applyNumberFormat="1" applyFont="1" applyFill="1" applyAlignment="1">
      <alignment vertical="center"/>
    </xf>
    <xf numFmtId="0" fontId="15" fillId="2" borderId="0" xfId="0" applyFont="1" applyFill="1" applyAlignment="1">
      <alignment vertical="center"/>
    </xf>
    <xf numFmtId="165" fontId="5" fillId="2" borderId="6" xfId="1" applyNumberFormat="1" applyFont="1" applyFill="1" applyBorder="1" applyAlignment="1">
      <alignment vertical="center"/>
    </xf>
    <xf numFmtId="0" fontId="5" fillId="2" borderId="6" xfId="0" applyFont="1" applyFill="1" applyBorder="1" applyAlignment="1">
      <alignment vertical="center"/>
    </xf>
    <xf numFmtId="0" fontId="0" fillId="2" borderId="6" xfId="0" applyFont="1" applyFill="1" applyBorder="1" applyAlignment="1">
      <alignment vertical="center"/>
    </xf>
    <xf numFmtId="165" fontId="5" fillId="2" borderId="0" xfId="1" applyNumberFormat="1" applyFont="1" applyFill="1" applyBorder="1" applyAlignment="1">
      <alignment vertical="center"/>
    </xf>
    <xf numFmtId="165" fontId="5" fillId="2" borderId="17" xfId="1" applyNumberFormat="1" applyFont="1" applyFill="1" applyBorder="1" applyAlignment="1">
      <alignment vertical="center"/>
    </xf>
    <xf numFmtId="0" fontId="5" fillId="2" borderId="17" xfId="0" applyFont="1" applyFill="1" applyBorder="1" applyAlignment="1">
      <alignment vertical="center"/>
    </xf>
    <xf numFmtId="0" fontId="5" fillId="13" borderId="17" xfId="0" applyFont="1" applyFill="1" applyBorder="1" applyAlignment="1">
      <alignment vertical="center"/>
    </xf>
    <xf numFmtId="0" fontId="0" fillId="2" borderId="17" xfId="0" applyFont="1" applyFill="1" applyBorder="1" applyAlignment="1">
      <alignment vertical="center"/>
    </xf>
    <xf numFmtId="44" fontId="70" fillId="13" borderId="0" xfId="1" applyFont="1" applyFill="1" applyAlignment="1">
      <alignment vertical="center"/>
    </xf>
    <xf numFmtId="165" fontId="70" fillId="2" borderId="0" xfId="0" applyNumberFormat="1" applyFont="1" applyFill="1" applyAlignment="1">
      <alignment horizontal="center" vertical="center"/>
    </xf>
    <xf numFmtId="165" fontId="70" fillId="13" borderId="0" xfId="0" applyNumberFormat="1" applyFont="1" applyFill="1" applyAlignment="1">
      <alignment horizontal="center" vertical="center"/>
    </xf>
    <xf numFmtId="44" fontId="70" fillId="2" borderId="0" xfId="1" applyFont="1" applyFill="1" applyAlignment="1">
      <alignment vertical="center"/>
    </xf>
    <xf numFmtId="0" fontId="12" fillId="13" borderId="0" xfId="0" applyFont="1" applyFill="1" applyAlignment="1">
      <alignment horizontal="left" vertical="center"/>
    </xf>
    <xf numFmtId="44" fontId="5" fillId="13" borderId="0" xfId="1" applyFont="1" applyFill="1" applyAlignment="1">
      <alignment vertical="center"/>
    </xf>
    <xf numFmtId="0" fontId="12" fillId="2" borderId="0" xfId="0" applyFont="1" applyFill="1" applyAlignment="1">
      <alignment horizontal="left" vertical="center"/>
    </xf>
    <xf numFmtId="44" fontId="5" fillId="2" borderId="0" xfId="1" applyFont="1" applyFill="1" applyAlignment="1">
      <alignment vertical="center"/>
    </xf>
    <xf numFmtId="44" fontId="12" fillId="2" borderId="0" xfId="1" applyFont="1" applyFill="1" applyAlignment="1">
      <alignment horizontal="left" vertical="center"/>
    </xf>
    <xf numFmtId="44" fontId="12" fillId="13" borderId="0" xfId="1" applyFont="1" applyFill="1" applyAlignment="1">
      <alignment horizontal="left" vertical="center"/>
    </xf>
    <xf numFmtId="0" fontId="0" fillId="2" borderId="6" xfId="0" applyFont="1" applyFill="1" applyBorder="1"/>
    <xf numFmtId="0" fontId="4" fillId="2" borderId="0" xfId="0" applyFont="1" applyFill="1" applyAlignment="1">
      <alignment vertical="center"/>
    </xf>
    <xf numFmtId="0" fontId="77" fillId="0" borderId="0" xfId="0" applyFont="1" applyAlignment="1">
      <alignment horizontal="center" vertical="center" wrapText="1"/>
    </xf>
    <xf numFmtId="0" fontId="0" fillId="0" borderId="0" xfId="0" applyFont="1" applyAlignment="1">
      <alignment vertical="center"/>
    </xf>
    <xf numFmtId="0" fontId="18" fillId="0" borderId="0" xfId="0" applyFont="1" applyAlignment="1">
      <alignment horizontal="center"/>
    </xf>
    <xf numFmtId="0" fontId="18" fillId="2" borderId="0" xfId="0" applyFont="1" applyFill="1"/>
    <xf numFmtId="0" fontId="4" fillId="0" borderId="0" xfId="0" applyFont="1" applyAlignment="1">
      <alignment horizontal="center"/>
    </xf>
    <xf numFmtId="0" fontId="78" fillId="0" borderId="0" xfId="0" applyFont="1" applyAlignment="1">
      <alignment horizontal="center" vertical="center" wrapText="1"/>
    </xf>
    <xf numFmtId="0" fontId="78" fillId="2" borderId="0" xfId="0" applyFont="1" applyFill="1" applyAlignment="1">
      <alignment horizontal="center" vertical="center" wrapText="1"/>
    </xf>
    <xf numFmtId="0" fontId="78" fillId="0" borderId="0" xfId="0" applyFont="1" applyAlignment="1">
      <alignment vertical="center"/>
    </xf>
    <xf numFmtId="0" fontId="78" fillId="0" borderId="0" xfId="0" applyFont="1" applyAlignment="1">
      <alignment vertical="center" wrapText="1"/>
    </xf>
    <xf numFmtId="0" fontId="79" fillId="14" borderId="8" xfId="0" applyFont="1" applyFill="1" applyBorder="1" applyAlignment="1">
      <alignment horizontal="center" vertical="center" wrapText="1"/>
    </xf>
    <xf numFmtId="0" fontId="81" fillId="14" borderId="9" xfId="0" applyFont="1" applyFill="1" applyBorder="1" applyAlignment="1">
      <alignment horizontal="center" vertical="center" wrapText="1"/>
    </xf>
    <xf numFmtId="0" fontId="81" fillId="14" borderId="10" xfId="0" applyFont="1" applyFill="1" applyBorder="1" applyAlignment="1">
      <alignment horizontal="center" vertical="center" wrapText="1"/>
    </xf>
    <xf numFmtId="0" fontId="81" fillId="14" borderId="11" xfId="0" applyFont="1" applyFill="1" applyBorder="1" applyAlignment="1">
      <alignment horizontal="center" vertical="center" wrapText="1"/>
    </xf>
    <xf numFmtId="0" fontId="81" fillId="14" borderId="0" xfId="0" applyFont="1" applyFill="1" applyAlignment="1">
      <alignment horizontal="center" vertical="center" wrapText="1"/>
    </xf>
    <xf numFmtId="0" fontId="81" fillId="14" borderId="12" xfId="0" applyFont="1" applyFill="1" applyBorder="1" applyAlignment="1">
      <alignment horizontal="center" vertical="center" wrapText="1"/>
    </xf>
    <xf numFmtId="0" fontId="81" fillId="14" borderId="13" xfId="0" applyFont="1" applyFill="1" applyBorder="1" applyAlignment="1">
      <alignment horizontal="center" vertical="center" wrapText="1"/>
    </xf>
    <xf numFmtId="0" fontId="81" fillId="14" borderId="6" xfId="0" applyFont="1" applyFill="1" applyBorder="1" applyAlignment="1">
      <alignment horizontal="center" vertical="center" wrapText="1"/>
    </xf>
    <xf numFmtId="0" fontId="81" fillId="14" borderId="14" xfId="0" applyFont="1" applyFill="1" applyBorder="1" applyAlignment="1">
      <alignment horizontal="center" vertical="center" wrapText="1"/>
    </xf>
    <xf numFmtId="0" fontId="0" fillId="0" borderId="9" xfId="0" applyFont="1" applyBorder="1"/>
    <xf numFmtId="0" fontId="77" fillId="0" borderId="9" xfId="0" applyFont="1" applyBorder="1" applyAlignment="1">
      <alignment horizontal="center" vertical="center"/>
    </xf>
    <xf numFmtId="0" fontId="3" fillId="14" borderId="0" xfId="0" applyFont="1" applyFill="1" applyAlignment="1">
      <alignment horizontal="left" vertical="top" wrapText="1" indent="1"/>
    </xf>
    <xf numFmtId="0" fontId="3" fillId="2" borderId="0" xfId="0" applyFont="1" applyFill="1" applyAlignment="1">
      <alignment vertical="top"/>
    </xf>
    <xf numFmtId="0" fontId="3" fillId="0" borderId="0" xfId="0" applyFont="1" applyAlignment="1">
      <alignment vertical="top"/>
    </xf>
    <xf numFmtId="0" fontId="82" fillId="2" borderId="36" xfId="0" applyFont="1" applyFill="1" applyBorder="1" applyAlignment="1">
      <alignment horizontal="center" vertical="center" wrapText="1"/>
    </xf>
    <xf numFmtId="0" fontId="82" fillId="2" borderId="37" xfId="0" applyFont="1" applyFill="1" applyBorder="1" applyAlignment="1">
      <alignment horizontal="center" vertical="center" wrapText="1"/>
    </xf>
    <xf numFmtId="0" fontId="0" fillId="2" borderId="0" xfId="0" applyFont="1" applyFill="1" applyAlignment="1">
      <alignment horizontal="center" vertical="top" wrapText="1"/>
    </xf>
    <xf numFmtId="0" fontId="0" fillId="0" borderId="0" xfId="0" applyFont="1" applyAlignment="1">
      <alignment horizontal="center" vertical="top" wrapText="1"/>
    </xf>
    <xf numFmtId="0" fontId="82" fillId="2" borderId="38" xfId="0" applyFont="1" applyFill="1" applyBorder="1" applyAlignment="1">
      <alignment horizontal="center" vertical="center" wrapText="1"/>
    </xf>
    <xf numFmtId="0" fontId="82" fillId="2" borderId="39" xfId="0" applyFont="1" applyFill="1" applyBorder="1" applyAlignment="1">
      <alignment horizontal="center" vertical="center" wrapText="1"/>
    </xf>
    <xf numFmtId="0" fontId="0" fillId="2" borderId="38" xfId="0" applyFont="1" applyFill="1" applyBorder="1" applyAlignment="1">
      <alignment horizontal="center" vertical="top" wrapText="1"/>
    </xf>
    <xf numFmtId="0" fontId="0" fillId="2" borderId="39" xfId="0" applyFont="1" applyFill="1" applyBorder="1" applyAlignment="1">
      <alignment horizontal="center" vertical="top" wrapText="1"/>
    </xf>
    <xf numFmtId="0" fontId="0" fillId="0" borderId="0" xfId="0" applyFont="1" applyAlignment="1">
      <alignment vertical="top" wrapText="1"/>
    </xf>
    <xf numFmtId="0" fontId="0" fillId="2" borderId="38" xfId="0" applyFont="1" applyFill="1" applyBorder="1" applyAlignment="1">
      <alignment vertical="top" wrapText="1"/>
    </xf>
    <xf numFmtId="0" fontId="0" fillId="2" borderId="39" xfId="0" applyFont="1" applyFill="1" applyBorder="1" applyAlignment="1">
      <alignment vertical="top" wrapText="1"/>
    </xf>
    <xf numFmtId="0" fontId="0" fillId="2" borderId="0" xfId="0" applyFont="1" applyFill="1" applyAlignment="1">
      <alignment vertical="top" wrapText="1"/>
    </xf>
    <xf numFmtId="0" fontId="0" fillId="2" borderId="40" xfId="0" applyFont="1" applyFill="1" applyBorder="1"/>
    <xf numFmtId="0" fontId="0" fillId="0" borderId="17" xfId="0" applyFont="1" applyBorder="1"/>
    <xf numFmtId="0" fontId="77" fillId="2" borderId="0" xfId="0" applyFont="1" applyFill="1" applyAlignment="1">
      <alignment horizontal="left" vertical="center" wrapText="1"/>
    </xf>
    <xf numFmtId="0" fontId="0" fillId="2" borderId="18" xfId="0" applyFont="1" applyFill="1" applyBorder="1"/>
    <xf numFmtId="0" fontId="77" fillId="2" borderId="17" xfId="0" applyFont="1" applyFill="1" applyBorder="1" applyAlignment="1">
      <alignment horizontal="left" vertical="center" wrapText="1"/>
    </xf>
    <xf numFmtId="0" fontId="83" fillId="0" borderId="0" xfId="0" applyFont="1" applyAlignment="1">
      <alignment horizontal="left" vertical="center" wrapText="1"/>
    </xf>
    <xf numFmtId="0" fontId="0" fillId="0" borderId="0" xfId="0" applyFont="1" applyAlignment="1">
      <alignment wrapText="1"/>
    </xf>
    <xf numFmtId="0" fontId="83" fillId="0" borderId="0" xfId="0" applyFont="1" applyAlignment="1">
      <alignment vertical="top"/>
    </xf>
    <xf numFmtId="0" fontId="84" fillId="0" borderId="0" xfId="0" applyFont="1" applyAlignment="1">
      <alignment wrapText="1"/>
    </xf>
    <xf numFmtId="0" fontId="83" fillId="0" borderId="0" xfId="0" applyFont="1"/>
    <xf numFmtId="0" fontId="83" fillId="2" borderId="0" xfId="0" applyFont="1" applyFill="1"/>
    <xf numFmtId="0" fontId="83" fillId="0" borderId="0" xfId="0" applyFont="1" applyAlignment="1">
      <alignment horizontal="left" wrapText="1"/>
    </xf>
    <xf numFmtId="6" fontId="82" fillId="14" borderId="0" xfId="0" applyNumberFormat="1" applyFont="1" applyFill="1"/>
    <xf numFmtId="0" fontId="0" fillId="14" borderId="0" xfId="0" applyFont="1" applyFill="1"/>
    <xf numFmtId="0" fontId="82" fillId="14" borderId="0" xfId="0" applyFont="1" applyFill="1"/>
    <xf numFmtId="0" fontId="85" fillId="14" borderId="0" xfId="2" applyFont="1" applyFill="1" applyAlignment="1">
      <alignment horizontal="center" vertical="center"/>
    </xf>
    <xf numFmtId="0" fontId="85" fillId="14" borderId="0" xfId="2" applyFont="1" applyFill="1" applyAlignment="1">
      <alignment horizontal="center" vertical="center" wrapText="1"/>
    </xf>
    <xf numFmtId="0" fontId="85" fillId="14" borderId="0" xfId="0" applyFont="1" applyFill="1" applyAlignment="1">
      <alignment horizontal="left" vertical="center" wrapText="1" indent="8"/>
    </xf>
    <xf numFmtId="0" fontId="20" fillId="2" borderId="0" xfId="0" applyFont="1" applyFill="1"/>
    <xf numFmtId="0" fontId="85" fillId="14" borderId="0" xfId="0" applyFont="1" applyFill="1"/>
    <xf numFmtId="0" fontId="20" fillId="14" borderId="0" xfId="0" applyFont="1" applyFill="1"/>
    <xf numFmtId="0" fontId="86" fillId="0" borderId="0" xfId="0" applyFont="1"/>
    <xf numFmtId="6" fontId="0" fillId="0" borderId="0" xfId="0" applyNumberFormat="1" applyFont="1"/>
    <xf numFmtId="0" fontId="77" fillId="0" borderId="0" xfId="0" applyFont="1"/>
  </cellXfs>
  <cellStyles count="10">
    <cellStyle name="Amount" xfId="4" xr:uid="{92F8587F-CDD9-4B42-8BBB-E1C7476CC662}"/>
    <cellStyle name="Currency" xfId="1" builtinId="4"/>
    <cellStyle name="Date" xfId="7" xr:uid="{A59427F1-7C26-48AB-B372-A4D191EBADB3}"/>
    <cellStyle name="Heading 4 Right aligned" xfId="8" xr:uid="{1BADE0AF-5FD5-4183-B753-B1985ED76177}"/>
    <cellStyle name="Hyperlink" xfId="2" builtinId="8"/>
    <cellStyle name="Loan Summary" xfId="5" xr:uid="{28FEF202-6254-495E-98D2-DAE0D0B680B0}"/>
    <cellStyle name="Normal" xfId="0" builtinId="0"/>
    <cellStyle name="Number" xfId="6" xr:uid="{843AD5F6-7E54-445B-B1E9-DBF80F4D0C7F}"/>
    <cellStyle name="Percent" xfId="3" builtinId="5"/>
    <cellStyle name="Table Amount" xfId="9" xr:uid="{B997A02B-FD12-46EA-96E4-A39687F54AC7}"/>
  </cellStyles>
  <dxfs count="7">
    <dxf>
      <font>
        <color theme="1" tint="0.24994659260841701"/>
      </font>
      <fill>
        <patternFill patternType="solid">
          <fgColor theme="4" tint="0.79998168889431442"/>
          <bgColor theme="4" tint="0.79998168889431442"/>
        </patternFill>
      </fill>
    </dxf>
    <dxf>
      <font>
        <color theme="1" tint="0.24994659260841701"/>
      </font>
      <fill>
        <patternFill patternType="solid">
          <fgColor theme="4" tint="0.79998168889431442"/>
          <bgColor theme="4" tint="0.79998168889431442"/>
        </patternFill>
      </fill>
    </dxf>
    <dxf>
      <font>
        <color theme="1" tint="0.24994659260841701"/>
      </font>
    </dxf>
    <dxf>
      <font>
        <color theme="1" tint="0.24994659260841701"/>
      </font>
    </dxf>
    <dxf>
      <font>
        <color theme="1" tint="0.24994659260841701"/>
      </font>
      <border>
        <top style="double">
          <color theme="4"/>
        </top>
      </border>
    </dxf>
    <dxf>
      <font>
        <b/>
        <i val="0"/>
        <color theme="0"/>
      </font>
      <fill>
        <patternFill patternType="solid">
          <fgColor theme="4"/>
          <bgColor theme="4" tint="-0.499984740745262"/>
        </patternFill>
      </fill>
    </dxf>
    <dxf>
      <font>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Loan Amortization Schedule" pivot="0" count="7" xr9:uid="{43457A08-AB41-4011-8CF8-13BA587B324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A88BC"/>
      <color rgb="FF1A406F"/>
      <color rgb="FFD2FAF4"/>
      <color rgb="FFF6AC38"/>
      <color rgb="FFF2D640"/>
      <color rgb="FF7AD2F7"/>
      <color rgb="FF4472C4"/>
      <color rgb="FFCCFFFF"/>
      <color rgb="FF11B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effectLst>
                  <a:outerShdw blurRad="50800" dist="50800" dir="5400000" algn="ctr" rotWithShape="0">
                    <a:schemeClr val="bg1"/>
                  </a:outerShdw>
                </a:effectLst>
                <a:latin typeface="+mn-lt"/>
                <a:ea typeface="+mn-ea"/>
                <a:cs typeface="+mn-cs"/>
              </a:defRPr>
            </a:pPr>
            <a:r>
              <a:rPr lang="en-US">
                <a:effectLst>
                  <a:outerShdw blurRad="50800" dist="50800" dir="5400000" algn="ctr" rotWithShape="0">
                    <a:schemeClr val="bg1"/>
                  </a:outerShdw>
                </a:effectLst>
              </a:rPr>
              <a:t>Solar</a:t>
            </a:r>
            <a:r>
              <a:rPr lang="en-US" baseline="0">
                <a:effectLst>
                  <a:outerShdw blurRad="50800" dist="50800" dir="5400000" algn="ctr" rotWithShape="0">
                    <a:schemeClr val="bg1"/>
                  </a:outerShdw>
                </a:effectLst>
              </a:rPr>
              <a:t> Production</a:t>
            </a:r>
            <a:r>
              <a:rPr lang="en-US">
                <a:effectLst>
                  <a:outerShdw blurRad="50800" dist="50800" dir="5400000" algn="ctr" rotWithShape="0">
                    <a:schemeClr val="bg1"/>
                  </a:outerShdw>
                </a:effectLst>
              </a:rPr>
              <a:t> Offset</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effectLst>
                <a:outerShdw blurRad="50800" dist="50800" dir="5400000" algn="ctr" rotWithShape="0">
                  <a:schemeClr val="bg1"/>
                </a:outerShdw>
              </a:effectLst>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Solar Production</c:v>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a:sp3d contourW="9525">
              <a:contourClr>
                <a:schemeClr val="accent6">
                  <a:shade val="95000"/>
                </a:schemeClr>
              </a:contourClr>
            </a:sp3d>
          </c:spPr>
          <c:invertIfNegative val="0"/>
          <c:cat>
            <c:strRef>
              <c:f>'Master Input'!$C$53:$N$53</c:f>
              <c:strCache>
                <c:ptCount val="12"/>
                <c:pt idx="0">
                  <c:v>Jan.</c:v>
                </c:pt>
                <c:pt idx="1">
                  <c:v> Feb. </c:v>
                </c:pt>
                <c:pt idx="2">
                  <c:v>Mar.</c:v>
                </c:pt>
                <c:pt idx="3">
                  <c:v>Apr</c:v>
                </c:pt>
                <c:pt idx="4">
                  <c:v>May</c:v>
                </c:pt>
                <c:pt idx="5">
                  <c:v>June</c:v>
                </c:pt>
                <c:pt idx="6">
                  <c:v>July</c:v>
                </c:pt>
                <c:pt idx="7">
                  <c:v>Aug.</c:v>
                </c:pt>
                <c:pt idx="8">
                  <c:v>Sep.</c:v>
                </c:pt>
                <c:pt idx="9">
                  <c:v>Oct.</c:v>
                </c:pt>
                <c:pt idx="10">
                  <c:v>Nov.</c:v>
                </c:pt>
                <c:pt idx="11">
                  <c:v>Dec.</c:v>
                </c:pt>
              </c:strCache>
            </c:strRef>
          </c:cat>
          <c:val>
            <c:numRef>
              <c:f>'Master Input'!$C$54:$N$54</c:f>
              <c:numCache>
                <c:formatCode>_("$"* #,##0.00_);_("$"* \(#,##0.00\);_("$"* "-"??_);_(@_)</c:formatCode>
                <c:ptCount val="12"/>
                <c:pt idx="0">
                  <c:v>94.870237500000002</c:v>
                </c:pt>
                <c:pt idx="1">
                  <c:v>77.957437499999997</c:v>
                </c:pt>
                <c:pt idx="2">
                  <c:v>126.846</c:v>
                </c:pt>
                <c:pt idx="3">
                  <c:v>109.66893750000001</c:v>
                </c:pt>
                <c:pt idx="4">
                  <c:v>140.05912499999999</c:v>
                </c:pt>
                <c:pt idx="5">
                  <c:v>118.91812499999999</c:v>
                </c:pt>
                <c:pt idx="6">
                  <c:v>136.09518749999998</c:v>
                </c:pt>
                <c:pt idx="7">
                  <c:v>140.05912499999999</c:v>
                </c:pt>
                <c:pt idx="8">
                  <c:v>128.16731250000001</c:v>
                </c:pt>
                <c:pt idx="9">
                  <c:v>86.678100000000001</c:v>
                </c:pt>
                <c:pt idx="10">
                  <c:v>99.362700000000004</c:v>
                </c:pt>
                <c:pt idx="11">
                  <c:v>99.098437500000003</c:v>
                </c:pt>
              </c:numCache>
            </c:numRef>
          </c:val>
          <c:extLst>
            <c:ext xmlns:c16="http://schemas.microsoft.com/office/drawing/2014/chart" uri="{C3380CC4-5D6E-409C-BE32-E72D297353CC}">
              <c16:uniqueId val="{00000000-8344-44FE-9160-F70706EDBB03}"/>
            </c:ext>
          </c:extLst>
        </c:ser>
        <c:ser>
          <c:idx val="1"/>
          <c:order val="1"/>
          <c:tx>
            <c:v>Remaining Bill</c:v>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a:sp3d contourW="9525">
              <a:contourClr>
                <a:schemeClr val="accent5">
                  <a:shade val="95000"/>
                </a:schemeClr>
              </a:contourClr>
            </a:sp3d>
          </c:spPr>
          <c:invertIfNegative val="0"/>
          <c:cat>
            <c:strRef>
              <c:f>'Master Input'!$C$53:$N$53</c:f>
              <c:strCache>
                <c:ptCount val="12"/>
                <c:pt idx="0">
                  <c:v>Jan.</c:v>
                </c:pt>
                <c:pt idx="1">
                  <c:v> Feb. </c:v>
                </c:pt>
                <c:pt idx="2">
                  <c:v>Mar.</c:v>
                </c:pt>
                <c:pt idx="3">
                  <c:v>Apr</c:v>
                </c:pt>
                <c:pt idx="4">
                  <c:v>May</c:v>
                </c:pt>
                <c:pt idx="5">
                  <c:v>June</c:v>
                </c:pt>
                <c:pt idx="6">
                  <c:v>July</c:v>
                </c:pt>
                <c:pt idx="7">
                  <c:v>Aug.</c:v>
                </c:pt>
                <c:pt idx="8">
                  <c:v>Sep.</c:v>
                </c:pt>
                <c:pt idx="9">
                  <c:v>Oct.</c:v>
                </c:pt>
                <c:pt idx="10">
                  <c:v>Nov.</c:v>
                </c:pt>
                <c:pt idx="11">
                  <c:v>Dec.</c:v>
                </c:pt>
              </c:strCache>
            </c:strRef>
          </c:cat>
          <c:val>
            <c:numRef>
              <c:f>'Master Input'!$C$56:$N$56</c:f>
              <c:numCache>
                <c:formatCode>"$"#,##0.00</c:formatCode>
                <c:ptCount val="12"/>
                <c:pt idx="0">
                  <c:v>15.239762499999983</c:v>
                </c:pt>
                <c:pt idx="1">
                  <c:v>18.8425625</c:v>
                </c:pt>
                <c:pt idx="2">
                  <c:v>-23.995999999999995</c:v>
                </c:pt>
                <c:pt idx="3">
                  <c:v>-15.288937500000017</c:v>
                </c:pt>
                <c:pt idx="4">
                  <c:v>-36.659125000000003</c:v>
                </c:pt>
                <c:pt idx="5">
                  <c:v>-14.088124999999991</c:v>
                </c:pt>
                <c:pt idx="6">
                  <c:v>6.0248125000000243</c:v>
                </c:pt>
                <c:pt idx="7">
                  <c:v>-17.409124999999989</c:v>
                </c:pt>
                <c:pt idx="8">
                  <c:v>-15.967312500000006</c:v>
                </c:pt>
                <c:pt idx="9">
                  <c:v>16.721899999999991</c:v>
                </c:pt>
                <c:pt idx="10">
                  <c:v>1.837299999999999</c:v>
                </c:pt>
                <c:pt idx="11">
                  <c:v>12.001562499999991</c:v>
                </c:pt>
              </c:numCache>
            </c:numRef>
          </c:val>
          <c:extLst>
            <c:ext xmlns:c16="http://schemas.microsoft.com/office/drawing/2014/chart" uri="{C3380CC4-5D6E-409C-BE32-E72D297353CC}">
              <c16:uniqueId val="{00000001-8344-44FE-9160-F70706EDBB03}"/>
            </c:ext>
          </c:extLst>
        </c:ser>
        <c:dLbls>
          <c:showLegendKey val="0"/>
          <c:showVal val="0"/>
          <c:showCatName val="0"/>
          <c:showSerName val="0"/>
          <c:showPercent val="0"/>
          <c:showBubbleSize val="0"/>
        </c:dLbls>
        <c:gapWidth val="150"/>
        <c:shape val="box"/>
        <c:axId val="804201824"/>
        <c:axId val="804197560"/>
        <c:axId val="0"/>
      </c:bar3DChart>
      <c:catAx>
        <c:axId val="8042018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04197560"/>
        <c:crosses val="autoZero"/>
        <c:auto val="1"/>
        <c:lblAlgn val="ctr"/>
        <c:lblOffset val="100"/>
        <c:noMultiLvlLbl val="0"/>
      </c:catAx>
      <c:valAx>
        <c:axId val="8041975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0420182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50000"/>
                    <a:lumOff val="50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a:noFill/>
        </a:ln>
        <a:effectLst/>
        <a:sp3d/>
      </c:spPr>
    </c:sideWall>
    <c:backWall>
      <c:thickness val="0"/>
      <c:spPr>
        <a:noFill/>
        <a:ln>
          <a:noFill/>
        </a:ln>
        <a:effectLst/>
        <a:sp3d/>
      </c:spPr>
    </c:backWall>
    <c:plotArea>
      <c:layout/>
      <c:area3DChart>
        <c:grouping val="stacked"/>
        <c:varyColors val="0"/>
        <c:ser>
          <c:idx val="0"/>
          <c:order val="0"/>
          <c:spPr>
            <a:solidFill>
              <a:schemeClr val="accent6"/>
            </a:solidFill>
            <a:ln>
              <a:noFill/>
            </a:ln>
            <a:effectLst/>
            <a:sp3d/>
          </c:spPr>
          <c:cat>
            <c:strRef>
              <c:f>'Master Input'!$C$53:$N$53</c:f>
              <c:strCache>
                <c:ptCount val="12"/>
                <c:pt idx="0">
                  <c:v>Jan.</c:v>
                </c:pt>
                <c:pt idx="1">
                  <c:v> Feb. </c:v>
                </c:pt>
                <c:pt idx="2">
                  <c:v>Mar.</c:v>
                </c:pt>
                <c:pt idx="3">
                  <c:v>Apr</c:v>
                </c:pt>
                <c:pt idx="4">
                  <c:v>May</c:v>
                </c:pt>
                <c:pt idx="5">
                  <c:v>June</c:v>
                </c:pt>
                <c:pt idx="6">
                  <c:v>July</c:v>
                </c:pt>
                <c:pt idx="7">
                  <c:v>Aug.</c:v>
                </c:pt>
                <c:pt idx="8">
                  <c:v>Sep.</c:v>
                </c:pt>
                <c:pt idx="9">
                  <c:v>Oct.</c:v>
                </c:pt>
                <c:pt idx="10">
                  <c:v>Nov.</c:v>
                </c:pt>
                <c:pt idx="11">
                  <c:v>Dec.</c:v>
                </c:pt>
              </c:strCache>
            </c:strRef>
          </c:cat>
          <c:val>
            <c:numRef>
              <c:f>'Master Input'!$C$54:$N$54</c:f>
              <c:numCache>
                <c:formatCode>_("$"* #,##0.00_);_("$"* \(#,##0.00\);_("$"* "-"??_);_(@_)</c:formatCode>
                <c:ptCount val="12"/>
                <c:pt idx="0">
                  <c:v>94.870237500000002</c:v>
                </c:pt>
                <c:pt idx="1">
                  <c:v>77.957437499999997</c:v>
                </c:pt>
                <c:pt idx="2">
                  <c:v>126.846</c:v>
                </c:pt>
                <c:pt idx="3">
                  <c:v>109.66893750000001</c:v>
                </c:pt>
                <c:pt idx="4">
                  <c:v>140.05912499999999</c:v>
                </c:pt>
                <c:pt idx="5">
                  <c:v>118.91812499999999</c:v>
                </c:pt>
                <c:pt idx="6">
                  <c:v>136.09518749999998</c:v>
                </c:pt>
                <c:pt idx="7">
                  <c:v>140.05912499999999</c:v>
                </c:pt>
                <c:pt idx="8">
                  <c:v>128.16731250000001</c:v>
                </c:pt>
                <c:pt idx="9">
                  <c:v>86.678100000000001</c:v>
                </c:pt>
                <c:pt idx="10">
                  <c:v>99.362700000000004</c:v>
                </c:pt>
                <c:pt idx="11">
                  <c:v>99.098437500000003</c:v>
                </c:pt>
              </c:numCache>
            </c:numRef>
          </c:val>
          <c:extLst>
            <c:ext xmlns:c16="http://schemas.microsoft.com/office/drawing/2014/chart" uri="{C3380CC4-5D6E-409C-BE32-E72D297353CC}">
              <c16:uniqueId val="{00000000-9635-4AA8-AF55-560DC4B01C55}"/>
            </c:ext>
          </c:extLst>
        </c:ser>
        <c:ser>
          <c:idx val="1"/>
          <c:order val="1"/>
          <c:spPr>
            <a:solidFill>
              <a:schemeClr val="accent5"/>
            </a:solidFill>
            <a:ln>
              <a:noFill/>
            </a:ln>
            <a:effectLst/>
            <a:sp3d/>
          </c:spPr>
          <c:cat>
            <c:strRef>
              <c:f>'Master Input'!$C$53:$N$53</c:f>
              <c:strCache>
                <c:ptCount val="12"/>
                <c:pt idx="0">
                  <c:v>Jan.</c:v>
                </c:pt>
                <c:pt idx="1">
                  <c:v> Feb. </c:v>
                </c:pt>
                <c:pt idx="2">
                  <c:v>Mar.</c:v>
                </c:pt>
                <c:pt idx="3">
                  <c:v>Apr</c:v>
                </c:pt>
                <c:pt idx="4">
                  <c:v>May</c:v>
                </c:pt>
                <c:pt idx="5">
                  <c:v>June</c:v>
                </c:pt>
                <c:pt idx="6">
                  <c:v>July</c:v>
                </c:pt>
                <c:pt idx="7">
                  <c:v>Aug.</c:v>
                </c:pt>
                <c:pt idx="8">
                  <c:v>Sep.</c:v>
                </c:pt>
                <c:pt idx="9">
                  <c:v>Oct.</c:v>
                </c:pt>
                <c:pt idx="10">
                  <c:v>Nov.</c:v>
                </c:pt>
                <c:pt idx="11">
                  <c:v>Dec.</c:v>
                </c:pt>
              </c:strCache>
            </c:strRef>
          </c:cat>
          <c:val>
            <c:numRef>
              <c:f>'Master Input'!$C$56:$N$56</c:f>
              <c:numCache>
                <c:formatCode>"$"#,##0.00</c:formatCode>
                <c:ptCount val="12"/>
                <c:pt idx="0">
                  <c:v>15.239762499999983</c:v>
                </c:pt>
                <c:pt idx="1">
                  <c:v>18.8425625</c:v>
                </c:pt>
                <c:pt idx="2">
                  <c:v>-23.995999999999995</c:v>
                </c:pt>
                <c:pt idx="3">
                  <c:v>-15.288937500000017</c:v>
                </c:pt>
                <c:pt idx="4">
                  <c:v>-36.659125000000003</c:v>
                </c:pt>
                <c:pt idx="5">
                  <c:v>-14.088124999999991</c:v>
                </c:pt>
                <c:pt idx="6">
                  <c:v>6.0248125000000243</c:v>
                </c:pt>
                <c:pt idx="7">
                  <c:v>-17.409124999999989</c:v>
                </c:pt>
                <c:pt idx="8">
                  <c:v>-15.967312500000006</c:v>
                </c:pt>
                <c:pt idx="9">
                  <c:v>16.721899999999991</c:v>
                </c:pt>
                <c:pt idx="10">
                  <c:v>1.837299999999999</c:v>
                </c:pt>
                <c:pt idx="11">
                  <c:v>12.001562499999991</c:v>
                </c:pt>
              </c:numCache>
            </c:numRef>
          </c:val>
          <c:extLst>
            <c:ext xmlns:c16="http://schemas.microsoft.com/office/drawing/2014/chart" uri="{C3380CC4-5D6E-409C-BE32-E72D297353CC}">
              <c16:uniqueId val="{00000001-9635-4AA8-AF55-560DC4B01C55}"/>
            </c:ext>
          </c:extLst>
        </c:ser>
        <c:dLbls>
          <c:showLegendKey val="0"/>
          <c:showVal val="0"/>
          <c:showCatName val="0"/>
          <c:showSerName val="0"/>
          <c:showPercent val="0"/>
          <c:showBubbleSize val="0"/>
        </c:dLbls>
        <c:axId val="843303784"/>
        <c:axId val="843299848"/>
        <c:axId val="0"/>
      </c:area3DChart>
      <c:catAx>
        <c:axId val="8433037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299848"/>
        <c:crosses val="autoZero"/>
        <c:auto val="1"/>
        <c:lblAlgn val="ctr"/>
        <c:lblOffset val="100"/>
        <c:noMultiLvlLbl val="0"/>
      </c:catAx>
      <c:valAx>
        <c:axId val="843299848"/>
        <c:scaling>
          <c:orientation val="minMax"/>
        </c:scaling>
        <c:delete val="0"/>
        <c:axPos val="l"/>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303784"/>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rgbClr val="1A406F"/>
                </a:solidFill>
                <a:latin typeface="Playfair Display Medium" pitchFamily="2" charset="77"/>
              </a:rPr>
              <a:t>With Solar: Your Power Bill Offset</a:t>
            </a:r>
          </a:p>
        </c:rich>
      </c:tx>
      <c:layout>
        <c:manualLayout>
          <c:xMode val="edge"/>
          <c:yMode val="edge"/>
          <c:x val="0.13323794098942679"/>
          <c:y val="4.46705139550595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4365034702682422E-2"/>
          <c:y val="0.17541471535224323"/>
          <c:w val="0.94225721784776906"/>
          <c:h val="0.6809860142971047"/>
        </c:manualLayout>
      </c:layout>
      <c:pie3DChart>
        <c:varyColors val="1"/>
        <c:ser>
          <c:idx val="0"/>
          <c:order val="0"/>
          <c:tx>
            <c:v>Power Bill Offset</c:v>
          </c:tx>
          <c:dPt>
            <c:idx val="0"/>
            <c:bubble3D val="0"/>
            <c:spPr>
              <a:solidFill>
                <a:srgbClr val="1A406F"/>
              </a:solidFill>
              <a:ln w="25400">
                <a:solidFill>
                  <a:schemeClr val="lt1"/>
                </a:solidFill>
              </a:ln>
              <a:effectLst/>
              <a:sp3d contourW="25400">
                <a:contourClr>
                  <a:schemeClr val="lt1"/>
                </a:contourClr>
              </a:sp3d>
            </c:spPr>
            <c:extLst>
              <c:ext xmlns:c16="http://schemas.microsoft.com/office/drawing/2014/chart" uri="{C3380CC4-5D6E-409C-BE32-E72D297353CC}">
                <c16:uniqueId val="{00000001-2ADC-45CC-8E98-14F9F59C8512}"/>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2ADC-45CC-8E98-14F9F59C8512}"/>
              </c:ext>
            </c:extLst>
          </c:dPt>
          <c:dPt>
            <c:idx val="2"/>
            <c:bubble3D val="0"/>
            <c:spPr>
              <a:solidFill>
                <a:srgbClr val="F2D640"/>
              </a:solidFill>
              <a:ln w="25400">
                <a:solidFill>
                  <a:schemeClr val="lt1"/>
                </a:solidFill>
              </a:ln>
              <a:effectLst/>
              <a:sp3d contourW="25400">
                <a:contourClr>
                  <a:schemeClr val="lt1"/>
                </a:contourClr>
              </a:sp3d>
            </c:spPr>
            <c:extLst>
              <c:ext xmlns:c16="http://schemas.microsoft.com/office/drawing/2014/chart" uri="{C3380CC4-5D6E-409C-BE32-E72D297353CC}">
                <c16:uniqueId val="{00000005-1066-4FCE-AFC7-0E8B53932D01}"/>
              </c:ext>
            </c:extLst>
          </c:dPt>
          <c:dLbls>
            <c:dLbl>
              <c:idx val="0"/>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fld id="{ABCFD548-066D-462F-9F6B-EB1CC1FC0465}" type="PERCENTAGE">
                      <a:rPr lang="en-US" sz="1600" b="1">
                        <a:solidFill>
                          <a:schemeClr val="bg1"/>
                        </a:solidFill>
                        <a:latin typeface="Open Sans" panose="020B0606030504020204" pitchFamily="34" charset="0"/>
                        <a:ea typeface="Open Sans" panose="020B0606030504020204" pitchFamily="34" charset="0"/>
                        <a:cs typeface="Open Sans" panose="020B0606030504020204" pitchFamily="34" charset="0"/>
                      </a:rPr>
                      <a:pPr>
                        <a:defRPr sz="1600">
                          <a:latin typeface="Open Sans" panose="020B0606030504020204" pitchFamily="34" charset="0"/>
                          <a:ea typeface="Open Sans" panose="020B0606030504020204" pitchFamily="34" charset="0"/>
                          <a:cs typeface="Open Sans" panose="020B0606030504020204" pitchFamily="34" charset="0"/>
                        </a:defRPr>
                      </a:pPr>
                      <a:t>[PERCENTAGE]</a:t>
                    </a:fld>
                    <a:endParaRPr lang="en-US"/>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ADC-45CC-8E98-14F9F59C8512}"/>
                </c:ext>
              </c:extLst>
            </c:dLbl>
            <c:dLbl>
              <c:idx val="2"/>
              <c:layout>
                <c:manualLayout>
                  <c:x val="-2.1799398187700932E-2"/>
                  <c:y val="0.15455319790449629"/>
                </c:manualLayout>
              </c:layout>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fld id="{ED2A763D-248E-4860-BA88-B27F5F6FC407}" type="PERCENTAGE">
                      <a:rPr lang="en-US" sz="1600" b="1">
                        <a:solidFill>
                          <a:schemeClr val="bg1"/>
                        </a:solidFill>
                        <a:latin typeface="Open Sans" panose="020B0606030504020204" pitchFamily="34" charset="0"/>
                        <a:ea typeface="Open Sans" panose="020B0606030504020204" pitchFamily="34" charset="0"/>
                        <a:cs typeface="Open Sans" panose="020B0606030504020204" pitchFamily="34" charset="0"/>
                      </a:rPr>
                      <a:pPr>
                        <a:defRPr sz="1600">
                          <a:latin typeface="Open Sans" panose="020B0606030504020204" pitchFamily="34" charset="0"/>
                          <a:ea typeface="Open Sans" panose="020B0606030504020204" pitchFamily="34" charset="0"/>
                          <a:cs typeface="Open Sans" panose="020B0606030504020204" pitchFamily="34" charset="0"/>
                        </a:defRPr>
                      </a:pPr>
                      <a:t>[PERCENTAGE]</a:t>
                    </a:fld>
                    <a:endParaRPr lang="en-US"/>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066-4FCE-AFC7-0E8B53932D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1"/>
            <c:showBubbleSize val="0"/>
            <c:showLeaderLines val="0"/>
            <c:extLst>
              <c:ext xmlns:c15="http://schemas.microsoft.com/office/drawing/2012/chart" uri="{CE6537A1-D6FC-4f65-9D91-7224C49458BB}"/>
            </c:extLst>
          </c:dLbls>
          <c:cat>
            <c:strLit>
              <c:ptCount val="2"/>
              <c:pt idx="0">
                <c:v>Solar Offset</c:v>
              </c:pt>
              <c:pt idx="1">
                <c:v> Remaining Power Bill</c:v>
              </c:pt>
            </c:strLit>
          </c:cat>
          <c:val>
            <c:numRef>
              <c:f>'Master Input'!$B$54:$B$56</c:f>
              <c:numCache>
                <c:formatCode>_("$"* #,##0.00_);_("$"* \(#,##0.00\);_("$"* "-"??_);_(@_)</c:formatCode>
                <c:ptCount val="3"/>
                <c:pt idx="0">
                  <c:v>110.109375</c:v>
                </c:pt>
                <c:pt idx="2" formatCode="&quot;$&quot;#,##0.00">
                  <c:v>-0.109375</c:v>
                </c:pt>
              </c:numCache>
            </c:numRef>
          </c:val>
          <c:extLst>
            <c:ext xmlns:c16="http://schemas.microsoft.com/office/drawing/2014/chart" uri="{C3380CC4-5D6E-409C-BE32-E72D297353CC}">
              <c16:uniqueId val="{00000004-2ADC-45CC-8E98-14F9F59C8512}"/>
            </c:ext>
          </c:extLst>
        </c:ser>
        <c:dLbls>
          <c:dLblPos val="inEnd"/>
          <c:showLegendKey val="0"/>
          <c:showVal val="0"/>
          <c:showCatName val="0"/>
          <c:showSerName val="0"/>
          <c:showPercent val="1"/>
          <c:showBubbleSize val="0"/>
          <c:showLeaderLines val="0"/>
        </c:dLbls>
      </c:pie3DChart>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Entry>
      <c:legendEntry>
        <c:idx val="1"/>
        <c:txPr>
          <a:bodyPr rot="0" spcFirstLastPara="1" vertOverflow="ellipsis" vert="horz" wrap="square" anchor="ctr" anchorCtr="1"/>
          <a:lstStyle/>
          <a:p>
            <a:pPr>
              <a:defRPr sz="900" b="1"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Entry>
      <c:legendEntry>
        <c:idx val="2"/>
        <c:txPr>
          <a:bodyPr rot="0" spcFirstLastPara="1" vertOverflow="ellipsis" vert="horz" wrap="square" anchor="ctr" anchorCtr="1"/>
          <a:lstStyle/>
          <a:p>
            <a:pPr>
              <a:defRPr sz="900" b="1"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Entry>
      <c:layout>
        <c:manualLayout>
          <c:xMode val="edge"/>
          <c:yMode val="edge"/>
          <c:x val="0.19817381994866659"/>
          <c:y val="0.85330547780346966"/>
          <c:w val="0.60365236010266687"/>
          <c:h val="5.76489772533205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lumMod val="75000"/>
          <a:lumOff val="2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16870964606133E-2"/>
          <c:y val="0.12949715045210142"/>
          <c:w val="0.88142331222934056"/>
          <c:h val="0.77775513354948278"/>
        </c:manualLayout>
      </c:layout>
      <c:barChart>
        <c:barDir val="col"/>
        <c:grouping val="clustered"/>
        <c:varyColors val="0"/>
        <c:ser>
          <c:idx val="1"/>
          <c:order val="1"/>
          <c:tx>
            <c:v>Solar Savings</c:v>
          </c:tx>
          <c:spPr>
            <a:solidFill>
              <a:srgbClr val="1A406F"/>
            </a:solidFill>
            <a:ln>
              <a:noFill/>
            </a:ln>
            <a:effectLst/>
          </c:spPr>
          <c:invertIfNegative val="0"/>
          <c:cat>
            <c:strRef>
              <c:f>'Master Input'!$C$53:$N$53</c:f>
              <c:strCache>
                <c:ptCount val="12"/>
                <c:pt idx="0">
                  <c:v>Jan.</c:v>
                </c:pt>
                <c:pt idx="1">
                  <c:v> Feb. </c:v>
                </c:pt>
                <c:pt idx="2">
                  <c:v>Mar.</c:v>
                </c:pt>
                <c:pt idx="3">
                  <c:v>Apr</c:v>
                </c:pt>
                <c:pt idx="4">
                  <c:v>May</c:v>
                </c:pt>
                <c:pt idx="5">
                  <c:v>June</c:v>
                </c:pt>
                <c:pt idx="6">
                  <c:v>July</c:v>
                </c:pt>
                <c:pt idx="7">
                  <c:v>Aug.</c:v>
                </c:pt>
                <c:pt idx="8">
                  <c:v>Sep.</c:v>
                </c:pt>
                <c:pt idx="9">
                  <c:v>Oct.</c:v>
                </c:pt>
                <c:pt idx="10">
                  <c:v>Nov.</c:v>
                </c:pt>
                <c:pt idx="11">
                  <c:v>Dec.</c:v>
                </c:pt>
              </c:strCache>
            </c:strRef>
          </c:cat>
          <c:val>
            <c:numRef>
              <c:f>'Master Input'!$C$54:$N$54</c:f>
              <c:numCache>
                <c:formatCode>_("$"* #,##0.00_);_("$"* \(#,##0.00\);_("$"* "-"??_);_(@_)</c:formatCode>
                <c:ptCount val="12"/>
                <c:pt idx="0">
                  <c:v>94.870237500000002</c:v>
                </c:pt>
                <c:pt idx="1">
                  <c:v>77.957437499999997</c:v>
                </c:pt>
                <c:pt idx="2">
                  <c:v>126.846</c:v>
                </c:pt>
                <c:pt idx="3">
                  <c:v>109.66893750000001</c:v>
                </c:pt>
                <c:pt idx="4">
                  <c:v>140.05912499999999</c:v>
                </c:pt>
                <c:pt idx="5">
                  <c:v>118.91812499999999</c:v>
                </c:pt>
                <c:pt idx="6">
                  <c:v>136.09518749999998</c:v>
                </c:pt>
                <c:pt idx="7">
                  <c:v>140.05912499999999</c:v>
                </c:pt>
                <c:pt idx="8">
                  <c:v>128.16731250000001</c:v>
                </c:pt>
                <c:pt idx="9">
                  <c:v>86.678100000000001</c:v>
                </c:pt>
                <c:pt idx="10">
                  <c:v>99.362700000000004</c:v>
                </c:pt>
                <c:pt idx="11">
                  <c:v>99.098437500000003</c:v>
                </c:pt>
              </c:numCache>
            </c:numRef>
          </c:val>
          <c:extLst>
            <c:ext xmlns:c16="http://schemas.microsoft.com/office/drawing/2014/chart" uri="{C3380CC4-5D6E-409C-BE32-E72D297353CC}">
              <c16:uniqueId val="{00000000-85BD-4490-9C15-C8429F5E62BE}"/>
            </c:ext>
          </c:extLst>
        </c:ser>
        <c:dLbls>
          <c:showLegendKey val="0"/>
          <c:showVal val="0"/>
          <c:showCatName val="0"/>
          <c:showSerName val="0"/>
          <c:showPercent val="0"/>
          <c:showBubbleSize val="0"/>
        </c:dLbls>
        <c:gapWidth val="150"/>
        <c:axId val="797146720"/>
        <c:axId val="797147048"/>
        <c:extLst>
          <c:ext xmlns:c15="http://schemas.microsoft.com/office/drawing/2012/chart" uri="{02D57815-91ED-43cb-92C2-25804820EDAC}">
            <c15:filteredBarSeries>
              <c15:ser>
                <c:idx val="0"/>
                <c:order val="0"/>
                <c:tx>
                  <c:v>Power bill</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extLst>
                      <c:ext uri="{02D57815-91ED-43cb-92C2-25804820EDAC}">
                        <c15:formulaRef>
                          <c15:sqref>'Master Input'!$C$53:$N$53</c15:sqref>
                        </c15:formulaRef>
                      </c:ext>
                    </c:extLst>
                    <c:strCache>
                      <c:ptCount val="12"/>
                      <c:pt idx="0">
                        <c:v>Jan.</c:v>
                      </c:pt>
                      <c:pt idx="1">
                        <c:v> Feb. </c:v>
                      </c:pt>
                      <c:pt idx="2">
                        <c:v>Mar.</c:v>
                      </c:pt>
                      <c:pt idx="3">
                        <c:v>Apr</c:v>
                      </c:pt>
                      <c:pt idx="4">
                        <c:v>May</c:v>
                      </c:pt>
                      <c:pt idx="5">
                        <c:v>June</c:v>
                      </c:pt>
                      <c:pt idx="6">
                        <c:v>July</c:v>
                      </c:pt>
                      <c:pt idx="7">
                        <c:v>Aug.</c:v>
                      </c:pt>
                      <c:pt idx="8">
                        <c:v>Sep.</c:v>
                      </c:pt>
                      <c:pt idx="9">
                        <c:v>Oct.</c:v>
                      </c:pt>
                      <c:pt idx="10">
                        <c:v>Nov.</c:v>
                      </c:pt>
                      <c:pt idx="11">
                        <c:v>Dec.</c:v>
                      </c:pt>
                    </c:strCache>
                  </c:strRef>
                </c:cat>
                <c:val>
                  <c:numRef>
                    <c:extLst>
                      <c:ext uri="{02D57815-91ED-43cb-92C2-25804820EDAC}">
                        <c15:formulaRef>
                          <c15:sqref>'Master Input'!$C$57:$N$57</c15:sqref>
                        </c15:formulaRef>
                      </c:ext>
                    </c:extLst>
                    <c:numCache>
                      <c:formatCode>_("$"* #,##0.00_);_("$"* \(#,##0.00\);_("$"* "-"??_);_(@_)</c:formatCode>
                      <c:ptCount val="12"/>
                      <c:pt idx="0">
                        <c:v>110.10999999999999</c:v>
                      </c:pt>
                      <c:pt idx="1">
                        <c:v>96.8</c:v>
                      </c:pt>
                      <c:pt idx="2">
                        <c:v>102.85000000000001</c:v>
                      </c:pt>
                      <c:pt idx="3">
                        <c:v>94.38</c:v>
                      </c:pt>
                      <c:pt idx="4">
                        <c:v>103.39999999999999</c:v>
                      </c:pt>
                      <c:pt idx="5">
                        <c:v>104.83</c:v>
                      </c:pt>
                      <c:pt idx="6">
                        <c:v>142.12</c:v>
                      </c:pt>
                      <c:pt idx="7">
                        <c:v>122.65</c:v>
                      </c:pt>
                      <c:pt idx="8">
                        <c:v>112.2</c:v>
                      </c:pt>
                      <c:pt idx="9">
                        <c:v>103.39999999999999</c:v>
                      </c:pt>
                      <c:pt idx="10">
                        <c:v>101.2</c:v>
                      </c:pt>
                      <c:pt idx="11">
                        <c:v>111.1</c:v>
                      </c:pt>
                    </c:numCache>
                  </c:numRef>
                </c:val>
                <c:extLst>
                  <c:ext xmlns:c16="http://schemas.microsoft.com/office/drawing/2014/chart" uri="{C3380CC4-5D6E-409C-BE32-E72D297353CC}">
                    <c16:uniqueId val="{00000002-85BD-4490-9C15-C8429F5E62BE}"/>
                  </c:ext>
                </c:extLst>
              </c15:ser>
            </c15:filteredBarSeries>
          </c:ext>
        </c:extLst>
      </c:barChart>
      <c:lineChart>
        <c:grouping val="standard"/>
        <c:varyColors val="0"/>
        <c:ser>
          <c:idx val="2"/>
          <c:order val="2"/>
          <c:tx>
            <c:v>Remaining Power Bill</c:v>
          </c:tx>
          <c:spPr>
            <a:ln w="31750" cap="rnd">
              <a:solidFill>
                <a:srgbClr val="F6AC38"/>
              </a:solidFill>
              <a:round/>
            </a:ln>
            <a:effectLst/>
          </c:spPr>
          <c:marker>
            <c:symbol val="none"/>
          </c:marker>
          <c:val>
            <c:numRef>
              <c:f>'Master Input'!$C$56:$N$56</c:f>
              <c:numCache>
                <c:formatCode>"$"#,##0.00</c:formatCode>
                <c:ptCount val="12"/>
                <c:pt idx="0">
                  <c:v>15.239762499999983</c:v>
                </c:pt>
                <c:pt idx="1">
                  <c:v>18.8425625</c:v>
                </c:pt>
                <c:pt idx="2">
                  <c:v>-23.995999999999995</c:v>
                </c:pt>
                <c:pt idx="3">
                  <c:v>-15.288937500000017</c:v>
                </c:pt>
                <c:pt idx="4">
                  <c:v>-36.659125000000003</c:v>
                </c:pt>
                <c:pt idx="5">
                  <c:v>-14.088124999999991</c:v>
                </c:pt>
                <c:pt idx="6">
                  <c:v>6.0248125000000243</c:v>
                </c:pt>
                <c:pt idx="7">
                  <c:v>-17.409124999999989</c:v>
                </c:pt>
                <c:pt idx="8">
                  <c:v>-15.967312500000006</c:v>
                </c:pt>
                <c:pt idx="9">
                  <c:v>16.721899999999991</c:v>
                </c:pt>
                <c:pt idx="10">
                  <c:v>1.837299999999999</c:v>
                </c:pt>
                <c:pt idx="11">
                  <c:v>12.001562499999991</c:v>
                </c:pt>
              </c:numCache>
            </c:numRef>
          </c:val>
          <c:smooth val="0"/>
          <c:extLst>
            <c:ext xmlns:c16="http://schemas.microsoft.com/office/drawing/2014/chart" uri="{C3380CC4-5D6E-409C-BE32-E72D297353CC}">
              <c16:uniqueId val="{00000001-85BD-4490-9C15-C8429F5E62BE}"/>
            </c:ext>
          </c:extLst>
        </c:ser>
        <c:dLbls>
          <c:showLegendKey val="0"/>
          <c:showVal val="0"/>
          <c:showCatName val="0"/>
          <c:showSerName val="0"/>
          <c:showPercent val="0"/>
          <c:showBubbleSize val="0"/>
        </c:dLbls>
        <c:marker val="1"/>
        <c:smooth val="0"/>
        <c:axId val="797146720"/>
        <c:axId val="797147048"/>
      </c:lineChart>
      <c:catAx>
        <c:axId val="79714672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97147048"/>
        <c:crosses val="autoZero"/>
        <c:auto val="1"/>
        <c:lblAlgn val="ctr"/>
        <c:lblOffset val="100"/>
        <c:noMultiLvlLbl val="0"/>
      </c:catAx>
      <c:valAx>
        <c:axId val="797147048"/>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797146720"/>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Open Sans" panose="020B0606030504020204" pitchFamily="34" charset="0"/>
                <a:ea typeface="Open Sans" panose="020B0606030504020204" pitchFamily="34" charset="0"/>
                <a:cs typeface="Open Sans" panose="020B0606030504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rgbClr val="E7E6E6">
          <a:lumMod val="50000"/>
        </a:srgbClr>
      </a:solid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rgbClr val="1A406F"/>
                </a:solidFill>
                <a:latin typeface="Playfair Display Black" pitchFamily="2" charset="77"/>
                <a:ea typeface="Open Sans" panose="020B0606030504020204" pitchFamily="34" charset="0"/>
                <a:cs typeface="Open Sans" panose="020B0606030504020204" pitchFamily="34" charset="0"/>
              </a:rPr>
              <a:t>Power Bill Offset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607023260023531E-2"/>
          <c:y val="0.16587413695845749"/>
          <c:w val="0.94225721784776906"/>
          <c:h val="0.6809860142971047"/>
        </c:manualLayout>
      </c:layout>
      <c:pie3DChart>
        <c:varyColors val="1"/>
        <c:ser>
          <c:idx val="0"/>
          <c:order val="0"/>
          <c:tx>
            <c:v>Power Bill Offset</c:v>
          </c:tx>
          <c:dPt>
            <c:idx val="0"/>
            <c:bubble3D val="0"/>
            <c:spPr>
              <a:solidFill>
                <a:srgbClr val="1A406F"/>
              </a:solidFill>
              <a:ln w="25400">
                <a:solidFill>
                  <a:schemeClr val="lt1"/>
                </a:solidFill>
              </a:ln>
              <a:effectLst/>
              <a:sp3d contourW="25400">
                <a:contourClr>
                  <a:schemeClr val="lt1"/>
                </a:contourClr>
              </a:sp3d>
            </c:spPr>
            <c:extLst>
              <c:ext xmlns:c16="http://schemas.microsoft.com/office/drawing/2014/chart" uri="{C3380CC4-5D6E-409C-BE32-E72D297353CC}">
                <c16:uniqueId val="{00000001-2BD6-4BA5-A0F9-19C2588DCDEE}"/>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2BD6-4BA5-A0F9-19C2588DCDEE}"/>
              </c:ext>
            </c:extLst>
          </c:dPt>
          <c:dPt>
            <c:idx val="2"/>
            <c:bubble3D val="0"/>
            <c:spPr>
              <a:solidFill>
                <a:srgbClr val="F2D640"/>
              </a:solidFill>
              <a:ln w="25400">
                <a:solidFill>
                  <a:schemeClr val="lt1"/>
                </a:solidFill>
              </a:ln>
              <a:effectLst/>
              <a:sp3d contourW="25400">
                <a:contourClr>
                  <a:schemeClr val="lt1"/>
                </a:contourClr>
              </a:sp3d>
            </c:spPr>
            <c:extLst>
              <c:ext xmlns:c16="http://schemas.microsoft.com/office/drawing/2014/chart" uri="{C3380CC4-5D6E-409C-BE32-E72D297353CC}">
                <c16:uniqueId val="{00000005-63A4-417D-9554-1A44FB20FB1C}"/>
              </c:ext>
            </c:extLst>
          </c:dPt>
          <c:dLbls>
            <c:dLbl>
              <c:idx val="0"/>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fld id="{ABCFD548-066D-462F-9F6B-EB1CC1FC0465}" type="PERCENTAGE">
                      <a:rPr lang="en-US" sz="1600" b="1">
                        <a:solidFill>
                          <a:schemeClr val="bg1"/>
                        </a:solidFill>
                        <a:latin typeface="Open Sans" panose="020B0606030504020204" pitchFamily="34" charset="0"/>
                        <a:ea typeface="Open Sans" panose="020B0606030504020204" pitchFamily="34" charset="0"/>
                        <a:cs typeface="Open Sans" panose="020B0606030504020204" pitchFamily="34" charset="0"/>
                      </a:rPr>
                      <a:pPr>
                        <a:defRPr sz="1600">
                          <a:latin typeface="Open Sans" panose="020B0606030504020204" pitchFamily="34" charset="0"/>
                          <a:ea typeface="Open Sans" panose="020B0606030504020204" pitchFamily="34" charset="0"/>
                          <a:cs typeface="Open Sans" panose="020B0606030504020204" pitchFamily="34" charset="0"/>
                        </a:defRPr>
                      </a:pPr>
                      <a:t>[PERCENTAGE]</a:t>
                    </a:fld>
                    <a:endParaRPr lang="en-US"/>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BD6-4BA5-A0F9-19C2588DCDEE}"/>
                </c:ext>
              </c:extLst>
            </c:dLbl>
            <c:dLbl>
              <c:idx val="2"/>
              <c:layout>
                <c:manualLayout>
                  <c:x val="-2.3771948093239625E-2"/>
                  <c:y val="0.1757271012458326"/>
                </c:manualLayout>
              </c:layout>
              <c:tx>
                <c:rich>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fld id="{ED2A763D-248E-4860-BA88-B27F5F6FC407}" type="PERCENTAGE">
                      <a:rPr lang="en-US" sz="1600" b="1">
                        <a:solidFill>
                          <a:schemeClr val="bg1"/>
                        </a:solidFill>
                        <a:latin typeface="Open Sans" panose="020B0606030504020204" pitchFamily="34" charset="0"/>
                        <a:ea typeface="Open Sans" panose="020B0606030504020204" pitchFamily="34" charset="0"/>
                        <a:cs typeface="Open Sans" panose="020B0606030504020204" pitchFamily="34" charset="0"/>
                      </a:rPr>
                      <a:pPr>
                        <a:defRPr sz="1600">
                          <a:latin typeface="Open Sans" panose="020B0606030504020204" pitchFamily="34" charset="0"/>
                          <a:ea typeface="Open Sans" panose="020B0606030504020204" pitchFamily="34" charset="0"/>
                          <a:cs typeface="Open Sans" panose="020B0606030504020204" pitchFamily="34" charset="0"/>
                        </a:defRPr>
                      </a:pPr>
                      <a:t>[PERCENTAGE]</a:t>
                    </a:fld>
                    <a:endParaRPr lang="en-US"/>
                  </a:p>
                </c:rich>
              </c:tx>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3A4-417D-9554-1A44FB20FB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1"/>
            <c:showBubbleSize val="0"/>
            <c:showLeaderLines val="0"/>
            <c:extLst>
              <c:ext xmlns:c15="http://schemas.microsoft.com/office/drawing/2012/chart" uri="{CE6537A1-D6FC-4f65-9D91-7224C49458BB}"/>
            </c:extLst>
          </c:dLbls>
          <c:cat>
            <c:strLit>
              <c:ptCount val="2"/>
              <c:pt idx="0">
                <c:v>Solar Offset</c:v>
              </c:pt>
              <c:pt idx="1">
                <c:v> Remaining Power Bill</c:v>
              </c:pt>
            </c:strLit>
          </c:cat>
          <c:val>
            <c:numRef>
              <c:f>'Master Input'!$B$54:$B$56</c:f>
              <c:numCache>
                <c:formatCode>_("$"* #,##0.00_);_("$"* \(#,##0.00\);_("$"* "-"??_);_(@_)</c:formatCode>
                <c:ptCount val="3"/>
                <c:pt idx="0">
                  <c:v>110.109375</c:v>
                </c:pt>
                <c:pt idx="2" formatCode="&quot;$&quot;#,##0.00">
                  <c:v>-0.109375</c:v>
                </c:pt>
              </c:numCache>
            </c:numRef>
          </c:val>
          <c:extLst>
            <c:ext xmlns:c16="http://schemas.microsoft.com/office/drawing/2014/chart" uri="{C3380CC4-5D6E-409C-BE32-E72D297353CC}">
              <c16:uniqueId val="{00000004-2BD6-4BA5-A0F9-19C2588DCDEE}"/>
            </c:ext>
          </c:extLst>
        </c:ser>
        <c:dLbls>
          <c:dLblPos val="inEnd"/>
          <c:showLegendKey val="0"/>
          <c:showVal val="0"/>
          <c:showCatName val="0"/>
          <c:showSerName val="0"/>
          <c:showPercent val="1"/>
          <c:showBubbleSize val="0"/>
          <c:showLeaderLines val="0"/>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Entry>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solidFill>
                  <a:srgbClr val="1A406F"/>
                </a:solidFill>
                <a:latin typeface="Playfair Display Medium" pitchFamily="2" charset="77"/>
              </a:rPr>
              <a:t>Consumption</a:t>
            </a:r>
            <a:r>
              <a:rPr lang="en-US" baseline="0">
                <a:solidFill>
                  <a:srgbClr val="1A406F"/>
                </a:solidFill>
                <a:latin typeface="Playfair Display Medium" pitchFamily="2" charset="77"/>
              </a:rPr>
              <a:t> vs. Solar Production</a:t>
            </a:r>
            <a:endParaRPr lang="en-US">
              <a:solidFill>
                <a:srgbClr val="1A406F"/>
              </a:solidFill>
              <a:latin typeface="Playfair Display Medium" pitchFamily="2" charset="77"/>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8.6716870964606133E-2"/>
          <c:y val="0.12949715045210142"/>
          <c:w val="0.88142331222934056"/>
          <c:h val="0.77775513354948278"/>
        </c:manualLayout>
      </c:layout>
      <c:areaChart>
        <c:grouping val="stacked"/>
        <c:varyColors val="0"/>
        <c:ser>
          <c:idx val="1"/>
          <c:order val="1"/>
          <c:tx>
            <c:v>Solar Savings</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cat>
            <c:strRef>
              <c:f>'Master Input'!$C$53:$N$53</c:f>
              <c:strCache>
                <c:ptCount val="12"/>
                <c:pt idx="0">
                  <c:v>Jan.</c:v>
                </c:pt>
                <c:pt idx="1">
                  <c:v> Feb. </c:v>
                </c:pt>
                <c:pt idx="2">
                  <c:v>Mar.</c:v>
                </c:pt>
                <c:pt idx="3">
                  <c:v>Apr</c:v>
                </c:pt>
                <c:pt idx="4">
                  <c:v>May</c:v>
                </c:pt>
                <c:pt idx="5">
                  <c:v>June</c:v>
                </c:pt>
                <c:pt idx="6">
                  <c:v>July</c:v>
                </c:pt>
                <c:pt idx="7">
                  <c:v>Aug.</c:v>
                </c:pt>
                <c:pt idx="8">
                  <c:v>Sep.</c:v>
                </c:pt>
                <c:pt idx="9">
                  <c:v>Oct.</c:v>
                </c:pt>
                <c:pt idx="10">
                  <c:v>Nov.</c:v>
                </c:pt>
                <c:pt idx="11">
                  <c:v>Dec.</c:v>
                </c:pt>
              </c:strCache>
            </c:strRef>
          </c:cat>
          <c:val>
            <c:numRef>
              <c:f>'Master Input'!$C$54:$N$54</c:f>
              <c:numCache>
                <c:formatCode>_("$"* #,##0.00_);_("$"* \(#,##0.00\);_("$"* "-"??_);_(@_)</c:formatCode>
                <c:ptCount val="12"/>
                <c:pt idx="0">
                  <c:v>94.870237500000002</c:v>
                </c:pt>
                <c:pt idx="1">
                  <c:v>77.957437499999997</c:v>
                </c:pt>
                <c:pt idx="2">
                  <c:v>126.846</c:v>
                </c:pt>
                <c:pt idx="3">
                  <c:v>109.66893750000001</c:v>
                </c:pt>
                <c:pt idx="4">
                  <c:v>140.05912499999999</c:v>
                </c:pt>
                <c:pt idx="5">
                  <c:v>118.91812499999999</c:v>
                </c:pt>
                <c:pt idx="6">
                  <c:v>136.09518749999998</c:v>
                </c:pt>
                <c:pt idx="7">
                  <c:v>140.05912499999999</c:v>
                </c:pt>
                <c:pt idx="8">
                  <c:v>128.16731250000001</c:v>
                </c:pt>
                <c:pt idx="9">
                  <c:v>86.678100000000001</c:v>
                </c:pt>
                <c:pt idx="10">
                  <c:v>99.362700000000004</c:v>
                </c:pt>
                <c:pt idx="11">
                  <c:v>99.098437500000003</c:v>
                </c:pt>
              </c:numCache>
            </c:numRef>
          </c:val>
          <c:extLst>
            <c:ext xmlns:c16="http://schemas.microsoft.com/office/drawing/2014/chart" uri="{C3380CC4-5D6E-409C-BE32-E72D297353CC}">
              <c16:uniqueId val="{00000000-81CB-4ECC-BD6E-2258A027C9C1}"/>
            </c:ext>
          </c:extLst>
        </c:ser>
        <c:ser>
          <c:idx val="2"/>
          <c:order val="2"/>
          <c:tx>
            <c:v>Remaining Power Bill</c:v>
          </c:tx>
          <c:spPr>
            <a:solidFill>
              <a:srgbClr val="F6AC38"/>
            </a:solidFill>
            <a:ln>
              <a:noFill/>
            </a:ln>
            <a:effectLst/>
          </c:spPr>
          <c:val>
            <c:numRef>
              <c:f>'Master Input'!$C$56:$N$56</c:f>
              <c:numCache>
                <c:formatCode>"$"#,##0.00</c:formatCode>
                <c:ptCount val="12"/>
                <c:pt idx="0">
                  <c:v>15.239762499999983</c:v>
                </c:pt>
                <c:pt idx="1">
                  <c:v>18.8425625</c:v>
                </c:pt>
                <c:pt idx="2">
                  <c:v>-23.995999999999995</c:v>
                </c:pt>
                <c:pt idx="3">
                  <c:v>-15.288937500000017</c:v>
                </c:pt>
                <c:pt idx="4">
                  <c:v>-36.659125000000003</c:v>
                </c:pt>
                <c:pt idx="5">
                  <c:v>-14.088124999999991</c:v>
                </c:pt>
                <c:pt idx="6">
                  <c:v>6.0248125000000243</c:v>
                </c:pt>
                <c:pt idx="7">
                  <c:v>-17.409124999999989</c:v>
                </c:pt>
                <c:pt idx="8">
                  <c:v>-15.967312500000006</c:v>
                </c:pt>
                <c:pt idx="9">
                  <c:v>16.721899999999991</c:v>
                </c:pt>
                <c:pt idx="10">
                  <c:v>1.837299999999999</c:v>
                </c:pt>
                <c:pt idx="11">
                  <c:v>12.001562499999991</c:v>
                </c:pt>
              </c:numCache>
            </c:numRef>
          </c:val>
          <c:extLst>
            <c:ext xmlns:c16="http://schemas.microsoft.com/office/drawing/2014/chart" uri="{C3380CC4-5D6E-409C-BE32-E72D297353CC}">
              <c16:uniqueId val="{00000001-81CB-4ECC-BD6E-2258A027C9C1}"/>
            </c:ext>
          </c:extLst>
        </c:ser>
        <c:dLbls>
          <c:showLegendKey val="0"/>
          <c:showVal val="0"/>
          <c:showCatName val="0"/>
          <c:showSerName val="0"/>
          <c:showPercent val="0"/>
          <c:showBubbleSize val="0"/>
        </c:dLbls>
        <c:axId val="797146720"/>
        <c:axId val="797147048"/>
        <c:extLst>
          <c:ext xmlns:c15="http://schemas.microsoft.com/office/drawing/2012/chart" uri="{02D57815-91ED-43cb-92C2-25804820EDAC}">
            <c15:filteredAreaSeries>
              <c15:ser>
                <c:idx val="0"/>
                <c:order val="0"/>
                <c:tx>
                  <c:v>Power bill</c:v>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cat>
                  <c:strRef>
                    <c:extLst>
                      <c:ext uri="{02D57815-91ED-43cb-92C2-25804820EDAC}">
                        <c15:formulaRef>
                          <c15:sqref>'Master Input'!$C$53:$N$53</c15:sqref>
                        </c15:formulaRef>
                      </c:ext>
                    </c:extLst>
                    <c:strCache>
                      <c:ptCount val="12"/>
                      <c:pt idx="0">
                        <c:v>Jan.</c:v>
                      </c:pt>
                      <c:pt idx="1">
                        <c:v> Feb. </c:v>
                      </c:pt>
                      <c:pt idx="2">
                        <c:v>Mar.</c:v>
                      </c:pt>
                      <c:pt idx="3">
                        <c:v>Apr</c:v>
                      </c:pt>
                      <c:pt idx="4">
                        <c:v>May</c:v>
                      </c:pt>
                      <c:pt idx="5">
                        <c:v>June</c:v>
                      </c:pt>
                      <c:pt idx="6">
                        <c:v>July</c:v>
                      </c:pt>
                      <c:pt idx="7">
                        <c:v>Aug.</c:v>
                      </c:pt>
                      <c:pt idx="8">
                        <c:v>Sep.</c:v>
                      </c:pt>
                      <c:pt idx="9">
                        <c:v>Oct.</c:v>
                      </c:pt>
                      <c:pt idx="10">
                        <c:v>Nov.</c:v>
                      </c:pt>
                      <c:pt idx="11">
                        <c:v>Dec.</c:v>
                      </c:pt>
                    </c:strCache>
                  </c:strRef>
                </c:cat>
                <c:val>
                  <c:numRef>
                    <c:extLst>
                      <c:ext uri="{02D57815-91ED-43cb-92C2-25804820EDAC}">
                        <c15:formulaRef>
                          <c15:sqref>'Master Input'!$C$57:$N$57</c15:sqref>
                        </c15:formulaRef>
                      </c:ext>
                    </c:extLst>
                    <c:numCache>
                      <c:formatCode>_("$"* #,##0.00_);_("$"* \(#,##0.00\);_("$"* "-"??_);_(@_)</c:formatCode>
                      <c:ptCount val="12"/>
                      <c:pt idx="0">
                        <c:v>110.10999999999999</c:v>
                      </c:pt>
                      <c:pt idx="1">
                        <c:v>96.8</c:v>
                      </c:pt>
                      <c:pt idx="2">
                        <c:v>102.85000000000001</c:v>
                      </c:pt>
                      <c:pt idx="3">
                        <c:v>94.38</c:v>
                      </c:pt>
                      <c:pt idx="4">
                        <c:v>103.39999999999999</c:v>
                      </c:pt>
                      <c:pt idx="5">
                        <c:v>104.83</c:v>
                      </c:pt>
                      <c:pt idx="6">
                        <c:v>142.12</c:v>
                      </c:pt>
                      <c:pt idx="7">
                        <c:v>122.65</c:v>
                      </c:pt>
                      <c:pt idx="8">
                        <c:v>112.2</c:v>
                      </c:pt>
                      <c:pt idx="9">
                        <c:v>103.39999999999999</c:v>
                      </c:pt>
                      <c:pt idx="10">
                        <c:v>101.2</c:v>
                      </c:pt>
                      <c:pt idx="11">
                        <c:v>111.1</c:v>
                      </c:pt>
                    </c:numCache>
                  </c:numRef>
                </c:val>
                <c:extLst>
                  <c:ext xmlns:c16="http://schemas.microsoft.com/office/drawing/2014/chart" uri="{C3380CC4-5D6E-409C-BE32-E72D297353CC}">
                    <c16:uniqueId val="{00000002-81CB-4ECC-BD6E-2258A027C9C1}"/>
                  </c:ext>
                </c:extLst>
              </c15:ser>
            </c15:filteredAreaSeries>
          </c:ext>
        </c:extLst>
      </c:areaChart>
      <c:catAx>
        <c:axId val="79714672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7147048"/>
        <c:crosses val="autoZero"/>
        <c:auto val="1"/>
        <c:lblAlgn val="ctr"/>
        <c:lblOffset val="100"/>
        <c:noMultiLvlLbl val="0"/>
      </c:catAx>
      <c:valAx>
        <c:axId val="797147048"/>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7146720"/>
        <c:crosses val="autoZero"/>
        <c:crossBetween val="midCat"/>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Open Sans" panose="020B0606030504020204" pitchFamily="34" charset="0"/>
                <a:ea typeface="Open Sans" panose="020B0606030504020204" pitchFamily="34" charset="0"/>
                <a:cs typeface="Open Sans" panose="020B0606030504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bg2">
          <a:lumMod val="50000"/>
        </a:schemeClr>
      </a:solidFill>
      <a:round/>
    </a:ln>
    <a:effectLst>
      <a:outerShdw blurRad="50800" dist="50800" dir="5400000" algn="ctr" rotWithShape="0">
        <a:prstClr val="black">
          <a:alpha val="40000"/>
        </a:prstClr>
      </a:outerShdw>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spPr>
      <a:ln w="9525" cap="flat" cmpd="sng" algn="ctr">
        <a:solidFill>
          <a:schemeClr val="tx2">
            <a:lumMod val="40000"/>
            <a:lumOff val="60000"/>
          </a:schemeClr>
        </a:solidFill>
        <a:round/>
      </a:ln>
    </cs:spPr>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2.xml"/><Relationship Id="rId7" Type="http://schemas.openxmlformats.org/officeDocument/2006/relationships/image" Target="../media/image5.jpeg"/><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jpg"/><Relationship Id="rId9" Type="http://schemas.openxmlformats.org/officeDocument/2006/relationships/image" Target="../media/image7.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jpg"/><Relationship Id="rId18" Type="http://schemas.openxmlformats.org/officeDocument/2006/relationships/image" Target="../media/image23.png"/><Relationship Id="rId3" Type="http://schemas.openxmlformats.org/officeDocument/2006/relationships/image" Target="../media/image10.png"/><Relationship Id="rId7" Type="http://schemas.openxmlformats.org/officeDocument/2006/relationships/image" Target="../media/image12.png"/><Relationship Id="rId12" Type="http://schemas.openxmlformats.org/officeDocument/2006/relationships/image" Target="../media/image17.jpeg"/><Relationship Id="rId17" Type="http://schemas.openxmlformats.org/officeDocument/2006/relationships/image" Target="../media/image22.jpeg"/><Relationship Id="rId2" Type="http://schemas.openxmlformats.org/officeDocument/2006/relationships/image" Target="../media/image9.png"/><Relationship Id="rId16" Type="http://schemas.openxmlformats.org/officeDocument/2006/relationships/image" Target="../media/image21.png"/><Relationship Id="rId1" Type="http://schemas.openxmlformats.org/officeDocument/2006/relationships/image" Target="../media/image8.png"/><Relationship Id="rId6" Type="http://schemas.openxmlformats.org/officeDocument/2006/relationships/chart" Target="../charts/chart4.xml"/><Relationship Id="rId11" Type="http://schemas.openxmlformats.org/officeDocument/2006/relationships/image" Target="../media/image16.jpg"/><Relationship Id="rId5" Type="http://schemas.openxmlformats.org/officeDocument/2006/relationships/image" Target="../media/image11.png"/><Relationship Id="rId15" Type="http://schemas.openxmlformats.org/officeDocument/2006/relationships/image" Target="../media/image20.png"/><Relationship Id="rId10" Type="http://schemas.openxmlformats.org/officeDocument/2006/relationships/image" Target="../media/image15.png"/><Relationship Id="rId4" Type="http://schemas.openxmlformats.org/officeDocument/2006/relationships/chart" Target="../charts/chart3.xml"/><Relationship Id="rId9" Type="http://schemas.openxmlformats.org/officeDocument/2006/relationships/image" Target="../media/image14.png"/><Relationship Id="rId14"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5.jpeg"/><Relationship Id="rId7" Type="http://schemas.openxmlformats.org/officeDocument/2006/relationships/image" Target="../media/image16.jpg"/><Relationship Id="rId2" Type="http://schemas.openxmlformats.org/officeDocument/2006/relationships/image" Target="../media/image23.png"/><Relationship Id="rId1" Type="http://schemas.openxmlformats.org/officeDocument/2006/relationships/image" Target="../media/image24.jpeg"/><Relationship Id="rId6" Type="http://schemas.openxmlformats.org/officeDocument/2006/relationships/image" Target="../media/image18.jpg"/><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25</xdr:col>
      <xdr:colOff>552450</xdr:colOff>
      <xdr:row>93</xdr:row>
      <xdr:rowOff>0</xdr:rowOff>
    </xdr:from>
    <xdr:ext cx="184731" cy="264560"/>
    <xdr:sp macro="" textlink="">
      <xdr:nvSpPr>
        <xdr:cNvPr id="3" name="TextBox 2">
          <a:extLst>
            <a:ext uri="{FF2B5EF4-FFF2-40B4-BE49-F238E27FC236}">
              <a16:creationId xmlns:a16="http://schemas.microsoft.com/office/drawing/2014/main" id="{D4E5D734-AF98-4288-9B64-C48FF33F205F}"/>
            </a:ext>
          </a:extLst>
        </xdr:cNvPr>
        <xdr:cNvSpPr txBox="1"/>
      </xdr:nvSpPr>
      <xdr:spPr>
        <a:xfrm>
          <a:off x="17545050" y="185982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xdr:col>
      <xdr:colOff>19415</xdr:colOff>
      <xdr:row>18</xdr:row>
      <xdr:rowOff>91947</xdr:rowOff>
    </xdr:from>
    <xdr:to>
      <xdr:col>3</xdr:col>
      <xdr:colOff>99746</xdr:colOff>
      <xdr:row>32</xdr:row>
      <xdr:rowOff>49340</xdr:rowOff>
    </xdr:to>
    <xdr:pic>
      <xdr:nvPicPr>
        <xdr:cNvPr id="4" name="Picture 3">
          <a:extLst>
            <a:ext uri="{FF2B5EF4-FFF2-40B4-BE49-F238E27FC236}">
              <a16:creationId xmlns:a16="http://schemas.microsoft.com/office/drawing/2014/main" id="{2E818A6A-FF05-4119-9FC2-E297CE662F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91558" y="4523987"/>
          <a:ext cx="2281389" cy="3049193"/>
        </a:xfrm>
        <a:prstGeom prst="rect">
          <a:avLst/>
        </a:prstGeom>
        <a:solidFill>
          <a:srgbClr val="FFFFFF">
            <a:shade val="85000"/>
          </a:srgbClr>
        </a:solidFill>
        <a:ln w="25400" cap="sq">
          <a:solidFill>
            <a:srgbClr val="0A88BC"/>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fLocksWithSheet="0"/>
  </xdr:twoCellAnchor>
  <xdr:twoCellAnchor>
    <xdr:from>
      <xdr:col>1</xdr:col>
      <xdr:colOff>19050</xdr:colOff>
      <xdr:row>184</xdr:row>
      <xdr:rowOff>139064</xdr:rowOff>
    </xdr:from>
    <xdr:to>
      <xdr:col>11</xdr:col>
      <xdr:colOff>361950</xdr:colOff>
      <xdr:row>210</xdr:row>
      <xdr:rowOff>102870</xdr:rowOff>
    </xdr:to>
    <xdr:graphicFrame macro="">
      <xdr:nvGraphicFramePr>
        <xdr:cNvPr id="6" name="Chart 5">
          <a:extLst>
            <a:ext uri="{FF2B5EF4-FFF2-40B4-BE49-F238E27FC236}">
              <a16:creationId xmlns:a16="http://schemas.microsoft.com/office/drawing/2014/main" id="{9DE3FD49-59C0-470C-94BA-1E90361C50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609600</xdr:colOff>
      <xdr:row>212</xdr:row>
      <xdr:rowOff>137160</xdr:rowOff>
    </xdr:from>
    <xdr:to>
      <xdr:col>10</xdr:col>
      <xdr:colOff>628650</xdr:colOff>
      <xdr:row>233</xdr:row>
      <xdr:rowOff>60959</xdr:rowOff>
    </xdr:to>
    <xdr:graphicFrame macro="">
      <xdr:nvGraphicFramePr>
        <xdr:cNvPr id="7" name="Chart 6">
          <a:extLst>
            <a:ext uri="{FF2B5EF4-FFF2-40B4-BE49-F238E27FC236}">
              <a16:creationId xmlns:a16="http://schemas.microsoft.com/office/drawing/2014/main" id="{909EEA46-8576-4BAB-BD37-3BB452FCF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75625</xdr:colOff>
      <xdr:row>0</xdr:row>
      <xdr:rowOff>0</xdr:rowOff>
    </xdr:from>
    <xdr:to>
      <xdr:col>9</xdr:col>
      <xdr:colOff>187291</xdr:colOff>
      <xdr:row>9</xdr:row>
      <xdr:rowOff>138075</xdr:rowOff>
    </xdr:to>
    <xdr:pic>
      <xdr:nvPicPr>
        <xdr:cNvPr id="5" name="Picture 4">
          <a:extLst>
            <a:ext uri="{FF2B5EF4-FFF2-40B4-BE49-F238E27FC236}">
              <a16:creationId xmlns:a16="http://schemas.microsoft.com/office/drawing/2014/main" id="{61ECE0BF-28A9-CB4B-B7D9-2F81549669C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xdr:blipFill>
      <xdr:spPr>
        <a:xfrm>
          <a:off x="347768" y="0"/>
          <a:ext cx="6934677" cy="2241939"/>
        </a:xfrm>
        <a:prstGeom prst="rect">
          <a:avLst/>
        </a:prstGeom>
      </xdr:spPr>
    </xdr:pic>
    <xdr:clientData/>
  </xdr:twoCellAnchor>
  <xdr:twoCellAnchor editAs="oneCell">
    <xdr:from>
      <xdr:col>6</xdr:col>
      <xdr:colOff>564525</xdr:colOff>
      <xdr:row>51</xdr:row>
      <xdr:rowOff>13511</xdr:rowOff>
    </xdr:from>
    <xdr:to>
      <xdr:col>9</xdr:col>
      <xdr:colOff>44995</xdr:colOff>
      <xdr:row>66</xdr:row>
      <xdr:rowOff>187909</xdr:rowOff>
    </xdr:to>
    <xdr:pic>
      <xdr:nvPicPr>
        <xdr:cNvPr id="10" name="Picture 9">
          <a:extLst>
            <a:ext uri="{FF2B5EF4-FFF2-40B4-BE49-F238E27FC236}">
              <a16:creationId xmlns:a16="http://schemas.microsoft.com/office/drawing/2014/main" id="{8C77BB28-4A3A-6EA1-3E8B-5F32ABEB5E58}"/>
            </a:ext>
          </a:extLst>
        </xdr:cNvPr>
        <xdr:cNvPicPr>
          <a:picLocks noChangeAspect="1"/>
        </xdr:cNvPicPr>
      </xdr:nvPicPr>
      <xdr:blipFill>
        <a:blip xmlns:r="http://schemas.openxmlformats.org/officeDocument/2006/relationships" r:embed="rId5"/>
        <a:stretch>
          <a:fillRect/>
        </a:stretch>
      </xdr:blipFill>
      <xdr:spPr>
        <a:xfrm>
          <a:off x="5359423" y="12370093"/>
          <a:ext cx="1780726" cy="4418530"/>
        </a:xfrm>
        <a:prstGeom prst="rect">
          <a:avLst/>
        </a:prstGeom>
        <a:solidFill>
          <a:srgbClr val="FFFFFF">
            <a:shade val="85000"/>
          </a:srgbClr>
        </a:solidFill>
        <a:ln w="25400" cap="sq">
          <a:solidFill>
            <a:srgbClr val="0A88BC"/>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589643</xdr:colOff>
      <xdr:row>69</xdr:row>
      <xdr:rowOff>124214</xdr:rowOff>
    </xdr:from>
    <xdr:to>
      <xdr:col>9</xdr:col>
      <xdr:colOff>214606</xdr:colOff>
      <xdr:row>79</xdr:row>
      <xdr:rowOff>101889</xdr:rowOff>
    </xdr:to>
    <xdr:pic>
      <xdr:nvPicPr>
        <xdr:cNvPr id="11" name="Picture 10">
          <a:extLst>
            <a:ext uri="{FF2B5EF4-FFF2-40B4-BE49-F238E27FC236}">
              <a16:creationId xmlns:a16="http://schemas.microsoft.com/office/drawing/2014/main" id="{01B7ED83-8BD7-F4C8-0134-014A52733FF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5384541" y="17949571"/>
          <a:ext cx="1915703" cy="2827728"/>
        </a:xfrm>
        <a:prstGeom prst="rect">
          <a:avLst/>
        </a:prstGeom>
        <a:solidFill>
          <a:srgbClr val="FFFFFF">
            <a:shade val="85000"/>
          </a:srgbClr>
        </a:solidFill>
        <a:ln w="25400" cap="sq">
          <a:solidFill>
            <a:srgbClr val="0A88BC"/>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xdr:col>
      <xdr:colOff>707932</xdr:colOff>
      <xdr:row>18</xdr:row>
      <xdr:rowOff>163093</xdr:rowOff>
    </xdr:from>
    <xdr:to>
      <xdr:col>9</xdr:col>
      <xdr:colOff>137861</xdr:colOff>
      <xdr:row>32</xdr:row>
      <xdr:rowOff>38880</xdr:rowOff>
    </xdr:to>
    <xdr:pic>
      <xdr:nvPicPr>
        <xdr:cNvPr id="12" name="Picture 11">
          <a:extLst>
            <a:ext uri="{FF2B5EF4-FFF2-40B4-BE49-F238E27FC236}">
              <a16:creationId xmlns:a16="http://schemas.microsoft.com/office/drawing/2014/main" id="{B02388D3-2D37-65D2-2E2A-ECF535B3A3E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196095" y="4595133"/>
          <a:ext cx="4026042" cy="2973031"/>
        </a:xfrm>
        <a:prstGeom prst="rect">
          <a:avLst/>
        </a:prstGeom>
        <a:solidFill>
          <a:srgbClr val="FFFFFF">
            <a:shade val="85000"/>
          </a:srgbClr>
        </a:solidFill>
        <a:ln w="25400" cap="sq">
          <a:solidFill>
            <a:srgbClr val="0A88BC"/>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85640</xdr:colOff>
      <xdr:row>44</xdr:row>
      <xdr:rowOff>179030</xdr:rowOff>
    </xdr:from>
    <xdr:to>
      <xdr:col>7</xdr:col>
      <xdr:colOff>116673</xdr:colOff>
      <xdr:row>49</xdr:row>
      <xdr:rowOff>10387</xdr:rowOff>
    </xdr:to>
    <xdr:pic>
      <xdr:nvPicPr>
        <xdr:cNvPr id="13" name="Picture 12">
          <a:extLst>
            <a:ext uri="{FF2B5EF4-FFF2-40B4-BE49-F238E27FC236}">
              <a16:creationId xmlns:a16="http://schemas.microsoft.com/office/drawing/2014/main" id="{CF67C092-9BC3-0F4F-9368-BBFB01F28D8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a:ext>
          </a:extLst>
        </a:blip>
        <a:srcRect l="4888" t="29786" r="7497" b="14087"/>
        <a:stretch/>
      </xdr:blipFill>
      <xdr:spPr>
        <a:xfrm>
          <a:off x="1647222" y="11291530"/>
          <a:ext cx="3594808" cy="861612"/>
        </a:xfrm>
        <a:prstGeom prst="rect">
          <a:avLst/>
        </a:prstGeom>
        <a:ln w="12700">
          <a:solidFill>
            <a:schemeClr val="tx1">
              <a:lumMod val="75000"/>
              <a:lumOff val="25000"/>
            </a:schemeClr>
          </a:solidFill>
        </a:ln>
      </xdr:spPr>
    </xdr:pic>
    <xdr:clientData/>
  </xdr:twoCellAnchor>
  <xdr:twoCellAnchor editAs="oneCell">
    <xdr:from>
      <xdr:col>1</xdr:col>
      <xdr:colOff>259184</xdr:colOff>
      <xdr:row>85</xdr:row>
      <xdr:rowOff>25916</xdr:rowOff>
    </xdr:from>
    <xdr:to>
      <xdr:col>8</xdr:col>
      <xdr:colOff>710026</xdr:colOff>
      <xdr:row>86</xdr:row>
      <xdr:rowOff>2003892</xdr:rowOff>
    </xdr:to>
    <xdr:pic>
      <xdr:nvPicPr>
        <xdr:cNvPr id="8" name="Picture 7" descr="A cartoon of a fish wearing a hat&#10;&#10;Description automatically generated">
          <a:extLst>
            <a:ext uri="{FF2B5EF4-FFF2-40B4-BE49-F238E27FC236}">
              <a16:creationId xmlns:a16="http://schemas.microsoft.com/office/drawing/2014/main" id="{19F4F2BB-B6E4-4AFB-2BF4-D66B5726E8F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1327" y="21836222"/>
          <a:ext cx="6440715" cy="2201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25</xdr:col>
      <xdr:colOff>552450</xdr:colOff>
      <xdr:row>173</xdr:row>
      <xdr:rowOff>0</xdr:rowOff>
    </xdr:from>
    <xdr:ext cx="184731" cy="264560"/>
    <xdr:sp macro="" textlink="">
      <xdr:nvSpPr>
        <xdr:cNvPr id="3" name="TextBox 2">
          <a:extLst>
            <a:ext uri="{FF2B5EF4-FFF2-40B4-BE49-F238E27FC236}">
              <a16:creationId xmlns:a16="http://schemas.microsoft.com/office/drawing/2014/main" id="{872ACD98-2A82-4AB8-BDDF-9006D3CAEB0E}"/>
            </a:ext>
          </a:extLst>
        </xdr:cNvPr>
        <xdr:cNvSpPr txBox="1"/>
      </xdr:nvSpPr>
      <xdr:spPr>
        <a:xfrm>
          <a:off x="17522190" y="34046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xdr:col>
      <xdr:colOff>39207</xdr:colOff>
      <xdr:row>17</xdr:row>
      <xdr:rowOff>35144</xdr:rowOff>
    </xdr:from>
    <xdr:to>
      <xdr:col>8</xdr:col>
      <xdr:colOff>612630</xdr:colOff>
      <xdr:row>36</xdr:row>
      <xdr:rowOff>276006</xdr:rowOff>
    </xdr:to>
    <xdr:pic>
      <xdr:nvPicPr>
        <xdr:cNvPr id="4" name="Picture 3">
          <a:extLst>
            <a:ext uri="{FF2B5EF4-FFF2-40B4-BE49-F238E27FC236}">
              <a16:creationId xmlns:a16="http://schemas.microsoft.com/office/drawing/2014/main" id="{76451D7E-ECBC-473F-AB1E-A8EA0189DEE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44420" y="4628761"/>
          <a:ext cx="7216005" cy="4088673"/>
        </a:xfrm>
        <a:prstGeom prst="rect">
          <a:avLst/>
        </a:prstGeom>
        <a:solidFill>
          <a:schemeClr val="bg1"/>
        </a:solidFill>
        <a:ln w="25400" cap="rnd" cmpd="sng">
          <a:solidFill>
            <a:srgbClr val="0A88BC"/>
          </a:solidFill>
          <a:miter lim="800000"/>
          <a:extLst>
            <a:ext uri="{C807C97D-BFC1-408E-A445-0C87EB9F89A2}">
              <ask:lineSketchStyleProps xmlns:ask="http://schemas.microsoft.com/office/drawing/2018/sketchyshapes">
                <ask:type>
                  <ask:lineSketchNone/>
                </ask:type>
              </ask:lineSketchStyleProps>
            </a:ext>
          </a:extLst>
        </a:ln>
        <a:effectLst>
          <a:outerShdw blurRad="88900" dist="25796" dir="5400000" sx="101000" sy="101000" algn="t" rotWithShape="0">
            <a:prstClr val="black">
              <a:alpha val="40000"/>
            </a:prstClr>
          </a:outerShdw>
        </a:effectLst>
      </xdr:spPr>
    </xdr:pic>
    <xdr:clientData fLocksWithSheet="0"/>
  </xdr:twoCellAnchor>
  <xdr:twoCellAnchor editAs="oneCell">
    <xdr:from>
      <xdr:col>1</xdr:col>
      <xdr:colOff>12497</xdr:colOff>
      <xdr:row>44</xdr:row>
      <xdr:rowOff>18358</xdr:rowOff>
    </xdr:from>
    <xdr:to>
      <xdr:col>8</xdr:col>
      <xdr:colOff>612631</xdr:colOff>
      <xdr:row>64</xdr:row>
      <xdr:rowOff>238521</xdr:rowOff>
    </xdr:to>
    <xdr:pic>
      <xdr:nvPicPr>
        <xdr:cNvPr id="10" name="Picture 9">
          <a:extLst>
            <a:ext uri="{FF2B5EF4-FFF2-40B4-BE49-F238E27FC236}">
              <a16:creationId xmlns:a16="http://schemas.microsoft.com/office/drawing/2014/main" id="{E1B41A2D-FD0D-42C1-9A4B-8182F4C22F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17710" y="10583677"/>
          <a:ext cx="7242716" cy="5191635"/>
        </a:xfrm>
        <a:prstGeom prst="rect">
          <a:avLst/>
        </a:prstGeom>
        <a:ln w="12700" cap="rnd">
          <a:solidFill>
            <a:schemeClr val="tx1">
              <a:lumMod val="75000"/>
              <a:lumOff val="25000"/>
            </a:schemeClr>
          </a:solidFill>
          <a:round/>
        </a:ln>
      </xdr:spPr>
    </xdr:pic>
    <xdr:clientData/>
  </xdr:twoCellAnchor>
  <xdr:twoCellAnchor editAs="oneCell">
    <xdr:from>
      <xdr:col>7</xdr:col>
      <xdr:colOff>310746</xdr:colOff>
      <xdr:row>186</xdr:row>
      <xdr:rowOff>310745</xdr:rowOff>
    </xdr:from>
    <xdr:to>
      <xdr:col>8</xdr:col>
      <xdr:colOff>515670</xdr:colOff>
      <xdr:row>191</xdr:row>
      <xdr:rowOff>183704</xdr:rowOff>
    </xdr:to>
    <xdr:pic>
      <xdr:nvPicPr>
        <xdr:cNvPr id="11" name="Picture 10">
          <a:extLst>
            <a:ext uri="{FF2B5EF4-FFF2-40B4-BE49-F238E27FC236}">
              <a16:creationId xmlns:a16="http://schemas.microsoft.com/office/drawing/2014/main" id="{DA174339-CA9B-445E-A255-FA62C51939B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6647235" y="44098724"/>
          <a:ext cx="1226290" cy="1067339"/>
        </a:xfrm>
        <a:prstGeom prst="rect">
          <a:avLst/>
        </a:prstGeom>
      </xdr:spPr>
    </xdr:pic>
    <xdr:clientData/>
  </xdr:twoCellAnchor>
  <xdr:twoCellAnchor>
    <xdr:from>
      <xdr:col>1</xdr:col>
      <xdr:colOff>144757</xdr:colOff>
      <xdr:row>93</xdr:row>
      <xdr:rowOff>98435</xdr:rowOff>
    </xdr:from>
    <xdr:to>
      <xdr:col>5</xdr:col>
      <xdr:colOff>735365</xdr:colOff>
      <xdr:row>107</xdr:row>
      <xdr:rowOff>75274</xdr:rowOff>
    </xdr:to>
    <xdr:graphicFrame macro="">
      <xdr:nvGraphicFramePr>
        <xdr:cNvPr id="12" name="Chart 11">
          <a:extLst>
            <a:ext uri="{FF2B5EF4-FFF2-40B4-BE49-F238E27FC236}">
              <a16:creationId xmlns:a16="http://schemas.microsoft.com/office/drawing/2014/main" id="{1B7D4152-D4F2-40FD-A34A-5FDF1B574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183224</xdr:colOff>
      <xdr:row>99</xdr:row>
      <xdr:rowOff>191679</xdr:rowOff>
    </xdr:from>
    <xdr:to>
      <xdr:col>8</xdr:col>
      <xdr:colOff>703262</xdr:colOff>
      <xdr:row>102</xdr:row>
      <xdr:rowOff>42434</xdr:rowOff>
    </xdr:to>
    <xdr:pic>
      <xdr:nvPicPr>
        <xdr:cNvPr id="13" name="Picture 12">
          <a:extLst>
            <a:ext uri="{FF2B5EF4-FFF2-40B4-BE49-F238E27FC236}">
              <a16:creationId xmlns:a16="http://schemas.microsoft.com/office/drawing/2014/main" id="{9E30F520-F714-456B-9250-E64322DD072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7424926" y="23456998"/>
          <a:ext cx="525480" cy="619281"/>
        </a:xfrm>
        <a:prstGeom prst="rect">
          <a:avLst/>
        </a:prstGeom>
        <a:solidFill>
          <a:schemeClr val="bg1"/>
        </a:solidFill>
        <a:ln w="50800">
          <a:solidFill>
            <a:schemeClr val="bg1">
              <a:lumMod val="95000"/>
            </a:schemeClr>
          </a:solidFill>
        </a:ln>
      </xdr:spPr>
    </xdr:pic>
    <xdr:clientData/>
  </xdr:twoCellAnchor>
  <xdr:twoCellAnchor>
    <xdr:from>
      <xdr:col>1</xdr:col>
      <xdr:colOff>0</xdr:colOff>
      <xdr:row>112</xdr:row>
      <xdr:rowOff>0</xdr:rowOff>
    </xdr:from>
    <xdr:to>
      <xdr:col>9</xdr:col>
      <xdr:colOff>0</xdr:colOff>
      <xdr:row>127</xdr:row>
      <xdr:rowOff>337767</xdr:rowOff>
    </xdr:to>
    <xdr:graphicFrame macro="">
      <xdr:nvGraphicFramePr>
        <xdr:cNvPr id="14" name="Chart 13">
          <a:extLst>
            <a:ext uri="{FF2B5EF4-FFF2-40B4-BE49-F238E27FC236}">
              <a16:creationId xmlns:a16="http://schemas.microsoft.com/office/drawing/2014/main" id="{19A82843-D608-4BE5-9D99-ABDC8B806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135800</xdr:colOff>
      <xdr:row>104</xdr:row>
      <xdr:rowOff>211660</xdr:rowOff>
    </xdr:from>
    <xdr:to>
      <xdr:col>8</xdr:col>
      <xdr:colOff>753408</xdr:colOff>
      <xdr:row>107</xdr:row>
      <xdr:rowOff>71858</xdr:rowOff>
    </xdr:to>
    <xdr:pic>
      <xdr:nvPicPr>
        <xdr:cNvPr id="15" name="Picture 14">
          <a:extLst>
            <a:ext uri="{FF2B5EF4-FFF2-40B4-BE49-F238E27FC236}">
              <a16:creationId xmlns:a16="http://schemas.microsoft.com/office/drawing/2014/main" id="{1031B19E-409D-47CA-964D-62A618C9BF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7377502" y="24719958"/>
          <a:ext cx="620329" cy="626000"/>
        </a:xfrm>
        <a:prstGeom prst="rect">
          <a:avLst/>
        </a:prstGeom>
        <a:solidFill>
          <a:schemeClr val="bg1"/>
        </a:solidFill>
        <a:ln w="50800">
          <a:solidFill>
            <a:schemeClr val="bg1">
              <a:lumMod val="95000"/>
            </a:schemeClr>
          </a:solidFill>
        </a:ln>
      </xdr:spPr>
    </xdr:pic>
    <xdr:clientData/>
  </xdr:twoCellAnchor>
  <xdr:twoCellAnchor editAs="oneCell">
    <xdr:from>
      <xdr:col>8</xdr:col>
      <xdr:colOff>163618</xdr:colOff>
      <xdr:row>94</xdr:row>
      <xdr:rowOff>197928</xdr:rowOff>
    </xdr:from>
    <xdr:to>
      <xdr:col>8</xdr:col>
      <xdr:colOff>731032</xdr:colOff>
      <xdr:row>97</xdr:row>
      <xdr:rowOff>79299</xdr:rowOff>
    </xdr:to>
    <xdr:pic>
      <xdr:nvPicPr>
        <xdr:cNvPr id="16" name="Picture 15">
          <a:extLst>
            <a:ext uri="{FF2B5EF4-FFF2-40B4-BE49-F238E27FC236}">
              <a16:creationId xmlns:a16="http://schemas.microsoft.com/office/drawing/2014/main" id="{625EA6E1-8C31-4BC6-961A-B84149042D4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7405320" y="22220268"/>
          <a:ext cx="564693" cy="655337"/>
        </a:xfrm>
        <a:prstGeom prst="rect">
          <a:avLst/>
        </a:prstGeom>
        <a:solidFill>
          <a:schemeClr val="bg1"/>
        </a:solidFill>
        <a:ln w="50800">
          <a:solidFill>
            <a:schemeClr val="bg1">
              <a:lumMod val="95000"/>
            </a:schemeClr>
          </a:solidFill>
        </a:ln>
      </xdr:spPr>
    </xdr:pic>
    <xdr:clientData/>
  </xdr:twoCellAnchor>
  <xdr:twoCellAnchor editAs="oneCell">
    <xdr:from>
      <xdr:col>6</xdr:col>
      <xdr:colOff>797127</xdr:colOff>
      <xdr:row>193</xdr:row>
      <xdr:rowOff>67554</xdr:rowOff>
    </xdr:from>
    <xdr:to>
      <xdr:col>8</xdr:col>
      <xdr:colOff>712647</xdr:colOff>
      <xdr:row>195</xdr:row>
      <xdr:rowOff>134792</xdr:rowOff>
    </xdr:to>
    <xdr:pic>
      <xdr:nvPicPr>
        <xdr:cNvPr id="17" name="Picture 16">
          <a:extLst>
            <a:ext uri="{FF2B5EF4-FFF2-40B4-BE49-F238E27FC236}">
              <a16:creationId xmlns:a16="http://schemas.microsoft.com/office/drawing/2014/main" id="{80F60E17-BFC7-44CC-B90A-1D56AAF8057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228404" y="46719788"/>
          <a:ext cx="1904692" cy="575200"/>
        </a:xfrm>
        <a:prstGeom prst="rect">
          <a:avLst/>
        </a:prstGeom>
      </xdr:spPr>
    </xdr:pic>
    <xdr:clientData/>
  </xdr:twoCellAnchor>
  <xdr:twoCellAnchor editAs="oneCell">
    <xdr:from>
      <xdr:col>4</xdr:col>
      <xdr:colOff>842740</xdr:colOff>
      <xdr:row>193</xdr:row>
      <xdr:rowOff>90062</xdr:rowOff>
    </xdr:from>
    <xdr:to>
      <xdr:col>6</xdr:col>
      <xdr:colOff>735606</xdr:colOff>
      <xdr:row>195</xdr:row>
      <xdr:rowOff>142333</xdr:rowOff>
    </xdr:to>
    <xdr:pic>
      <xdr:nvPicPr>
        <xdr:cNvPr id="18" name="Picture 17" descr="Google logo - Wikipedia">
          <a:extLst>
            <a:ext uri="{FF2B5EF4-FFF2-40B4-BE49-F238E27FC236}">
              <a16:creationId xmlns:a16="http://schemas.microsoft.com/office/drawing/2014/main" id="{B892986A-B464-4B28-93A4-14D503313D6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4463591" y="46742296"/>
          <a:ext cx="1700570" cy="568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0</xdr:row>
      <xdr:rowOff>1</xdr:rowOff>
    </xdr:from>
    <xdr:to>
      <xdr:col>8</xdr:col>
      <xdr:colOff>593679</xdr:colOff>
      <xdr:row>8</xdr:row>
      <xdr:rowOff>382336</xdr:rowOff>
    </xdr:to>
    <xdr:pic>
      <xdr:nvPicPr>
        <xdr:cNvPr id="19" name="Picture 18">
          <a:extLst>
            <a:ext uri="{FF2B5EF4-FFF2-40B4-BE49-F238E27FC236}">
              <a16:creationId xmlns:a16="http://schemas.microsoft.com/office/drawing/2014/main" id="{4AD598F0-6094-1344-A388-5B25100439AF}"/>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297235" y="1"/>
          <a:ext cx="7241702" cy="2327867"/>
        </a:xfrm>
        <a:prstGeom prst="rect">
          <a:avLst/>
        </a:prstGeom>
      </xdr:spPr>
    </xdr:pic>
    <xdr:clientData/>
  </xdr:twoCellAnchor>
  <xdr:twoCellAnchor editAs="oneCell">
    <xdr:from>
      <xdr:col>6</xdr:col>
      <xdr:colOff>27020</xdr:colOff>
      <xdr:row>80</xdr:row>
      <xdr:rowOff>135107</xdr:rowOff>
    </xdr:from>
    <xdr:to>
      <xdr:col>8</xdr:col>
      <xdr:colOff>716034</xdr:colOff>
      <xdr:row>84</xdr:row>
      <xdr:rowOff>278376</xdr:rowOff>
    </xdr:to>
    <xdr:pic>
      <xdr:nvPicPr>
        <xdr:cNvPr id="20" name="Picture 19">
          <a:extLst>
            <a:ext uri="{FF2B5EF4-FFF2-40B4-BE49-F238E27FC236}">
              <a16:creationId xmlns:a16="http://schemas.microsoft.com/office/drawing/2014/main" id="{C03491DA-CC2A-AE49-84E3-C672B0317B4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458297" y="17888086"/>
          <a:ext cx="2629200" cy="1378085"/>
        </a:xfrm>
        <a:prstGeom prst="rect">
          <a:avLst/>
        </a:prstGeom>
      </xdr:spPr>
    </xdr:pic>
    <xdr:clientData/>
  </xdr:twoCellAnchor>
  <xdr:twoCellAnchor editAs="oneCell">
    <xdr:from>
      <xdr:col>1</xdr:col>
      <xdr:colOff>13511</xdr:colOff>
      <xdr:row>160</xdr:row>
      <xdr:rowOff>13510</xdr:rowOff>
    </xdr:from>
    <xdr:to>
      <xdr:col>8</xdr:col>
      <xdr:colOff>612630</xdr:colOff>
      <xdr:row>168</xdr:row>
      <xdr:rowOff>8864</xdr:rowOff>
    </xdr:to>
    <xdr:pic>
      <xdr:nvPicPr>
        <xdr:cNvPr id="21" name="Picture 20">
          <a:extLst>
            <a:ext uri="{FF2B5EF4-FFF2-40B4-BE49-F238E27FC236}">
              <a16:creationId xmlns:a16="http://schemas.microsoft.com/office/drawing/2014/main" id="{F5A96D04-71EB-344F-A7D0-26DC502D249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xdr:blipFill>
      <xdr:spPr>
        <a:xfrm>
          <a:off x="918724" y="37654148"/>
          <a:ext cx="7241701" cy="1695764"/>
        </a:xfrm>
        <a:prstGeom prst="rect">
          <a:avLst/>
        </a:prstGeom>
        <a:solidFill>
          <a:srgbClr val="FFFFFF">
            <a:shade val="85000"/>
          </a:srgbClr>
        </a:solidFill>
        <a:ln w="12700" cap="sq">
          <a:solidFill>
            <a:schemeClr val="bg2">
              <a:lumMod val="50000"/>
            </a:schemeClr>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7</xdr:col>
      <xdr:colOff>332300</xdr:colOff>
      <xdr:row>209</xdr:row>
      <xdr:rowOff>210716</xdr:rowOff>
    </xdr:from>
    <xdr:to>
      <xdr:col>7</xdr:col>
      <xdr:colOff>602632</xdr:colOff>
      <xdr:row>211</xdr:row>
      <xdr:rowOff>106</xdr:rowOff>
    </xdr:to>
    <xdr:pic>
      <xdr:nvPicPr>
        <xdr:cNvPr id="23" name="Picture 22">
          <a:extLst>
            <a:ext uri="{FF2B5EF4-FFF2-40B4-BE49-F238E27FC236}">
              <a16:creationId xmlns:a16="http://schemas.microsoft.com/office/drawing/2014/main" id="{7FDBBC0E-9A0B-F06D-31D5-F51891CC90E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6668789" y="50835078"/>
          <a:ext cx="267610" cy="267610"/>
        </a:xfrm>
        <a:prstGeom prst="rect">
          <a:avLst/>
        </a:prstGeom>
      </xdr:spPr>
    </xdr:pic>
    <xdr:clientData/>
  </xdr:twoCellAnchor>
  <xdr:twoCellAnchor editAs="oneCell">
    <xdr:from>
      <xdr:col>1</xdr:col>
      <xdr:colOff>149328</xdr:colOff>
      <xdr:row>209</xdr:row>
      <xdr:rowOff>241065</xdr:rowOff>
    </xdr:from>
    <xdr:to>
      <xdr:col>1</xdr:col>
      <xdr:colOff>437526</xdr:colOff>
      <xdr:row>210</xdr:row>
      <xdr:rowOff>209879</xdr:rowOff>
    </xdr:to>
    <xdr:pic>
      <xdr:nvPicPr>
        <xdr:cNvPr id="25" name="Picture 24">
          <a:extLst>
            <a:ext uri="{FF2B5EF4-FFF2-40B4-BE49-F238E27FC236}">
              <a16:creationId xmlns:a16="http://schemas.microsoft.com/office/drawing/2014/main" id="{CFA425F8-AE97-7F10-AFA4-6BD6808DD9E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1054541" y="50865427"/>
          <a:ext cx="288198" cy="206912"/>
        </a:xfrm>
        <a:prstGeom prst="rect">
          <a:avLst/>
        </a:prstGeom>
      </xdr:spPr>
    </xdr:pic>
    <xdr:clientData/>
  </xdr:twoCellAnchor>
  <xdr:twoCellAnchor editAs="oneCell">
    <xdr:from>
      <xdr:col>1</xdr:col>
      <xdr:colOff>27022</xdr:colOff>
      <xdr:row>131</xdr:row>
      <xdr:rowOff>135111</xdr:rowOff>
    </xdr:from>
    <xdr:to>
      <xdr:col>4</xdr:col>
      <xdr:colOff>670925</xdr:colOff>
      <xdr:row>131</xdr:row>
      <xdr:rowOff>2075608</xdr:rowOff>
    </xdr:to>
    <xdr:pic>
      <xdr:nvPicPr>
        <xdr:cNvPr id="26" name="Picture 25">
          <a:extLst>
            <a:ext uri="{FF2B5EF4-FFF2-40B4-BE49-F238E27FC236}">
              <a16:creationId xmlns:a16="http://schemas.microsoft.com/office/drawing/2014/main" id="{8E8F7104-9EA8-DC32-EFA8-3886A262F7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932235" y="30682664"/>
          <a:ext cx="3483858" cy="1945939"/>
        </a:xfrm>
        <a:prstGeom prst="rect">
          <a:avLst/>
        </a:prstGeom>
        <a:ln w="25400" cap="sq">
          <a:solidFill>
            <a:srgbClr val="0A88BC"/>
          </a:solidFill>
          <a:miter lim="800000"/>
        </a:ln>
        <a:effectLst>
          <a:outerShdw blurRad="50800" dist="38100" dir="5400000" algn="t" rotWithShape="0">
            <a:prstClr val="black">
              <a:alpha val="40000"/>
            </a:prstClr>
          </a:outerShdw>
        </a:effectLst>
      </xdr:spPr>
    </xdr:pic>
    <xdr:clientData/>
  </xdr:twoCellAnchor>
  <xdr:twoCellAnchor editAs="oneCell">
    <xdr:from>
      <xdr:col>5</xdr:col>
      <xdr:colOff>148619</xdr:colOff>
      <xdr:row>131</xdr:row>
      <xdr:rowOff>135110</xdr:rowOff>
    </xdr:from>
    <xdr:to>
      <xdr:col>8</xdr:col>
      <xdr:colOff>712956</xdr:colOff>
      <xdr:row>131</xdr:row>
      <xdr:rowOff>2075199</xdr:rowOff>
    </xdr:to>
    <xdr:pic>
      <xdr:nvPicPr>
        <xdr:cNvPr id="27" name="Picture 26">
          <a:extLst>
            <a:ext uri="{FF2B5EF4-FFF2-40B4-BE49-F238E27FC236}">
              <a16:creationId xmlns:a16="http://schemas.microsoft.com/office/drawing/2014/main" id="{8134F8F9-8AF7-9169-0F43-74EAA98AC5C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674683" y="30682663"/>
          <a:ext cx="3458721" cy="1945531"/>
        </a:xfrm>
        <a:prstGeom prst="rect">
          <a:avLst/>
        </a:prstGeom>
        <a:ln w="25400" cap="sq">
          <a:solidFill>
            <a:srgbClr val="0A88BC"/>
          </a:solidFill>
          <a:miter lim="800000"/>
        </a:ln>
        <a:effectLst>
          <a:outerShdw blurRad="50800" dist="38100" dir="5400000" algn="t" rotWithShape="0">
            <a:prstClr val="black">
              <a:alpha val="40000"/>
            </a:prstClr>
          </a:outerShdw>
        </a:effectLst>
      </xdr:spPr>
    </xdr:pic>
    <xdr:clientData/>
  </xdr:twoCellAnchor>
  <xdr:twoCellAnchor editAs="oneCell">
    <xdr:from>
      <xdr:col>0</xdr:col>
      <xdr:colOff>221959</xdr:colOff>
      <xdr:row>184</xdr:row>
      <xdr:rowOff>57904</xdr:rowOff>
    </xdr:from>
    <xdr:to>
      <xdr:col>6</xdr:col>
      <xdr:colOff>652501</xdr:colOff>
      <xdr:row>192</xdr:row>
      <xdr:rowOff>135754</xdr:rowOff>
    </xdr:to>
    <xdr:pic>
      <xdr:nvPicPr>
        <xdr:cNvPr id="2" name="Picture 1">
          <a:extLst>
            <a:ext uri="{FF2B5EF4-FFF2-40B4-BE49-F238E27FC236}">
              <a16:creationId xmlns:a16="http://schemas.microsoft.com/office/drawing/2014/main" id="{EC457BB5-0C14-476C-BB01-A246CD24032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rcRect/>
        <a:stretch/>
      </xdr:blipFill>
      <xdr:spPr>
        <a:xfrm>
          <a:off x="221959" y="45059910"/>
          <a:ext cx="5022229" cy="1762820"/>
        </a:xfrm>
        <a:prstGeom prst="rect">
          <a:avLst/>
        </a:prstGeom>
        <a:ln w="12700">
          <a:solidFill>
            <a:schemeClr val="bg2">
              <a:lumMod val="50000"/>
            </a:schemeClr>
          </a:solidFill>
        </a:ln>
        <a:effectLst>
          <a:outerShdw blurRad="50800" dist="38100" dir="10800000" sx="1000" sy="1000" algn="r" rotWithShape="0">
            <a:prstClr val="black">
              <a:alpha val="40000"/>
            </a:prstClr>
          </a:outerShdw>
          <a:reflection stA="46000" endPos="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32867</xdr:colOff>
      <xdr:row>18</xdr:row>
      <xdr:rowOff>27259</xdr:rowOff>
    </xdr:from>
    <xdr:to>
      <xdr:col>8</xdr:col>
      <xdr:colOff>811795</xdr:colOff>
      <xdr:row>36</xdr:row>
      <xdr:rowOff>225820</xdr:rowOff>
    </xdr:to>
    <xdr:pic>
      <xdr:nvPicPr>
        <xdr:cNvPr id="4" name="Picture 3">
          <a:extLst>
            <a:ext uri="{FF2B5EF4-FFF2-40B4-BE49-F238E27FC236}">
              <a16:creationId xmlns:a16="http://schemas.microsoft.com/office/drawing/2014/main" id="{782127CD-AD51-4AA2-A3A9-96E619B7AE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05010" y="4503141"/>
          <a:ext cx="6679217" cy="4286494"/>
        </a:xfrm>
        <a:prstGeom prst="rect">
          <a:avLst/>
        </a:prstGeom>
        <a:solidFill>
          <a:srgbClr val="FFFFFF">
            <a:shade val="85000"/>
          </a:srgbClr>
        </a:solidFill>
        <a:ln w="28575" cap="rnd">
          <a:solidFill>
            <a:srgbClr val="0A88BC"/>
          </a:solidFill>
        </a:ln>
        <a:effectLst>
          <a:outerShdw blurRad="50000" algn="tl" rotWithShape="0">
            <a:srgbClr val="000000">
              <a:alpha val="41000"/>
            </a:srgbClr>
          </a:outerShdw>
        </a:effectLst>
        <a:scene3d>
          <a:camera prst="orthographicFront"/>
          <a:lightRig rig="twoPt" dir="t">
            <a:rot lat="0" lon="0" rev="7800000"/>
          </a:lightRig>
        </a:scene3d>
        <a:sp3d contourW="6350">
          <a:bevelT w="50800" h="16510"/>
          <a:contourClr>
            <a:srgbClr val="C0C0C0"/>
          </a:contourClr>
        </a:sp3d>
      </xdr:spPr>
    </xdr:pic>
    <xdr:clientData fLocksWithSheet="0"/>
  </xdr:twoCellAnchor>
  <xdr:oneCellAnchor>
    <xdr:from>
      <xdr:col>23</xdr:col>
      <xdr:colOff>552450</xdr:colOff>
      <xdr:row>92</xdr:row>
      <xdr:rowOff>0</xdr:rowOff>
    </xdr:from>
    <xdr:ext cx="184731" cy="264560"/>
    <xdr:sp macro="" textlink="">
      <xdr:nvSpPr>
        <xdr:cNvPr id="3" name="TextBox 2">
          <a:extLst>
            <a:ext uri="{FF2B5EF4-FFF2-40B4-BE49-F238E27FC236}">
              <a16:creationId xmlns:a16="http://schemas.microsoft.com/office/drawing/2014/main" id="{2BBA572D-E52B-46F7-AABD-BDD3E18A2209}"/>
            </a:ext>
          </a:extLst>
        </xdr:cNvPr>
        <xdr:cNvSpPr txBox="1"/>
      </xdr:nvSpPr>
      <xdr:spPr>
        <a:xfrm>
          <a:off x="17251680" y="18657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2</xdr:col>
      <xdr:colOff>13510</xdr:colOff>
      <xdr:row>120</xdr:row>
      <xdr:rowOff>28724</xdr:rowOff>
    </xdr:from>
    <xdr:to>
      <xdr:col>7</xdr:col>
      <xdr:colOff>837791</xdr:colOff>
      <xdr:row>128</xdr:row>
      <xdr:rowOff>77623</xdr:rowOff>
    </xdr:to>
    <xdr:pic>
      <xdr:nvPicPr>
        <xdr:cNvPr id="5" name="Picture 4">
          <a:extLst>
            <a:ext uri="{FF2B5EF4-FFF2-40B4-BE49-F238E27FC236}">
              <a16:creationId xmlns:a16="http://schemas.microsoft.com/office/drawing/2014/main" id="{99229BF5-936F-4D3A-8667-AB680D0469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xdr:blipFill>
      <xdr:spPr>
        <a:xfrm>
          <a:off x="1823936" y="29441384"/>
          <a:ext cx="5415659" cy="1778260"/>
        </a:xfrm>
        <a:prstGeom prst="rect">
          <a:avLst/>
        </a:prstGeom>
        <a:ln w="12700">
          <a:solidFill>
            <a:schemeClr val="bg2">
              <a:lumMod val="50000"/>
            </a:schemeClr>
          </a:solidFill>
        </a:ln>
        <a:effectLst>
          <a:outerShdw blurRad="50800" dist="38100" dir="10800000" sx="1000" sy="1000" algn="r" rotWithShape="0">
            <a:prstClr val="black">
              <a:alpha val="40000"/>
            </a:prstClr>
          </a:outerShdw>
          <a:reflection stA="46000" endPos="0" dist="50800" dir="5400000" sy="-100000" algn="bl" rotWithShape="0"/>
        </a:effectLst>
      </xdr:spPr>
    </xdr:pic>
    <xdr:clientData/>
  </xdr:twoCellAnchor>
  <xdr:twoCellAnchor editAs="oneCell">
    <xdr:from>
      <xdr:col>4</xdr:col>
      <xdr:colOff>264877</xdr:colOff>
      <xdr:row>46</xdr:row>
      <xdr:rowOff>121596</xdr:rowOff>
    </xdr:from>
    <xdr:to>
      <xdr:col>5</xdr:col>
      <xdr:colOff>640573</xdr:colOff>
      <xdr:row>48</xdr:row>
      <xdr:rowOff>277501</xdr:rowOff>
    </xdr:to>
    <xdr:pic>
      <xdr:nvPicPr>
        <xdr:cNvPr id="8" name="Picture 7">
          <a:extLst>
            <a:ext uri="{FF2B5EF4-FFF2-40B4-BE49-F238E27FC236}">
              <a16:creationId xmlns:a16="http://schemas.microsoft.com/office/drawing/2014/main" id="{DE93E8E3-705D-465F-82D9-7418870FC9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885728" y="11024681"/>
          <a:ext cx="1279548" cy="670670"/>
        </a:xfrm>
        <a:prstGeom prst="rect">
          <a:avLst/>
        </a:prstGeom>
      </xdr:spPr>
    </xdr:pic>
    <xdr:clientData/>
  </xdr:twoCellAnchor>
  <xdr:twoCellAnchor>
    <xdr:from>
      <xdr:col>0</xdr:col>
      <xdr:colOff>102870</xdr:colOff>
      <xdr:row>76</xdr:row>
      <xdr:rowOff>57150</xdr:rowOff>
    </xdr:from>
    <xdr:to>
      <xdr:col>5</xdr:col>
      <xdr:colOff>693420</xdr:colOff>
      <xdr:row>87</xdr:row>
      <xdr:rowOff>148590</xdr:rowOff>
    </xdr:to>
    <xdr:graphicFrame macro="">
      <xdr:nvGraphicFramePr>
        <xdr:cNvPr id="9" name="Chart 8">
          <a:extLst>
            <a:ext uri="{FF2B5EF4-FFF2-40B4-BE49-F238E27FC236}">
              <a16:creationId xmlns:a16="http://schemas.microsoft.com/office/drawing/2014/main" id="{111C7B07-B98C-48CB-84C9-4E8655398D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xdr:colOff>
      <xdr:row>100</xdr:row>
      <xdr:rowOff>2404</xdr:rowOff>
    </xdr:from>
    <xdr:to>
      <xdr:col>9</xdr:col>
      <xdr:colOff>13512</xdr:colOff>
      <xdr:row>118</xdr:row>
      <xdr:rowOff>148617</xdr:rowOff>
    </xdr:to>
    <xdr:graphicFrame macro="">
      <xdr:nvGraphicFramePr>
        <xdr:cNvPr id="10" name="Chart 9">
          <a:extLst>
            <a:ext uri="{FF2B5EF4-FFF2-40B4-BE49-F238E27FC236}">
              <a16:creationId xmlns:a16="http://schemas.microsoft.com/office/drawing/2014/main" id="{A1399641-392C-421C-AE23-AFE7C4794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91</xdr:row>
      <xdr:rowOff>156212</xdr:rowOff>
    </xdr:from>
    <xdr:to>
      <xdr:col>8</xdr:col>
      <xdr:colOff>819457</xdr:colOff>
      <xdr:row>99</xdr:row>
      <xdr:rowOff>64490</xdr:rowOff>
    </xdr:to>
    <xdr:pic>
      <xdr:nvPicPr>
        <xdr:cNvPr id="11" name="Picture 10">
          <a:extLst>
            <a:ext uri="{FF2B5EF4-FFF2-40B4-BE49-F238E27FC236}">
              <a16:creationId xmlns:a16="http://schemas.microsoft.com/office/drawing/2014/main" id="{33A89245-5127-4EA8-963C-02366B3E850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xdr:blipFill>
      <xdr:spPr>
        <a:xfrm>
          <a:off x="905213" y="22894616"/>
          <a:ext cx="7241701" cy="1695764"/>
        </a:xfrm>
        <a:prstGeom prst="rect">
          <a:avLst/>
        </a:prstGeom>
        <a:solidFill>
          <a:srgbClr val="FFFFFF">
            <a:shade val="85000"/>
          </a:srgbClr>
        </a:solidFill>
        <a:ln w="12700" cap="sq">
          <a:solidFill>
            <a:schemeClr val="bg2">
              <a:lumMod val="50000"/>
            </a:schemeClr>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xdr:col>
      <xdr:colOff>16888</xdr:colOff>
      <xdr:row>0</xdr:row>
      <xdr:rowOff>0</xdr:rowOff>
    </xdr:from>
    <xdr:to>
      <xdr:col>8</xdr:col>
      <xdr:colOff>831301</xdr:colOff>
      <xdr:row>9</xdr:row>
      <xdr:rowOff>124705</xdr:rowOff>
    </xdr:to>
    <xdr:pic>
      <xdr:nvPicPr>
        <xdr:cNvPr id="13" name="Picture 12">
          <a:extLst>
            <a:ext uri="{FF2B5EF4-FFF2-40B4-BE49-F238E27FC236}">
              <a16:creationId xmlns:a16="http://schemas.microsoft.com/office/drawing/2014/main" id="{2265E884-5B17-6754-CBF7-EC2E9FCDFBF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922101" y="0"/>
          <a:ext cx="7238325" cy="2341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nth\Documents\Loan%20amortization%20schedule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
      <sheetName val="Loan amortization schedule1"/>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web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www.sailfishconstruction.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ales@sailfishsolar.com" TargetMode="External"/><Relationship Id="rId1" Type="http://schemas.openxmlformats.org/officeDocument/2006/relationships/hyperlink" Target="http://www.sailfishsolar.com/"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sailfishsola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23D4-F778-4A84-AAA2-3ECF64B70599}">
  <dimension ref="A1:P181"/>
  <sheetViews>
    <sheetView topLeftCell="A54" zoomScale="106" zoomScaleNormal="106" workbookViewId="0">
      <selection activeCell="F36" sqref="F36"/>
    </sheetView>
  </sheetViews>
  <sheetFormatPr defaultColWidth="8.84375" defaultRowHeight="14.6"/>
  <cols>
    <col min="1" max="1" width="20.3828125" style="2" customWidth="1"/>
    <col min="2" max="2" width="29" style="2" customWidth="1"/>
    <col min="3" max="3" width="17.84375" style="2" customWidth="1"/>
    <col min="4" max="4" width="18.15234375" style="11" customWidth="1"/>
    <col min="5" max="5" width="20.3828125" style="2" customWidth="1"/>
    <col min="6" max="7" width="13.84375" style="2" customWidth="1"/>
    <col min="8" max="8" width="14.3046875" style="2" customWidth="1"/>
    <col min="9" max="12" width="11" style="2" bestFit="1" customWidth="1"/>
    <col min="13" max="13" width="12.84375" style="2" customWidth="1"/>
    <col min="14" max="14" width="10.69140625" style="2" customWidth="1"/>
    <col min="15" max="15" width="9.84375" style="2" bestFit="1" customWidth="1"/>
    <col min="16" max="16" width="10.15234375" style="2" customWidth="1"/>
    <col min="17" max="17" width="10.84375" style="2" bestFit="1" customWidth="1"/>
    <col min="18" max="16384" width="8.84375" style="2"/>
  </cols>
  <sheetData>
    <row r="1" spans="1:9">
      <c r="A1" s="2" t="s">
        <v>3</v>
      </c>
      <c r="B1" s="4" t="str">
        <f>'Solar Input'!C4</f>
        <v>Ty Webb</v>
      </c>
      <c r="D1" s="11" t="s">
        <v>187</v>
      </c>
    </row>
    <row r="2" spans="1:9">
      <c r="A2" s="2" t="s">
        <v>4</v>
      </c>
      <c r="B2" s="4" t="str">
        <f>'Solar Input'!C5</f>
        <v>4345 Bushwood Dr</v>
      </c>
      <c r="D2" s="11" t="str">
        <f>'Solar Input'!C9</f>
        <v>Standing seam metal</v>
      </c>
    </row>
    <row r="3" spans="1:9">
      <c r="A3" s="2" t="s">
        <v>7</v>
      </c>
      <c r="B3" s="4" t="str">
        <f>'Solar Input'!C6</f>
        <v xml:space="preserve">Jupiter Island FL </v>
      </c>
      <c r="C3" s="2" t="s">
        <v>38</v>
      </c>
    </row>
    <row r="4" spans="1:9">
      <c r="A4" s="2" t="s">
        <v>5</v>
      </c>
      <c r="B4" s="38" t="str">
        <f>'Solar Input'!C7</f>
        <v>772.678.6923</v>
      </c>
    </row>
    <row r="5" spans="1:9">
      <c r="A5" s="2" t="s">
        <v>6</v>
      </c>
      <c r="B5" s="39" t="str">
        <f>'Solar Input'!C8</f>
        <v>ty@webb.com</v>
      </c>
      <c r="D5" s="37">
        <f>(B22/12)/B12</f>
        <v>1.0009943181818182</v>
      </c>
      <c r="E5" s="2" t="s">
        <v>105</v>
      </c>
    </row>
    <row r="6" spans="1:9">
      <c r="A6" s="2" t="s">
        <v>107</v>
      </c>
      <c r="B6" s="40" t="e">
        <f>'Solar Input'!#REF!</f>
        <v>#REF!</v>
      </c>
    </row>
    <row r="7" spans="1:9" ht="15.9">
      <c r="A7" s="2" t="s">
        <v>1</v>
      </c>
      <c r="B7" s="35">
        <f>'Solar Input'!C12</f>
        <v>3.42</v>
      </c>
      <c r="C7" s="26"/>
    </row>
    <row r="8" spans="1:9">
      <c r="A8" s="2" t="s">
        <v>0</v>
      </c>
      <c r="B8" s="4">
        <f>'Solar Input'!C13</f>
        <v>15</v>
      </c>
    </row>
    <row r="9" spans="1:9">
      <c r="A9" s="2" t="s">
        <v>20</v>
      </c>
      <c r="B9" s="4">
        <f>'Solar Input'!C11</f>
        <v>405</v>
      </c>
    </row>
    <row r="10" spans="1:9">
      <c r="A10" s="2" t="s">
        <v>33</v>
      </c>
      <c r="B10" s="4">
        <f>'Solar Input'!C14</f>
        <v>0.14499999999999999</v>
      </c>
    </row>
    <row r="11" spans="1:9">
      <c r="A11" s="2" t="s">
        <v>70</v>
      </c>
      <c r="B11" s="13" t="str">
        <f>'Solar Input'!C15</f>
        <v>FPL</v>
      </c>
      <c r="I11" s="27"/>
    </row>
    <row r="12" spans="1:9">
      <c r="A12" s="2" t="s">
        <v>32</v>
      </c>
      <c r="B12" s="19">
        <f>'Solar Input'!C16</f>
        <v>110</v>
      </c>
      <c r="I12" s="27"/>
    </row>
    <row r="13" spans="1:9">
      <c r="A13" s="2" t="s">
        <v>22</v>
      </c>
      <c r="B13" s="4">
        <v>1500</v>
      </c>
      <c r="I13" s="27"/>
    </row>
    <row r="14" spans="1:9">
      <c r="A14" s="2" t="s">
        <v>163</v>
      </c>
      <c r="B14" s="4">
        <f>'Solar Input'!C18</f>
        <v>0</v>
      </c>
      <c r="I14" s="28"/>
    </row>
    <row r="15" spans="1:9">
      <c r="A15" s="2" t="s">
        <v>164</v>
      </c>
      <c r="B15" s="4">
        <f>'Solar Input'!C19</f>
        <v>0</v>
      </c>
      <c r="D15" s="11" t="s">
        <v>100</v>
      </c>
      <c r="E15" s="2" t="s">
        <v>165</v>
      </c>
    </row>
    <row r="16" spans="1:9">
      <c r="A16" s="2" t="s">
        <v>11</v>
      </c>
      <c r="B16" s="2">
        <f>B9*B8/1000</f>
        <v>6.0750000000000002</v>
      </c>
      <c r="D16" s="11">
        <f>B15+B17</f>
        <v>20776.5</v>
      </c>
      <c r="E16" s="11">
        <f>B15+B17+B14</f>
        <v>20776.5</v>
      </c>
    </row>
    <row r="17" spans="1:8">
      <c r="A17" s="2" t="s">
        <v>14</v>
      </c>
      <c r="B17" s="2">
        <f>B7*B16*1000</f>
        <v>20776.5</v>
      </c>
      <c r="H17" s="8"/>
    </row>
    <row r="18" spans="1:8">
      <c r="A18" s="2" t="s">
        <v>15</v>
      </c>
      <c r="B18" s="2">
        <f>B17*0.3</f>
        <v>6232.95</v>
      </c>
    </row>
    <row r="19" spans="1:8">
      <c r="A19" s="2" t="s">
        <v>16</v>
      </c>
      <c r="B19" s="2">
        <f>B17-B18</f>
        <v>14543.55</v>
      </c>
    </row>
    <row r="20" spans="1:8">
      <c r="A20" s="2" t="s">
        <v>21</v>
      </c>
      <c r="B20" s="2">
        <f>B16*B13</f>
        <v>9112.5</v>
      </c>
    </row>
    <row r="21" spans="1:8">
      <c r="A21" s="2" t="s">
        <v>39</v>
      </c>
      <c r="B21" s="8">
        <f>B22/12</f>
        <v>110.109375</v>
      </c>
      <c r="C21" s="12" t="s">
        <v>64</v>
      </c>
      <c r="D21" s="11" t="s">
        <v>67</v>
      </c>
      <c r="E21" s="2" t="s">
        <v>66</v>
      </c>
      <c r="F21" s="2" t="s">
        <v>69</v>
      </c>
      <c r="H21" s="2" t="s">
        <v>68</v>
      </c>
    </row>
    <row r="22" spans="1:8">
      <c r="A22" s="2" t="s">
        <v>25</v>
      </c>
      <c r="B22" s="10">
        <f>B20*B10</f>
        <v>1321.3125</v>
      </c>
      <c r="C22" s="8">
        <v>0</v>
      </c>
      <c r="D22" s="11">
        <f>B12*12</f>
        <v>1320</v>
      </c>
      <c r="E22" s="8">
        <f>C22</f>
        <v>0</v>
      </c>
    </row>
    <row r="23" spans="1:8">
      <c r="A23" s="2" t="s">
        <v>29</v>
      </c>
      <c r="B23" s="10">
        <f>B22*(1.04^5)</f>
        <v>1607.5786881024005</v>
      </c>
      <c r="C23" s="8">
        <f t="shared" ref="C23:C28" si="0">B23*5</f>
        <v>8037.8934405120026</v>
      </c>
      <c r="D23" s="11">
        <f t="shared" ref="D23:D28" si="1">D22*(1.04^5)</f>
        <v>1605.9818311680006</v>
      </c>
      <c r="E23" s="8">
        <f>C22+C23</f>
        <v>8037.8934405120026</v>
      </c>
      <c r="F23" s="8"/>
      <c r="G23" s="8"/>
      <c r="H23" s="8">
        <f>D22*5</f>
        <v>6600</v>
      </c>
    </row>
    <row r="24" spans="1:8">
      <c r="A24" s="2" t="s">
        <v>34</v>
      </c>
      <c r="B24" s="10">
        <f>B22*(1.04^10)</f>
        <v>1955.8652767161702</v>
      </c>
      <c r="C24" s="8">
        <f t="shared" si="0"/>
        <v>9779.3263835808502</v>
      </c>
      <c r="D24" s="11">
        <f t="shared" si="1"/>
        <v>1953.9224560922153</v>
      </c>
      <c r="E24" s="8">
        <f>C22+C23+C24</f>
        <v>17817.219824092852</v>
      </c>
      <c r="F24" s="8">
        <f>H23+H24</f>
        <v>16369.612280461077</v>
      </c>
      <c r="G24" s="8"/>
      <c r="H24" s="8">
        <f>D24*5</f>
        <v>9769.6122804610768</v>
      </c>
    </row>
    <row r="25" spans="1:8">
      <c r="A25" s="2" t="s">
        <v>35</v>
      </c>
      <c r="B25" s="10">
        <f>B22*(1.04^15)</f>
        <v>2379.6091656201079</v>
      </c>
      <c r="C25" s="8">
        <f t="shared" si="0"/>
        <v>11898.045828100539</v>
      </c>
      <c r="D25" s="11">
        <f t="shared" si="1"/>
        <v>2377.2454272691311</v>
      </c>
      <c r="E25" s="8">
        <f>C22+C23+C24+C25</f>
        <v>29715.26565219339</v>
      </c>
      <c r="F25" s="8">
        <f>H23+H24+H25</f>
        <v>28255.839416806732</v>
      </c>
      <c r="G25" s="8"/>
      <c r="H25" s="8">
        <f>D25*5</f>
        <v>11886.227136345657</v>
      </c>
    </row>
    <row r="26" spans="1:8">
      <c r="A26" s="2" t="s">
        <v>62</v>
      </c>
      <c r="B26" s="10">
        <f>B22*(1.04^20)</f>
        <v>2895.1583979293473</v>
      </c>
      <c r="C26" s="8">
        <f t="shared" si="0"/>
        <v>14475.791989646736</v>
      </c>
      <c r="D26" s="11">
        <f t="shared" si="1"/>
        <v>2892.2825488041171</v>
      </c>
      <c r="E26" s="8">
        <f>C22+C23+C24+C25+C26</f>
        <v>44191.057641840125</v>
      </c>
      <c r="F26" s="11">
        <f>H23+H24+H25+H26</f>
        <v>42717.252160827316</v>
      </c>
      <c r="G26" s="11"/>
      <c r="H26" s="8">
        <f>D26*5</f>
        <v>14461.412744020585</v>
      </c>
    </row>
    <row r="27" spans="1:8">
      <c r="A27" s="2" t="s">
        <v>63</v>
      </c>
      <c r="B27" s="10">
        <f>B22*(1.04^25)</f>
        <v>3522.4028677484762</v>
      </c>
      <c r="C27" s="8">
        <f t="shared" si="0"/>
        <v>17612.014338742381</v>
      </c>
      <c r="D27" s="11">
        <f t="shared" si="1"/>
        <v>3518.9039575633997</v>
      </c>
      <c r="E27" s="8">
        <f>C22+C23+C24+C25+C26+C27</f>
        <v>61803.071980582507</v>
      </c>
      <c r="F27" s="11">
        <f>H23+H24+H25+H26+H27</f>
        <v>60311.771948644317</v>
      </c>
      <c r="G27" s="11"/>
      <c r="H27" s="8">
        <f>D27*5</f>
        <v>17594.519787817</v>
      </c>
    </row>
    <row r="28" spans="1:8">
      <c r="A28" s="2" t="s">
        <v>65</v>
      </c>
      <c r="B28" s="10">
        <f>B22*(1.04^30)</f>
        <v>4285.5416724682673</v>
      </c>
      <c r="C28" s="8">
        <f t="shared" si="0"/>
        <v>21427.708362341335</v>
      </c>
      <c r="D28" s="11">
        <f t="shared" si="1"/>
        <v>4281.2847132363577</v>
      </c>
      <c r="E28" s="8">
        <f>C22+C23+C24+C25+C26+C27+C28</f>
        <v>83230.780342923841</v>
      </c>
      <c r="F28" s="11">
        <f>H23+H24+H25+H26+H27+H28</f>
        <v>81718.195514826104</v>
      </c>
      <c r="G28" s="11"/>
      <c r="H28" s="8">
        <f>D28*5</f>
        <v>21406.423566181787</v>
      </c>
    </row>
    <row r="29" spans="1:8">
      <c r="A29" s="2" t="s">
        <v>31</v>
      </c>
      <c r="B29" s="10">
        <f>B100</f>
        <v>78391.270984174844</v>
      </c>
      <c r="C29" s="8">
        <f>SUM(C22:C28)</f>
        <v>83230.780342923841</v>
      </c>
    </row>
    <row r="30" spans="1:8">
      <c r="A30" s="2" t="s">
        <v>26</v>
      </c>
      <c r="B30" s="3">
        <f>B22*1.04^4.5/B19</f>
        <v>0.10838898317163104</v>
      </c>
    </row>
    <row r="31" spans="1:8">
      <c r="A31" s="2" t="s">
        <v>30</v>
      </c>
      <c r="B31" s="9">
        <f>(B19*0.7)/D75</f>
        <v>6.8285366206464744</v>
      </c>
      <c r="C31" s="8"/>
    </row>
    <row r="32" spans="1:8">
      <c r="A32" s="2" t="s">
        <v>36</v>
      </c>
      <c r="B32" s="5">
        <f>B19/B23</f>
        <v>9.0468666371581037</v>
      </c>
    </row>
    <row r="33" spans="1:2">
      <c r="A33" s="2" t="s">
        <v>2</v>
      </c>
      <c r="B33" s="36">
        <f>(B22/12)/B12</f>
        <v>1.0009943181818182</v>
      </c>
    </row>
    <row r="34" spans="1:2">
      <c r="A34" s="2" t="s">
        <v>86</v>
      </c>
      <c r="B34" s="16">
        <f>B16*2500</f>
        <v>15187.5</v>
      </c>
    </row>
    <row r="35" spans="1:2">
      <c r="A35" s="2" t="s">
        <v>37</v>
      </c>
      <c r="B35" s="5">
        <f>(B19-0.25*B17)/B23</f>
        <v>5.815842838173066</v>
      </c>
    </row>
    <row r="36" spans="1:2">
      <c r="A36" s="2" t="s">
        <v>40</v>
      </c>
      <c r="B36" s="21">
        <f>(B19*0.5)*0.2</f>
        <v>1454.355</v>
      </c>
    </row>
    <row r="37" spans="1:2">
      <c r="A37" s="2" t="s">
        <v>84</v>
      </c>
      <c r="B37" s="16">
        <f>B17*0.85</f>
        <v>17660.024999999998</v>
      </c>
    </row>
    <row r="38" spans="1:2">
      <c r="A38" s="2" t="s">
        <v>42</v>
      </c>
      <c r="B38" s="2">
        <f>B14</f>
        <v>0</v>
      </c>
    </row>
    <row r="39" spans="1:2">
      <c r="A39" s="2" t="s">
        <v>15</v>
      </c>
      <c r="B39" s="2">
        <f>B38*0.3</f>
        <v>0</v>
      </c>
    </row>
    <row r="40" spans="1:2">
      <c r="A40" s="2" t="s">
        <v>43</v>
      </c>
      <c r="B40" s="2">
        <f>B38-B39</f>
        <v>0</v>
      </c>
    </row>
    <row r="41" spans="1:2">
      <c r="A41" s="2" t="s">
        <v>44</v>
      </c>
      <c r="B41" s="2">
        <f>B40+B19</f>
        <v>14543.55</v>
      </c>
    </row>
    <row r="44" spans="1:2">
      <c r="A44" s="2" t="s">
        <v>46</v>
      </c>
      <c r="B44" s="2">
        <v>17000</v>
      </c>
    </row>
    <row r="46" spans="1:2">
      <c r="A46" s="2" t="s">
        <v>88</v>
      </c>
      <c r="B46" s="9">
        <f>B20/2100</f>
        <v>4.3392857142857144</v>
      </c>
    </row>
    <row r="47" spans="1:2">
      <c r="A47" s="2" t="s">
        <v>71</v>
      </c>
    </row>
    <row r="48" spans="1:2">
      <c r="A48" s="2" t="s">
        <v>72</v>
      </c>
    </row>
    <row r="49" spans="1:16">
      <c r="A49" s="2" t="s">
        <v>73</v>
      </c>
    </row>
    <row r="53" spans="1:16">
      <c r="C53" s="2" t="s">
        <v>52</v>
      </c>
      <c r="D53" s="11" t="s">
        <v>161</v>
      </c>
      <c r="E53" s="2" t="s">
        <v>53</v>
      </c>
      <c r="F53" s="2" t="s">
        <v>85</v>
      </c>
      <c r="G53" s="2" t="s">
        <v>54</v>
      </c>
      <c r="H53" s="2" t="s">
        <v>55</v>
      </c>
      <c r="I53" s="2" t="s">
        <v>56</v>
      </c>
      <c r="J53" s="2" t="s">
        <v>57</v>
      </c>
      <c r="K53" s="2" t="s">
        <v>58</v>
      </c>
      <c r="L53" s="2" t="s">
        <v>59</v>
      </c>
      <c r="M53" s="2" t="s">
        <v>60</v>
      </c>
      <c r="N53" s="2" t="s">
        <v>61</v>
      </c>
      <c r="O53" s="2" t="s">
        <v>51</v>
      </c>
    </row>
    <row r="54" spans="1:16" s="20" customFormat="1" ht="13.75" customHeight="1">
      <c r="A54" s="20" t="s">
        <v>48</v>
      </c>
      <c r="B54" s="20">
        <f>B21</f>
        <v>110.109375</v>
      </c>
      <c r="C54" s="20">
        <f>B22*0.0718</f>
        <v>94.870237500000002</v>
      </c>
      <c r="D54" s="20">
        <f>B22*0.059</f>
        <v>77.957437499999997</v>
      </c>
      <c r="E54" s="20">
        <f>B22*0.096</f>
        <v>126.846</v>
      </c>
      <c r="F54" s="20">
        <f>B22*0.083</f>
        <v>109.66893750000001</v>
      </c>
      <c r="G54" s="20">
        <f>B22*0.106</f>
        <v>140.05912499999999</v>
      </c>
      <c r="H54" s="20">
        <f>B22*0.09</f>
        <v>118.91812499999999</v>
      </c>
      <c r="I54" s="20">
        <f>B22*0.103</f>
        <v>136.09518749999998</v>
      </c>
      <c r="J54" s="20">
        <f>B22*0.106</f>
        <v>140.05912499999999</v>
      </c>
      <c r="K54" s="20">
        <f>B22*0.097</f>
        <v>128.16731250000001</v>
      </c>
      <c r="L54" s="20">
        <f>B22*0.0656</f>
        <v>86.678100000000001</v>
      </c>
      <c r="M54" s="20">
        <f>B22*0.0752</f>
        <v>99.362700000000004</v>
      </c>
      <c r="N54" s="20">
        <f>B54*0.9</f>
        <v>99.098437500000003</v>
      </c>
      <c r="O54" s="20">
        <f>AVERAGE(C54:N54)</f>
        <v>113.14839375000001</v>
      </c>
      <c r="P54" s="20">
        <f>SUM(C54:N54)</f>
        <v>1357.7807250000001</v>
      </c>
    </row>
    <row r="55" spans="1:16" s="20" customFormat="1" ht="13.75" customHeight="1">
      <c r="D55" s="272" t="s">
        <v>223</v>
      </c>
      <c r="E55" s="273"/>
      <c r="F55" s="274"/>
    </row>
    <row r="56" spans="1:16" s="16" customFormat="1">
      <c r="A56" s="16" t="s">
        <v>49</v>
      </c>
      <c r="B56" s="16">
        <f>B12-B21</f>
        <v>-0.109375</v>
      </c>
      <c r="C56" s="16">
        <f t="shared" ref="C56:D56" si="2">C57-C54</f>
        <v>15.239762499999983</v>
      </c>
      <c r="D56" s="16">
        <f t="shared" si="2"/>
        <v>18.8425625</v>
      </c>
      <c r="E56" s="16">
        <f t="shared" ref="E56:N56" si="3">E57-E54</f>
        <v>-23.995999999999995</v>
      </c>
      <c r="F56" s="16">
        <f t="shared" si="3"/>
        <v>-15.288937500000017</v>
      </c>
      <c r="G56" s="16">
        <f t="shared" si="3"/>
        <v>-36.659125000000003</v>
      </c>
      <c r="H56" s="16">
        <f t="shared" si="3"/>
        <v>-14.088124999999991</v>
      </c>
      <c r="I56" s="16">
        <f t="shared" si="3"/>
        <v>6.0248125000000243</v>
      </c>
      <c r="J56" s="16">
        <f t="shared" si="3"/>
        <v>-17.409124999999989</v>
      </c>
      <c r="K56" s="16">
        <f t="shared" si="3"/>
        <v>-15.967312500000006</v>
      </c>
      <c r="L56" s="16">
        <f t="shared" si="3"/>
        <v>16.721899999999991</v>
      </c>
      <c r="M56" s="16">
        <f t="shared" si="3"/>
        <v>1.837299999999999</v>
      </c>
      <c r="N56" s="16">
        <f t="shared" si="3"/>
        <v>12.001562499999991</v>
      </c>
      <c r="O56" s="16">
        <f>AVERAGE(C56:N56)</f>
        <v>-4.3950604166666674</v>
      </c>
    </row>
    <row r="57" spans="1:16" s="11" customFormat="1">
      <c r="A57" s="11" t="s">
        <v>47</v>
      </c>
      <c r="B57" s="11">
        <f>B12</f>
        <v>110</v>
      </c>
      <c r="C57" s="11">
        <f>B57*1.001</f>
        <v>110.10999999999999</v>
      </c>
      <c r="D57" s="11">
        <f>B57*0.88</f>
        <v>96.8</v>
      </c>
      <c r="E57" s="11">
        <f>B57*0.935</f>
        <v>102.85000000000001</v>
      </c>
      <c r="F57" s="11">
        <f>B57*0.858</f>
        <v>94.38</v>
      </c>
      <c r="G57" s="11">
        <f>B57*0.94</f>
        <v>103.39999999999999</v>
      </c>
      <c r="H57" s="11">
        <f>B57*0.953</f>
        <v>104.83</v>
      </c>
      <c r="I57" s="11">
        <f>B57*1.292</f>
        <v>142.12</v>
      </c>
      <c r="J57" s="11">
        <f>B57*1.115</f>
        <v>122.65</v>
      </c>
      <c r="K57" s="11">
        <f>B57*1.02</f>
        <v>112.2</v>
      </c>
      <c r="L57" s="11">
        <f>B57*0.94</f>
        <v>103.39999999999999</v>
      </c>
      <c r="M57" s="11">
        <f>B57*0.92</f>
        <v>101.2</v>
      </c>
      <c r="N57" s="11">
        <f>B57*1.01</f>
        <v>111.1</v>
      </c>
      <c r="O57" s="11">
        <f>AVERAGE(B57:N57)</f>
        <v>108.84923076923077</v>
      </c>
      <c r="P57" s="11">
        <f>SUM(C57:N57)</f>
        <v>1305.04</v>
      </c>
    </row>
    <row r="58" spans="1:16">
      <c r="A58" s="2" t="s">
        <v>50</v>
      </c>
      <c r="B58" s="3">
        <f>B21/B12</f>
        <v>1.0009943181818182</v>
      </c>
    </row>
    <row r="60" spans="1:16">
      <c r="A60" s="2" t="s">
        <v>90</v>
      </c>
      <c r="C60" s="22">
        <f>C56/0.11</f>
        <v>138.5432954545453</v>
      </c>
      <c r="D60" s="23">
        <f t="shared" ref="D60:F60" si="4">D56/0.11</f>
        <v>171.29602272727271</v>
      </c>
      <c r="E60" s="22">
        <f t="shared" si="4"/>
        <v>-218.1454545454545</v>
      </c>
      <c r="F60" s="22">
        <f t="shared" si="4"/>
        <v>-138.99034090909106</v>
      </c>
      <c r="G60" s="22">
        <f t="shared" ref="G60:N61" si="5">G56/0.11</f>
        <v>-333.26477272727277</v>
      </c>
      <c r="H60" s="22">
        <f t="shared" si="5"/>
        <v>-128.07386363636354</v>
      </c>
      <c r="I60" s="22">
        <f t="shared" si="5"/>
        <v>54.77102272727295</v>
      </c>
      <c r="J60" s="22">
        <f t="shared" si="5"/>
        <v>-158.26477272727263</v>
      </c>
      <c r="K60" s="22">
        <f t="shared" si="5"/>
        <v>-145.15738636363642</v>
      </c>
      <c r="L60" s="22">
        <f t="shared" si="5"/>
        <v>152.01727272727265</v>
      </c>
      <c r="M60" s="22">
        <f t="shared" si="5"/>
        <v>16.702727272727262</v>
      </c>
      <c r="N60" s="22">
        <f t="shared" si="5"/>
        <v>109.10511363636355</v>
      </c>
    </row>
    <row r="61" spans="1:16">
      <c r="A61" s="2" t="s">
        <v>91</v>
      </c>
      <c r="C61" s="2">
        <f>C57/0.11</f>
        <v>1000.9999999999999</v>
      </c>
      <c r="D61" s="23">
        <f t="shared" ref="D61:F61" si="6">D57/0.11</f>
        <v>880</v>
      </c>
      <c r="E61" s="22">
        <f t="shared" si="6"/>
        <v>935.00000000000011</v>
      </c>
      <c r="F61" s="22">
        <f t="shared" si="6"/>
        <v>858</v>
      </c>
      <c r="G61" s="22">
        <f t="shared" si="5"/>
        <v>939.99999999999989</v>
      </c>
      <c r="H61" s="22">
        <f t="shared" si="5"/>
        <v>953</v>
      </c>
      <c r="I61" s="22">
        <f t="shared" si="5"/>
        <v>1292</v>
      </c>
      <c r="J61" s="22">
        <f t="shared" si="5"/>
        <v>1115</v>
      </c>
      <c r="K61" s="22">
        <f t="shared" si="5"/>
        <v>1020</v>
      </c>
      <c r="L61" s="22">
        <f t="shared" si="5"/>
        <v>939.99999999999989</v>
      </c>
      <c r="M61" s="22">
        <f t="shared" si="5"/>
        <v>920</v>
      </c>
      <c r="N61" s="22">
        <f t="shared" si="5"/>
        <v>1010</v>
      </c>
    </row>
    <row r="63" spans="1:16">
      <c r="A63" s="2" t="s">
        <v>79</v>
      </c>
    </row>
    <row r="64" spans="1:16">
      <c r="A64" s="2" t="s">
        <v>80</v>
      </c>
    </row>
    <row r="70" spans="1:4">
      <c r="A70" s="21">
        <f>B22</f>
        <v>1321.3125</v>
      </c>
    </row>
    <row r="71" spans="1:4">
      <c r="A71" s="21">
        <f>A70*1.04</f>
        <v>1374.165</v>
      </c>
    </row>
    <row r="72" spans="1:4">
      <c r="A72" s="21">
        <f t="shared" ref="A72:A100" si="7">A71*1.04</f>
        <v>1429.1315999999999</v>
      </c>
    </row>
    <row r="73" spans="1:4">
      <c r="A73" s="21">
        <f t="shared" si="7"/>
        <v>1486.2968639999999</v>
      </c>
    </row>
    <row r="74" spans="1:4">
      <c r="A74" s="21">
        <f t="shared" si="7"/>
        <v>1545.74873856</v>
      </c>
      <c r="B74" s="12" t="s">
        <v>95</v>
      </c>
      <c r="C74" s="55">
        <v>0.24</v>
      </c>
      <c r="D74" s="24" t="s">
        <v>96</v>
      </c>
    </row>
    <row r="75" spans="1:4">
      <c r="A75" s="21">
        <f t="shared" si="7"/>
        <v>1607.5786881024001</v>
      </c>
      <c r="B75" s="21" t="s">
        <v>220</v>
      </c>
      <c r="C75" s="56">
        <v>0.56000000000000005</v>
      </c>
      <c r="D75" s="16">
        <f>AVERAGE(A70:A76)</f>
        <v>1490.8736037555566</v>
      </c>
    </row>
    <row r="76" spans="1:4">
      <c r="A76" s="21">
        <f t="shared" si="7"/>
        <v>1671.881835626496</v>
      </c>
      <c r="B76" s="2" t="s">
        <v>221</v>
      </c>
      <c r="C76" s="56">
        <v>0.17</v>
      </c>
    </row>
    <row r="77" spans="1:4">
      <c r="A77" s="21">
        <f t="shared" si="7"/>
        <v>1738.757109051556</v>
      </c>
      <c r="B77" s="2" t="s">
        <v>222</v>
      </c>
      <c r="C77" s="56">
        <v>0.03</v>
      </c>
    </row>
    <row r="78" spans="1:4">
      <c r="A78" s="21">
        <f t="shared" si="7"/>
        <v>1808.3073934136182</v>
      </c>
    </row>
    <row r="79" spans="1:4">
      <c r="A79" s="21">
        <f t="shared" si="7"/>
        <v>1880.6396891501631</v>
      </c>
    </row>
    <row r="80" spans="1:4">
      <c r="A80" s="21">
        <f t="shared" si="7"/>
        <v>1955.8652767161698</v>
      </c>
      <c r="B80" s="21">
        <f>SUM(A70:A80)</f>
        <v>17819.684694620402</v>
      </c>
      <c r="C80" s="2" t="s">
        <v>34</v>
      </c>
    </row>
    <row r="81" spans="1:3">
      <c r="A81" s="21">
        <f t="shared" si="7"/>
        <v>2034.0998877848167</v>
      </c>
    </row>
    <row r="82" spans="1:3">
      <c r="A82" s="21">
        <f t="shared" si="7"/>
        <v>2115.4638832962096</v>
      </c>
    </row>
    <row r="83" spans="1:3">
      <c r="A83" s="21">
        <f t="shared" si="7"/>
        <v>2200.0824386280578</v>
      </c>
    </row>
    <row r="84" spans="1:3">
      <c r="A84" s="21">
        <f t="shared" si="7"/>
        <v>2288.0857361731801</v>
      </c>
    </row>
    <row r="85" spans="1:3">
      <c r="A85" s="21">
        <f t="shared" si="7"/>
        <v>2379.6091656201074</v>
      </c>
      <c r="B85" s="21">
        <f>SUM(A70:A85)</f>
        <v>28837.025806122772</v>
      </c>
      <c r="C85" s="2" t="s">
        <v>35</v>
      </c>
    </row>
    <row r="86" spans="1:3">
      <c r="A86" s="21">
        <f t="shared" si="7"/>
        <v>2474.7935322449116</v>
      </c>
    </row>
    <row r="87" spans="1:3">
      <c r="A87" s="21">
        <f t="shared" si="7"/>
        <v>2573.7852735347083</v>
      </c>
    </row>
    <row r="88" spans="1:3">
      <c r="A88" s="21">
        <f t="shared" si="7"/>
        <v>2676.7366844760968</v>
      </c>
    </row>
    <row r="89" spans="1:3">
      <c r="A89" s="21">
        <f t="shared" si="7"/>
        <v>2783.8061518551408</v>
      </c>
    </row>
    <row r="90" spans="1:3">
      <c r="A90" s="21">
        <f t="shared" si="7"/>
        <v>2895.1583979293464</v>
      </c>
      <c r="B90" s="21">
        <f>SUM(A70:A90)</f>
        <v>42241.305846162984</v>
      </c>
      <c r="C90" s="2" t="s">
        <v>92</v>
      </c>
    </row>
    <row r="91" spans="1:3">
      <c r="A91" s="21">
        <f t="shared" si="7"/>
        <v>3010.9647338465202</v>
      </c>
    </row>
    <row r="92" spans="1:3">
      <c r="A92" s="21">
        <f t="shared" si="7"/>
        <v>3131.4033232003812</v>
      </c>
    </row>
    <row r="93" spans="1:3">
      <c r="A93" s="21">
        <f t="shared" si="7"/>
        <v>3256.6594561283964</v>
      </c>
    </row>
    <row r="94" spans="1:3">
      <c r="A94" s="21">
        <f t="shared" si="7"/>
        <v>3386.9258343735323</v>
      </c>
    </row>
    <row r="95" spans="1:3">
      <c r="A95" s="21">
        <f t="shared" si="7"/>
        <v>3522.4028677484739</v>
      </c>
      <c r="B95" s="21">
        <f>SUM(A70:A94)</f>
        <v>55027.25919371182</v>
      </c>
      <c r="C95" s="2" t="s">
        <v>93</v>
      </c>
    </row>
    <row r="96" spans="1:3">
      <c r="A96" s="21">
        <f t="shared" si="7"/>
        <v>3663.2989824584129</v>
      </c>
    </row>
    <row r="97" spans="1:3">
      <c r="A97" s="21">
        <f t="shared" si="7"/>
        <v>3809.8309417567493</v>
      </c>
    </row>
    <row r="98" spans="1:3">
      <c r="A98" s="21">
        <f t="shared" si="7"/>
        <v>3962.2241794270194</v>
      </c>
    </row>
    <row r="99" spans="1:3">
      <c r="A99" s="21">
        <f t="shared" si="7"/>
        <v>4120.7131466041001</v>
      </c>
    </row>
    <row r="100" spans="1:3">
      <c r="A100" s="21">
        <f t="shared" si="7"/>
        <v>4285.5416724682646</v>
      </c>
      <c r="B100" s="21">
        <f>SUM(A70:A100)</f>
        <v>78391.270984174844</v>
      </c>
      <c r="C100" s="2" t="s">
        <v>94</v>
      </c>
    </row>
    <row r="105" spans="1:3">
      <c r="A105" t="s">
        <v>76</v>
      </c>
      <c r="C105" s="2" t="s">
        <v>212</v>
      </c>
    </row>
    <row r="106" spans="1:3">
      <c r="A106" t="s">
        <v>101</v>
      </c>
      <c r="C106" s="2" t="s">
        <v>213</v>
      </c>
    </row>
    <row r="107" spans="1:3">
      <c r="A107" t="s">
        <v>168</v>
      </c>
      <c r="C107" s="2" t="s">
        <v>214</v>
      </c>
    </row>
    <row r="108" spans="1:3">
      <c r="A108" t="s">
        <v>102</v>
      </c>
    </row>
    <row r="109" spans="1:3">
      <c r="A109" t="s">
        <v>169</v>
      </c>
    </row>
    <row r="110" spans="1:3" ht="13.75" customHeight="1">
      <c r="A110" t="s">
        <v>103</v>
      </c>
    </row>
    <row r="111" spans="1:3">
      <c r="A111" s="2" t="s">
        <v>167</v>
      </c>
    </row>
    <row r="112" spans="1:3">
      <c r="A112" t="s">
        <v>104</v>
      </c>
    </row>
    <row r="113" spans="1:13">
      <c r="A113" t="s">
        <v>106</v>
      </c>
    </row>
    <row r="114" spans="1:13">
      <c r="A114" s="2" t="s">
        <v>166</v>
      </c>
    </row>
    <row r="115" spans="1:13">
      <c r="A115" s="2" t="s">
        <v>170</v>
      </c>
    </row>
    <row r="123" spans="1:13">
      <c r="A123" s="2" t="s">
        <v>119</v>
      </c>
      <c r="B123" s="2" t="s">
        <v>120</v>
      </c>
      <c r="C123" s="270" t="s">
        <v>121</v>
      </c>
      <c r="D123" s="271"/>
      <c r="E123" s="270" t="s">
        <v>122</v>
      </c>
      <c r="F123" s="271"/>
      <c r="G123" s="66"/>
      <c r="H123" s="270" t="s">
        <v>123</v>
      </c>
      <c r="I123" s="271"/>
      <c r="J123" s="270" t="s">
        <v>124</v>
      </c>
      <c r="K123" s="271"/>
      <c r="L123" s="270" t="s">
        <v>131</v>
      </c>
      <c r="M123" s="271"/>
    </row>
    <row r="124" spans="1:13">
      <c r="A124" s="2">
        <v>25000</v>
      </c>
      <c r="B124" s="2">
        <v>3.16E-3</v>
      </c>
    </row>
    <row r="125" spans="1:13">
      <c r="A125" s="2">
        <v>30000</v>
      </c>
      <c r="B125" s="2">
        <v>3.1700000000000001E-3</v>
      </c>
      <c r="C125" s="2">
        <v>4.2329999999999998E-3</v>
      </c>
      <c r="D125" s="11">
        <v>9845</v>
      </c>
      <c r="E125" s="2">
        <v>6.1999999999999998E-3</v>
      </c>
      <c r="F125" s="2">
        <v>1263</v>
      </c>
      <c r="H125" s="2">
        <v>8.6999999999999994E-3</v>
      </c>
      <c r="I125" s="2">
        <v>3500</v>
      </c>
    </row>
    <row r="126" spans="1:13">
      <c r="A126" s="2">
        <v>35000</v>
      </c>
      <c r="B126" s="2">
        <v>3.1714E-3</v>
      </c>
      <c r="C126" s="2">
        <v>4.1999999999999997E-3</v>
      </c>
      <c r="D126" s="11">
        <v>11200</v>
      </c>
      <c r="E126" s="2">
        <v>6.1700000000000001E-3</v>
      </c>
      <c r="F126" s="2">
        <v>6200</v>
      </c>
      <c r="H126" s="2">
        <v>8.6199999999999992E-3</v>
      </c>
      <c r="I126" s="2">
        <v>3900</v>
      </c>
    </row>
    <row r="127" spans="1:13">
      <c r="A127" s="2">
        <v>40000</v>
      </c>
      <c r="B127" s="2">
        <v>3.1749999999999999E-3</v>
      </c>
    </row>
    <row r="128" spans="1:13">
      <c r="A128" s="2">
        <v>50000</v>
      </c>
      <c r="C128" s="2">
        <v>4.2199999999999998E-3</v>
      </c>
      <c r="D128" s="11">
        <v>16200</v>
      </c>
      <c r="E128" s="2">
        <v>6.1999999999999998E-3</v>
      </c>
      <c r="F128" s="2">
        <v>2000</v>
      </c>
      <c r="H128" s="2">
        <v>8.5000000000000006E-3</v>
      </c>
      <c r="I128" s="2">
        <v>5550</v>
      </c>
      <c r="J128" s="2">
        <v>4.8199999999999996E-3</v>
      </c>
      <c r="K128" s="2">
        <v>16000</v>
      </c>
      <c r="L128" s="2">
        <v>6.5799999999999999E-3</v>
      </c>
      <c r="M128" s="2">
        <v>8900</v>
      </c>
    </row>
    <row r="132" spans="2:6">
      <c r="B132" s="2" t="s">
        <v>129</v>
      </c>
    </row>
    <row r="133" spans="2:6">
      <c r="B133" s="30">
        <v>32700</v>
      </c>
    </row>
    <row r="134" spans="2:6">
      <c r="C134" s="2" t="s">
        <v>128</v>
      </c>
      <c r="D134" s="11" t="s">
        <v>132</v>
      </c>
    </row>
    <row r="135" spans="2:6">
      <c r="B135" s="2" t="s">
        <v>125</v>
      </c>
      <c r="C135" s="21">
        <f>B133*0.00422</f>
        <v>137.994</v>
      </c>
    </row>
    <row r="136" spans="2:6">
      <c r="B136" s="2" t="s">
        <v>126</v>
      </c>
      <c r="C136" s="21">
        <f>B133*0.00482</f>
        <v>157.61399999999998</v>
      </c>
    </row>
    <row r="137" spans="2:6">
      <c r="B137" s="2" t="s">
        <v>118</v>
      </c>
      <c r="C137" s="21">
        <f>B133*0.0062</f>
        <v>202.73999999999998</v>
      </c>
    </row>
    <row r="138" spans="2:6">
      <c r="B138" s="2" t="s">
        <v>130</v>
      </c>
      <c r="C138" s="21">
        <f>B133*0.00658</f>
        <v>215.166</v>
      </c>
    </row>
    <row r="139" spans="2:6">
      <c r="B139" s="2" t="s">
        <v>127</v>
      </c>
      <c r="C139" s="21">
        <f>B133*0.0085</f>
        <v>277.95000000000005</v>
      </c>
    </row>
    <row r="144" spans="2:6">
      <c r="B144" s="11">
        <f>B17</f>
        <v>20776.5</v>
      </c>
      <c r="C144" s="2" t="s">
        <v>148</v>
      </c>
      <c r="D144" s="11" t="s">
        <v>149</v>
      </c>
      <c r="E144" s="2" t="s">
        <v>150</v>
      </c>
      <c r="F144" s="2" t="s">
        <v>151</v>
      </c>
    </row>
    <row r="145" spans="1:16">
      <c r="B145" s="2">
        <f>B20</f>
        <v>9112.5</v>
      </c>
      <c r="C145" s="2">
        <v>12.2</v>
      </c>
      <c r="D145" s="11">
        <v>201</v>
      </c>
      <c r="E145" s="2">
        <v>30450</v>
      </c>
      <c r="F145" s="32">
        <v>13431</v>
      </c>
      <c r="G145" s="32"/>
    </row>
    <row r="146" spans="1:16">
      <c r="B146" s="2" t="s">
        <v>152</v>
      </c>
      <c r="C146" s="2">
        <f>12.2/B145</f>
        <v>1.3388203017832647E-3</v>
      </c>
      <c r="D146" s="33">
        <v>1.1722E-2</v>
      </c>
      <c r="E146" s="2">
        <v>1.77</v>
      </c>
      <c r="F146" s="2">
        <v>0.78300000000000003</v>
      </c>
    </row>
    <row r="150" spans="1:16">
      <c r="H150" s="2" t="s">
        <v>25</v>
      </c>
    </row>
    <row r="151" spans="1:16" s="57" customFormat="1">
      <c r="D151" s="58"/>
    </row>
    <row r="152" spans="1:16">
      <c r="A152" s="2" t="s">
        <v>224</v>
      </c>
    </row>
    <row r="153" spans="1:16">
      <c r="C153" s="2" t="s">
        <v>232</v>
      </c>
      <c r="D153" s="11" t="s">
        <v>236</v>
      </c>
      <c r="E153" s="2" t="s">
        <v>233</v>
      </c>
      <c r="F153" s="2" t="s">
        <v>252</v>
      </c>
      <c r="G153" s="2" t="s">
        <v>251</v>
      </c>
      <c r="H153" s="2" t="s">
        <v>25</v>
      </c>
      <c r="I153" s="2" t="s">
        <v>240</v>
      </c>
      <c r="J153" s="2" t="s">
        <v>241</v>
      </c>
      <c r="K153" s="2" t="s">
        <v>242</v>
      </c>
      <c r="L153" s="2" t="s">
        <v>243</v>
      </c>
      <c r="M153" s="2" t="s">
        <v>51</v>
      </c>
      <c r="N153" s="2" t="s">
        <v>256</v>
      </c>
      <c r="O153" s="2" t="s">
        <v>255</v>
      </c>
      <c r="P153" s="2" t="s">
        <v>276</v>
      </c>
    </row>
    <row r="154" spans="1:16">
      <c r="A154" s="2" t="s">
        <v>225</v>
      </c>
      <c r="B154" s="2">
        <f>'EV Input'!C9</f>
        <v>0</v>
      </c>
      <c r="C154" s="2">
        <v>7.2</v>
      </c>
      <c r="D154" s="33">
        <f>B154*C154*(B156/30)</f>
        <v>0</v>
      </c>
      <c r="E154" s="16">
        <f>(B156/30)*B157*D154*B158</f>
        <v>0</v>
      </c>
      <c r="F154" s="21">
        <f>E154+E155</f>
        <v>46.666666666666671</v>
      </c>
      <c r="G154" s="21">
        <f>(F154*365)-B160</f>
        <v>14533.333333333336</v>
      </c>
      <c r="H154" s="21">
        <f>F154*C161</f>
        <v>51.333333333333343</v>
      </c>
      <c r="I154" s="21">
        <f>H154*C161</f>
        <v>56.466666666666683</v>
      </c>
      <c r="J154" s="21">
        <f>I154*C161</f>
        <v>62.113333333333358</v>
      </c>
      <c r="K154" s="21">
        <f>J154*C161</f>
        <v>68.324666666666701</v>
      </c>
      <c r="L154" s="21">
        <f>K154*C161</f>
        <v>75.157133333333377</v>
      </c>
      <c r="M154" s="21">
        <f>(H154+I154+J154+K154+L154)/5</f>
        <v>62.679026666666687</v>
      </c>
      <c r="N154" s="21">
        <f>M154*365</f>
        <v>22877.844733333339</v>
      </c>
      <c r="P154" s="2">
        <f>B160*5</f>
        <v>12500</v>
      </c>
    </row>
    <row r="155" spans="1:16">
      <c r="A155" s="2" t="s">
        <v>226</v>
      </c>
      <c r="B155" s="2">
        <f>'EV Input'!C10</f>
        <v>2</v>
      </c>
      <c r="C155" s="2">
        <v>62.5</v>
      </c>
      <c r="D155" s="33">
        <f>B155*C155*(B156/30)</f>
        <v>333.33333333333331</v>
      </c>
      <c r="E155" s="16">
        <f>B157*B158*D155*B158</f>
        <v>46.666666666666671</v>
      </c>
      <c r="G155" s="21">
        <f>G154</f>
        <v>14533.333333333336</v>
      </c>
      <c r="H155" s="21">
        <f>H154*365</f>
        <v>18736.666666666672</v>
      </c>
      <c r="I155" s="11">
        <f t="shared" ref="I155:L155" si="8">I154*365</f>
        <v>20610.333333333339</v>
      </c>
      <c r="J155" s="11">
        <f t="shared" si="8"/>
        <v>22671.366666666676</v>
      </c>
      <c r="K155" s="11">
        <f t="shared" si="8"/>
        <v>24938.503333333345</v>
      </c>
      <c r="L155" s="11">
        <f t="shared" si="8"/>
        <v>27432.353666666684</v>
      </c>
      <c r="O155" s="21">
        <f>SUM(G155:K155)</f>
        <v>101490.20333333335</v>
      </c>
    </row>
    <row r="156" spans="1:16">
      <c r="A156" s="2" t="s">
        <v>227</v>
      </c>
      <c r="B156" s="5">
        <f>'EV Input'!C11</f>
        <v>80</v>
      </c>
    </row>
    <row r="157" spans="1:16">
      <c r="A157" s="2" t="s">
        <v>228</v>
      </c>
      <c r="B157" s="16">
        <f>'EV Input'!C12</f>
        <v>0.14000000000000001</v>
      </c>
      <c r="M157" s="2" t="s">
        <v>278</v>
      </c>
      <c r="N157" s="2" t="s">
        <v>277</v>
      </c>
    </row>
    <row r="158" spans="1:16">
      <c r="A158" s="2" t="s">
        <v>229</v>
      </c>
      <c r="B158" s="3">
        <f>'EV Input'!C13</f>
        <v>1</v>
      </c>
      <c r="D158" s="11" t="s">
        <v>261</v>
      </c>
      <c r="G158" s="2" t="s">
        <v>275</v>
      </c>
      <c r="M158" s="21">
        <f>(H154+I154+J154)/3</f>
        <v>56.637777777777792</v>
      </c>
      <c r="N158" s="21">
        <f>O155/5</f>
        <v>20298.040666666671</v>
      </c>
    </row>
    <row r="159" spans="1:16">
      <c r="B159" s="3"/>
      <c r="D159" s="33">
        <f>(D154+D155)*365</f>
        <v>121666.66666666666</v>
      </c>
      <c r="G159" s="21">
        <f>G154-B160</f>
        <v>12033.333333333336</v>
      </c>
    </row>
    <row r="160" spans="1:16">
      <c r="A160" s="2" t="s">
        <v>234</v>
      </c>
      <c r="B160" s="9">
        <f>'EV Input'!C16</f>
        <v>2500</v>
      </c>
    </row>
    <row r="161" spans="1:3">
      <c r="A161" s="2" t="s">
        <v>235</v>
      </c>
      <c r="B161" s="3">
        <f>'EV Input'!C15</f>
        <v>0.1</v>
      </c>
      <c r="C161" s="2">
        <f>1*(B161)+1</f>
        <v>1.1000000000000001</v>
      </c>
    </row>
    <row r="163" spans="1:3">
      <c r="A163" s="2" t="s">
        <v>237</v>
      </c>
      <c r="B163" s="2">
        <f>B181</f>
        <v>171750</v>
      </c>
    </row>
    <row r="164" spans="1:3">
      <c r="A164" s="2" t="s">
        <v>15</v>
      </c>
      <c r="B164" s="2">
        <f>B163*0.3</f>
        <v>51525</v>
      </c>
    </row>
    <row r="165" spans="1:3">
      <c r="A165" s="2" t="s">
        <v>238</v>
      </c>
      <c r="B165" s="2">
        <f>B163-B164</f>
        <v>120225</v>
      </c>
    </row>
    <row r="167" spans="1:3">
      <c r="A167" s="2" t="s">
        <v>239</v>
      </c>
      <c r="B167" s="9">
        <f>B165/N158</f>
        <v>5.9229854730477918</v>
      </c>
    </row>
    <row r="168" spans="1:3">
      <c r="A168" s="2" t="s">
        <v>259</v>
      </c>
      <c r="B168" s="2">
        <f>B165*0.2</f>
        <v>24045</v>
      </c>
    </row>
    <row r="169" spans="1:3">
      <c r="A169" s="2" t="s">
        <v>260</v>
      </c>
      <c r="B169" s="2">
        <f>B163*0.2</f>
        <v>34350</v>
      </c>
    </row>
    <row r="170" spans="1:3">
      <c r="A170" s="2" t="s">
        <v>262</v>
      </c>
      <c r="B170" s="2">
        <f>D159/2100</f>
        <v>57.93650793650793</v>
      </c>
    </row>
    <row r="172" spans="1:3">
      <c r="A172" s="2" t="s">
        <v>244</v>
      </c>
      <c r="B172" s="2">
        <f>B154*18000</f>
        <v>0</v>
      </c>
    </row>
    <row r="173" spans="1:3">
      <c r="A173" s="2" t="s">
        <v>245</v>
      </c>
      <c r="B173" s="2">
        <f>B155*75000</f>
        <v>150000</v>
      </c>
    </row>
    <row r="174" spans="1:3">
      <c r="A174" s="2" t="s">
        <v>249</v>
      </c>
      <c r="B174" s="2">
        <f>B172+B173</f>
        <v>150000</v>
      </c>
    </row>
    <row r="175" spans="1:3">
      <c r="A175" s="2" t="s">
        <v>246</v>
      </c>
      <c r="B175" s="2">
        <f>B174*0.01</f>
        <v>1500</v>
      </c>
    </row>
    <row r="176" spans="1:3">
      <c r="A176" s="2" t="s">
        <v>247</v>
      </c>
      <c r="B176" s="2">
        <f>B174*0.02</f>
        <v>3000</v>
      </c>
    </row>
    <row r="177" spans="1:2">
      <c r="A177" s="2" t="s">
        <v>248</v>
      </c>
      <c r="B177" s="2">
        <f>B174*0.035</f>
        <v>5250.0000000000009</v>
      </c>
    </row>
    <row r="178" spans="1:2">
      <c r="A178" s="2" t="s">
        <v>253</v>
      </c>
      <c r="B178" s="2">
        <f>'EV Input'!C19</f>
        <v>7500</v>
      </c>
    </row>
    <row r="179" spans="1:2">
      <c r="A179" s="2" t="s">
        <v>265</v>
      </c>
      <c r="B179" s="2">
        <f>'EV Input'!C17</f>
        <v>2000</v>
      </c>
    </row>
    <row r="180" spans="1:2">
      <c r="A180" s="2" t="s">
        <v>273</v>
      </c>
      <c r="B180" s="2">
        <f>'EV Input'!C18</f>
        <v>2500</v>
      </c>
    </row>
    <row r="181" spans="1:2" ht="15" customHeight="1">
      <c r="A181" s="2" t="s">
        <v>250</v>
      </c>
      <c r="B181" s="2">
        <f>SUM(B174:B180)</f>
        <v>171750</v>
      </c>
    </row>
  </sheetData>
  <sheetProtection algorithmName="SHA-512" hashValue="nOD18G+YnzYealxhG4m2xuytYJp0PQ3zo//JZ0z2TGVVgDmd/vouyo1gOx8D/D1A0urA/Lku/QW8ZFAG4Xkhfg==" saltValue="dJYFtS6HGSOa0uJNqG4drg==" spinCount="100000" sheet="1" objects="1" scenarios="1"/>
  <mergeCells count="6">
    <mergeCell ref="L123:M123"/>
    <mergeCell ref="D55:F55"/>
    <mergeCell ref="C123:D123"/>
    <mergeCell ref="E123:F123"/>
    <mergeCell ref="H123:I123"/>
    <mergeCell ref="J123:K123"/>
  </mergeCells>
  <dataValidations count="1">
    <dataValidation type="list" allowBlank="1" showInputMessage="1" showErrorMessage="1" sqref="E5" xr:uid="{AAD25FD1-587A-4209-9853-8B9E598949F1}">
      <formula1>$A$105:$A$113</formula1>
    </dataValidation>
  </dataValidations>
  <hyperlinks>
    <hyperlink ref="B5" r:id="rId1" display="ty@webb.com" xr:uid="{B6FCA21A-29C0-4284-B748-2490C439437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3A077-6128-4EAC-83CD-73E1B5451432}">
  <dimension ref="A1:H156"/>
  <sheetViews>
    <sheetView workbookViewId="0">
      <selection activeCell="C11" sqref="C11"/>
    </sheetView>
  </sheetViews>
  <sheetFormatPr defaultColWidth="8.84375" defaultRowHeight="18.45"/>
  <cols>
    <col min="1" max="1" width="8.84375" style="41"/>
    <col min="2" max="2" width="33.3046875" style="41" customWidth="1"/>
    <col min="3" max="3" width="39.15234375" style="41" customWidth="1"/>
    <col min="4" max="4" width="13" style="41" customWidth="1"/>
    <col min="5" max="5" width="19.23046875" style="41" customWidth="1"/>
    <col min="6" max="6" width="8.84375" style="41"/>
    <col min="7" max="7" width="16" style="41" customWidth="1"/>
    <col min="8" max="16384" width="8.84375" style="41"/>
  </cols>
  <sheetData>
    <row r="1" spans="2:7" ht="13.75" customHeight="1"/>
    <row r="2" spans="2:7" ht="13.75" customHeight="1">
      <c r="B2" s="275" t="s">
        <v>179</v>
      </c>
      <c r="C2" s="276"/>
    </row>
    <row r="4" spans="2:7">
      <c r="B4" s="41" t="s">
        <v>3</v>
      </c>
      <c r="C4" s="52" t="s">
        <v>293</v>
      </c>
      <c r="E4" s="68">
        <f>'Master Input'!B163</f>
        <v>171750</v>
      </c>
      <c r="F4" s="41" t="s">
        <v>189</v>
      </c>
      <c r="G4" s="45"/>
    </row>
    <row r="5" spans="2:7">
      <c r="B5" s="41" t="s">
        <v>4</v>
      </c>
      <c r="C5" s="52" t="s">
        <v>294</v>
      </c>
      <c r="D5" s="44"/>
      <c r="E5" s="69">
        <f>'Master Input'!B164</f>
        <v>51525</v>
      </c>
      <c r="F5" s="41" t="s">
        <v>192</v>
      </c>
    </row>
    <row r="6" spans="2:7">
      <c r="B6" s="41" t="s">
        <v>7</v>
      </c>
      <c r="C6" s="52" t="s">
        <v>295</v>
      </c>
      <c r="E6" s="68">
        <f>'Master Input'!B165</f>
        <v>120225</v>
      </c>
      <c r="F6" s="41" t="s">
        <v>196</v>
      </c>
    </row>
    <row r="7" spans="2:7">
      <c r="B7" s="41" t="s">
        <v>5</v>
      </c>
      <c r="C7" s="52" t="s">
        <v>296</v>
      </c>
      <c r="E7" s="69">
        <f>'Master Input'!B168</f>
        <v>24045</v>
      </c>
      <c r="F7" s="41" t="s">
        <v>268</v>
      </c>
      <c r="G7" s="47"/>
    </row>
    <row r="8" spans="2:7">
      <c r="B8" s="41" t="s">
        <v>6</v>
      </c>
      <c r="C8" s="266"/>
      <c r="D8" s="46"/>
      <c r="E8" s="70">
        <f>'Master Input'!B167</f>
        <v>5.9229854730477918</v>
      </c>
      <c r="F8" s="41" t="s">
        <v>267</v>
      </c>
    </row>
    <row r="9" spans="2:7">
      <c r="B9" s="41" t="s">
        <v>210</v>
      </c>
      <c r="C9" s="52">
        <v>0</v>
      </c>
    </row>
    <row r="10" spans="2:7">
      <c r="B10" s="41" t="s">
        <v>211</v>
      </c>
      <c r="C10" s="52">
        <v>2</v>
      </c>
      <c r="E10" s="69">
        <f>'Master Input'!H155</f>
        <v>18736.666666666672</v>
      </c>
      <c r="F10" s="41" t="s">
        <v>269</v>
      </c>
    </row>
    <row r="11" spans="2:7">
      <c r="B11" s="41" t="s">
        <v>290</v>
      </c>
      <c r="C11" s="268">
        <v>80</v>
      </c>
      <c r="E11" s="69">
        <f>'Master Input'!O155</f>
        <v>101490.20333333335</v>
      </c>
      <c r="F11" s="41" t="s">
        <v>270</v>
      </c>
    </row>
    <row r="12" spans="2:7">
      <c r="B12" s="41" t="s">
        <v>176</v>
      </c>
      <c r="C12" s="67">
        <v>0.14000000000000001</v>
      </c>
      <c r="D12" s="44"/>
    </row>
    <row r="13" spans="2:7">
      <c r="B13" s="41" t="s">
        <v>280</v>
      </c>
      <c r="C13" s="65">
        <v>1</v>
      </c>
      <c r="D13" s="44"/>
    </row>
    <row r="14" spans="2:7">
      <c r="B14" s="41" t="s">
        <v>70</v>
      </c>
      <c r="C14" s="52" t="s">
        <v>97</v>
      </c>
      <c r="D14" s="43"/>
    </row>
    <row r="15" spans="2:7">
      <c r="B15" s="41" t="s">
        <v>271</v>
      </c>
      <c r="C15" s="65">
        <v>0.1</v>
      </c>
      <c r="D15" s="43"/>
    </row>
    <row r="16" spans="2:7">
      <c r="B16" s="41" t="s">
        <v>274</v>
      </c>
      <c r="C16" s="67">
        <v>2500</v>
      </c>
      <c r="D16" s="43"/>
    </row>
    <row r="17" spans="2:8" ht="18" customHeight="1">
      <c r="B17" s="41" t="s">
        <v>272</v>
      </c>
      <c r="C17" s="53">
        <v>2000</v>
      </c>
    </row>
    <row r="18" spans="2:8">
      <c r="B18" s="41" t="s">
        <v>203</v>
      </c>
      <c r="C18" s="71">
        <v>2500</v>
      </c>
    </row>
    <row r="19" spans="2:8">
      <c r="B19" s="41" t="s">
        <v>253</v>
      </c>
      <c r="C19" s="71">
        <v>7500</v>
      </c>
    </row>
    <row r="31" spans="2:8">
      <c r="F31" s="43"/>
      <c r="G31" s="43"/>
      <c r="H31" s="43"/>
    </row>
    <row r="39" spans="2:4">
      <c r="B39" s="41" t="s">
        <v>76</v>
      </c>
      <c r="D39" s="41" t="s">
        <v>180</v>
      </c>
    </row>
    <row r="40" spans="2:4">
      <c r="B40" s="41" t="s">
        <v>101</v>
      </c>
      <c r="D40" s="41" t="s">
        <v>181</v>
      </c>
    </row>
    <row r="41" spans="2:4">
      <c r="B41" s="41" t="s">
        <v>168</v>
      </c>
      <c r="D41" s="41" t="s">
        <v>182</v>
      </c>
    </row>
    <row r="42" spans="2:4">
      <c r="B42" s="41" t="s">
        <v>102</v>
      </c>
      <c r="D42" s="41" t="s">
        <v>183</v>
      </c>
    </row>
    <row r="43" spans="2:4">
      <c r="B43" s="41" t="s">
        <v>169</v>
      </c>
      <c r="D43" s="41" t="s">
        <v>184</v>
      </c>
    </row>
    <row r="44" spans="2:4">
      <c r="B44" s="41" t="s">
        <v>103</v>
      </c>
      <c r="D44" s="41" t="s">
        <v>185</v>
      </c>
    </row>
    <row r="45" spans="2:4">
      <c r="B45" s="42" t="s">
        <v>167</v>
      </c>
    </row>
    <row r="46" spans="2:4">
      <c r="B46" s="41" t="s">
        <v>104</v>
      </c>
    </row>
    <row r="47" spans="2:4">
      <c r="B47" s="41" t="s">
        <v>106</v>
      </c>
    </row>
    <row r="48" spans="2:4">
      <c r="B48" s="42" t="s">
        <v>166</v>
      </c>
    </row>
    <row r="49" spans="2:6">
      <c r="B49" s="42" t="s">
        <v>170</v>
      </c>
    </row>
    <row r="52" spans="2:6">
      <c r="D52" s="277" t="s">
        <v>223</v>
      </c>
      <c r="E52" s="277"/>
      <c r="F52" s="277"/>
    </row>
    <row r="71" spans="2:3">
      <c r="C71" s="54">
        <v>0.24</v>
      </c>
    </row>
    <row r="72" spans="2:3">
      <c r="B72" s="41" t="s">
        <v>220</v>
      </c>
      <c r="C72" s="54">
        <v>0.56000000000000005</v>
      </c>
    </row>
    <row r="73" spans="2:3">
      <c r="B73" s="41" t="s">
        <v>221</v>
      </c>
      <c r="C73" s="54">
        <v>0.17</v>
      </c>
    </row>
    <row r="74" spans="2:3">
      <c r="B74" s="41" t="s">
        <v>222</v>
      </c>
      <c r="C74" s="54">
        <v>0.03</v>
      </c>
    </row>
    <row r="148" spans="1:5" s="60" customFormat="1"/>
    <row r="149" spans="1:5">
      <c r="A149" s="41" t="s">
        <v>224</v>
      </c>
    </row>
    <row r="150" spans="1:5">
      <c r="C150" s="41" t="s">
        <v>232</v>
      </c>
      <c r="D150" s="41" t="s">
        <v>231</v>
      </c>
      <c r="E150" s="41" t="s">
        <v>233</v>
      </c>
    </row>
    <row r="151" spans="1:5">
      <c r="A151" s="41" t="s">
        <v>225</v>
      </c>
      <c r="B151" s="41">
        <v>2</v>
      </c>
    </row>
    <row r="152" spans="1:5">
      <c r="A152" s="41" t="s">
        <v>226</v>
      </c>
      <c r="B152" s="41">
        <v>1</v>
      </c>
      <c r="C152" s="41">
        <v>62.5</v>
      </c>
      <c r="D152" s="41">
        <f>B152*C152*24*B153</f>
        <v>1500</v>
      </c>
      <c r="E152" s="64">
        <f>B154*B155*D152</f>
        <v>127.50000000000001</v>
      </c>
    </row>
    <row r="153" spans="1:5">
      <c r="A153" s="41" t="s">
        <v>227</v>
      </c>
      <c r="B153" s="62">
        <v>1</v>
      </c>
    </row>
    <row r="154" spans="1:5">
      <c r="A154" s="41" t="s">
        <v>228</v>
      </c>
      <c r="B154" s="41">
        <v>0.17</v>
      </c>
    </row>
    <row r="155" spans="1:5">
      <c r="A155" s="41" t="s">
        <v>229</v>
      </c>
      <c r="B155" s="62">
        <v>0.5</v>
      </c>
    </row>
    <row r="156" spans="1:5">
      <c r="A156" s="41" t="s">
        <v>230</v>
      </c>
      <c r="B156" s="62">
        <v>0.04</v>
      </c>
    </row>
  </sheetData>
  <sheetProtection selectLockedCells="1"/>
  <mergeCells count="2">
    <mergeCell ref="B2:C2"/>
    <mergeCell ref="D52:F52"/>
  </mergeCells>
  <dataValidations count="2">
    <dataValidation type="list" allowBlank="1" showInputMessage="1" showErrorMessage="1" sqref="B39:B41" xr:uid="{FD980392-8BEB-4056-A8B3-16E36C5A6D83}">
      <formula1>B39:B49</formula1>
    </dataValidation>
    <dataValidation type="list" allowBlank="1" showInputMessage="1" showErrorMessage="1" sqref="B42:B49" xr:uid="{16EE5F04-7580-42F8-B729-0EAC811C3923}">
      <formula1>B42:B53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4594-1B82-4C4C-A19E-23830DC3C4E6}">
  <sheetPr>
    <pageSetUpPr fitToPage="1"/>
  </sheetPr>
  <dimension ref="A1:L160"/>
  <sheetViews>
    <sheetView topLeftCell="A42" zoomScale="84" zoomScaleNormal="84" workbookViewId="0">
      <selection activeCell="B56" sqref="B56"/>
    </sheetView>
  </sheetViews>
  <sheetFormatPr defaultColWidth="8.84375" defaultRowHeight="14.6"/>
  <cols>
    <col min="1" max="1" width="3.84375" style="1" customWidth="1"/>
    <col min="2" max="2" width="19.53515625" customWidth="1"/>
    <col min="3" max="5" width="11.84375" customWidth="1"/>
    <col min="6" max="6" width="9" customWidth="1"/>
    <col min="7" max="7" width="8.84375" customWidth="1"/>
    <col min="8" max="9" width="11.84375" customWidth="1"/>
    <col min="10" max="10" width="3.84375" style="1" customWidth="1"/>
  </cols>
  <sheetData>
    <row r="1" spans="1:12" s="1" customFormat="1" ht="15.45">
      <c r="A1" s="166"/>
      <c r="B1" s="167"/>
      <c r="C1" s="167"/>
      <c r="D1" s="167"/>
      <c r="E1" s="167"/>
      <c r="F1" s="167"/>
      <c r="G1" s="167"/>
      <c r="H1" s="167"/>
      <c r="I1" s="167"/>
      <c r="J1" s="167"/>
      <c r="K1" s="162"/>
      <c r="L1"/>
    </row>
    <row r="2" spans="1:12" s="1" customFormat="1" ht="15.45">
      <c r="A2" s="166"/>
      <c r="B2" s="167"/>
      <c r="C2" s="167"/>
      <c r="D2" s="167"/>
      <c r="E2" s="167"/>
      <c r="F2" s="167"/>
      <c r="G2" s="167"/>
      <c r="H2" s="167"/>
      <c r="I2" s="167"/>
      <c r="J2" s="167"/>
      <c r="K2" s="162"/>
      <c r="L2"/>
    </row>
    <row r="3" spans="1:12" s="1" customFormat="1" ht="15.45">
      <c r="A3" s="166"/>
      <c r="B3" s="167"/>
      <c r="C3" s="167"/>
      <c r="D3" s="167"/>
      <c r="E3" s="167"/>
      <c r="F3" s="167"/>
      <c r="G3" s="167"/>
      <c r="H3" s="167"/>
      <c r="I3" s="167"/>
      <c r="J3" s="167"/>
      <c r="K3" s="162"/>
      <c r="L3"/>
    </row>
    <row r="4" spans="1:12" s="1" customFormat="1" ht="15.45">
      <c r="A4" s="166"/>
      <c r="B4" s="167"/>
      <c r="C4" s="167"/>
      <c r="D4" s="167"/>
      <c r="E4" s="167"/>
      <c r="F4" s="167"/>
      <c r="G4" s="167"/>
      <c r="H4" s="167"/>
      <c r="I4" s="167"/>
      <c r="J4" s="167"/>
      <c r="K4" s="162"/>
      <c r="L4"/>
    </row>
    <row r="5" spans="1:12" s="1" customFormat="1" ht="15.45">
      <c r="A5" s="166"/>
      <c r="B5" s="167"/>
      <c r="C5" s="167"/>
      <c r="D5" s="167"/>
      <c r="E5" s="167"/>
      <c r="F5" s="167"/>
      <c r="G5" s="167"/>
      <c r="H5" s="167"/>
      <c r="I5" s="167"/>
      <c r="J5" s="167"/>
      <c r="K5" s="162"/>
      <c r="L5"/>
    </row>
    <row r="6" spans="1:12" s="1" customFormat="1" ht="15.45">
      <c r="A6" s="166"/>
      <c r="B6" s="167"/>
      <c r="C6" s="167"/>
      <c r="D6" s="167"/>
      <c r="E6" s="167"/>
      <c r="F6" s="167"/>
      <c r="G6" s="167"/>
      <c r="H6" s="167"/>
      <c r="I6" s="167"/>
      <c r="J6" s="167"/>
      <c r="K6" s="162"/>
      <c r="L6"/>
    </row>
    <row r="7" spans="1:12" s="1" customFormat="1" ht="15.45">
      <c r="A7" s="166"/>
      <c r="B7" s="167"/>
      <c r="C7" s="167"/>
      <c r="D7" s="167"/>
      <c r="E7" s="167"/>
      <c r="F7" s="167"/>
      <c r="G7" s="167"/>
      <c r="H7" s="167"/>
      <c r="I7" s="167"/>
      <c r="J7" s="167"/>
      <c r="K7" s="162"/>
      <c r="L7"/>
    </row>
    <row r="8" spans="1:12" ht="15.45">
      <c r="A8" s="166"/>
      <c r="B8" s="166"/>
      <c r="C8" s="166"/>
      <c r="D8" s="166"/>
      <c r="E8" s="166"/>
      <c r="F8" s="167"/>
      <c r="G8" s="167"/>
      <c r="H8" s="167"/>
      <c r="I8" s="167"/>
      <c r="J8" s="167"/>
      <c r="K8" s="162"/>
    </row>
    <row r="9" spans="1:12" ht="28" customHeight="1">
      <c r="A9" s="166"/>
      <c r="B9" s="166"/>
      <c r="C9" s="166"/>
      <c r="D9" s="166"/>
      <c r="E9" s="1"/>
      <c r="F9" s="168"/>
      <c r="G9" s="167"/>
      <c r="H9" s="167"/>
      <c r="I9" s="167"/>
      <c r="J9" s="167"/>
      <c r="K9" s="162"/>
    </row>
    <row r="10" spans="1:12" ht="15" customHeight="1">
      <c r="A10" s="166"/>
      <c r="B10" s="166"/>
      <c r="C10" s="166"/>
      <c r="D10" s="166"/>
      <c r="E10" s="168"/>
      <c r="F10" s="167"/>
      <c r="G10" s="167"/>
      <c r="H10" s="167"/>
      <c r="I10" s="167"/>
      <c r="J10" s="167"/>
      <c r="K10" s="162"/>
    </row>
    <row r="11" spans="1:12" ht="24" customHeight="1" thickBot="1">
      <c r="A11" s="200"/>
      <c r="B11" s="204" t="s">
        <v>288</v>
      </c>
      <c r="C11" s="233"/>
      <c r="D11" s="200"/>
      <c r="E11" s="234"/>
      <c r="F11" s="235"/>
      <c r="G11" s="236"/>
      <c r="H11" s="236"/>
      <c r="I11" s="236"/>
      <c r="J11" s="167"/>
      <c r="K11" s="162"/>
    </row>
    <row r="12" spans="1:12" ht="15.75" customHeight="1" thickTop="1">
      <c r="A12" s="200"/>
      <c r="B12" s="200"/>
      <c r="C12" s="200"/>
      <c r="D12" s="237"/>
      <c r="E12" s="200"/>
      <c r="F12" s="1"/>
      <c r="G12" s="179"/>
      <c r="H12" s="179"/>
      <c r="I12" s="179"/>
      <c r="J12" s="167"/>
      <c r="K12" s="162"/>
    </row>
    <row r="13" spans="1:12" ht="24" customHeight="1">
      <c r="A13" s="199"/>
      <c r="B13" s="176" t="s">
        <v>8</v>
      </c>
      <c r="C13" s="177" t="str">
        <f>'EV Input'!C4</f>
        <v>Mohammed Rabbany</v>
      </c>
      <c r="D13" s="200"/>
      <c r="E13" s="182"/>
      <c r="F13" s="1"/>
      <c r="G13" s="178" t="s">
        <v>9</v>
      </c>
      <c r="H13" s="1"/>
      <c r="I13" s="180" t="str">
        <f>'EV Input'!C7</f>
        <v>561.891.5548</v>
      </c>
      <c r="J13" s="167"/>
      <c r="K13" s="162"/>
    </row>
    <row r="14" spans="1:12" ht="24" customHeight="1">
      <c r="A14" s="199"/>
      <c r="B14" s="192"/>
      <c r="C14" s="192"/>
      <c r="D14" s="200"/>
      <c r="E14" s="1"/>
      <c r="F14" s="1"/>
      <c r="G14" s="179"/>
      <c r="H14" s="179"/>
      <c r="I14" s="179"/>
      <c r="J14" s="167"/>
      <c r="K14" s="162"/>
    </row>
    <row r="15" spans="1:12" ht="24" customHeight="1">
      <c r="A15" s="199"/>
      <c r="B15" s="176" t="s">
        <v>17</v>
      </c>
      <c r="C15" s="181" t="str">
        <f>'EV Input'!C5</f>
        <v>2950 SW Martin Downs Blvd</v>
      </c>
      <c r="D15" s="200"/>
      <c r="E15" s="1"/>
      <c r="F15" s="1"/>
      <c r="G15" s="178" t="s">
        <v>10</v>
      </c>
      <c r="H15" s="1"/>
      <c r="I15" s="267">
        <f>'EV Input'!C8</f>
        <v>0</v>
      </c>
      <c r="J15" s="167"/>
      <c r="K15" s="162"/>
    </row>
    <row r="16" spans="1:12" ht="24" customHeight="1">
      <c r="A16" s="199"/>
      <c r="B16" s="1"/>
      <c r="C16" s="181" t="str">
        <f>'EV Input'!C6</f>
        <v>Palm City FL 34997</v>
      </c>
      <c r="D16" s="200"/>
      <c r="E16" s="179"/>
      <c r="F16" s="182"/>
      <c r="G16" s="182"/>
      <c r="H16" s="182"/>
      <c r="I16" s="179"/>
      <c r="J16" s="167"/>
      <c r="K16" s="162"/>
    </row>
    <row r="17" spans="1:11" ht="15" customHeight="1">
      <c r="A17" s="166"/>
      <c r="B17" s="192"/>
      <c r="C17" s="192"/>
      <c r="D17" s="192"/>
      <c r="E17" s="166"/>
      <c r="F17" s="196"/>
      <c r="G17" s="170"/>
      <c r="H17" s="171"/>
      <c r="I17" s="167"/>
      <c r="J17" s="167"/>
      <c r="K17" s="162"/>
    </row>
    <row r="18" spans="1:11" ht="11.25" customHeight="1">
      <c r="A18" s="166"/>
      <c r="B18" s="192"/>
      <c r="C18" s="192"/>
      <c r="D18" s="192"/>
      <c r="E18" s="166"/>
      <c r="F18" s="196"/>
      <c r="G18" s="170"/>
      <c r="H18" s="171"/>
      <c r="I18" s="167"/>
      <c r="J18" s="167"/>
      <c r="K18" s="162"/>
    </row>
    <row r="19" spans="1:11" ht="15.45">
      <c r="A19" s="166"/>
      <c r="B19" s="192"/>
      <c r="C19" s="192"/>
      <c r="D19" s="192"/>
      <c r="E19" s="166"/>
      <c r="F19" s="196"/>
      <c r="G19" s="170"/>
      <c r="H19" s="171"/>
      <c r="I19" s="167"/>
      <c r="J19" s="167"/>
      <c r="K19" s="162"/>
    </row>
    <row r="20" spans="1:11" ht="15.45">
      <c r="A20" s="166"/>
      <c r="B20" s="192"/>
      <c r="C20" s="192"/>
      <c r="D20" s="192"/>
      <c r="E20" s="166"/>
      <c r="F20" s="196"/>
      <c r="G20" s="170"/>
      <c r="H20" s="171"/>
      <c r="I20" s="167"/>
      <c r="J20" s="167"/>
      <c r="K20" s="162"/>
    </row>
    <row r="21" spans="1:11" ht="15.45">
      <c r="A21" s="166"/>
      <c r="B21" s="192"/>
      <c r="C21" s="192"/>
      <c r="D21" s="192"/>
      <c r="E21" s="166"/>
      <c r="F21" s="196"/>
      <c r="G21" s="170"/>
      <c r="H21" s="171"/>
      <c r="I21" s="167"/>
      <c r="J21" s="167"/>
      <c r="K21" s="162"/>
    </row>
    <row r="22" spans="1:11" ht="15.45">
      <c r="A22" s="166"/>
      <c r="B22" s="192"/>
      <c r="C22" s="192"/>
      <c r="D22" s="192"/>
      <c r="E22" s="166"/>
      <c r="F22" s="196"/>
      <c r="G22" s="170"/>
      <c r="H22" s="171"/>
      <c r="I22" s="167"/>
      <c r="J22" s="167"/>
      <c r="K22" s="162"/>
    </row>
    <row r="23" spans="1:11" ht="15.45">
      <c r="A23" s="166"/>
      <c r="B23" s="192"/>
      <c r="C23" s="192"/>
      <c r="D23" s="192"/>
      <c r="E23" s="166"/>
      <c r="F23" s="196"/>
      <c r="G23" s="170"/>
      <c r="H23" s="171"/>
      <c r="I23" s="167"/>
      <c r="J23" s="167"/>
      <c r="K23" s="162"/>
    </row>
    <row r="24" spans="1:11" ht="15.45">
      <c r="A24" s="166"/>
      <c r="B24" s="192"/>
      <c r="C24" s="192"/>
      <c r="D24" s="192"/>
      <c r="E24" s="166"/>
      <c r="F24" s="196"/>
      <c r="G24" s="170"/>
      <c r="H24" s="171"/>
      <c r="I24" s="167"/>
      <c r="J24" s="167"/>
      <c r="K24" s="162"/>
    </row>
    <row r="25" spans="1:11" ht="15.45">
      <c r="A25" s="166"/>
      <c r="B25" s="192"/>
      <c r="C25" s="192"/>
      <c r="D25" s="192"/>
      <c r="E25" s="166"/>
      <c r="F25" s="196"/>
      <c r="G25" s="170"/>
      <c r="H25" s="171"/>
      <c r="I25" s="167"/>
      <c r="J25" s="167"/>
      <c r="K25" s="162"/>
    </row>
    <row r="26" spans="1:11" ht="15.45">
      <c r="A26" s="166"/>
      <c r="B26" s="192"/>
      <c r="C26" s="192"/>
      <c r="D26" s="192"/>
      <c r="E26" s="166"/>
      <c r="F26" s="196"/>
      <c r="G26" s="170"/>
      <c r="H26" s="171"/>
      <c r="I26" s="167"/>
      <c r="J26" s="167"/>
      <c r="K26" s="162"/>
    </row>
    <row r="27" spans="1:11" ht="15.45">
      <c r="A27" s="166"/>
      <c r="B27" s="192"/>
      <c r="C27" s="192"/>
      <c r="D27" s="192"/>
      <c r="E27" s="166"/>
      <c r="F27" s="196"/>
      <c r="G27" s="170"/>
      <c r="H27" s="171"/>
      <c r="I27" s="167"/>
      <c r="J27" s="167"/>
      <c r="K27" s="162"/>
    </row>
    <row r="28" spans="1:11" ht="15.45">
      <c r="A28" s="166"/>
      <c r="B28" s="192"/>
      <c r="C28" s="192"/>
      <c r="D28" s="192"/>
      <c r="E28" s="166"/>
      <c r="F28" s="196"/>
      <c r="G28" s="170"/>
      <c r="H28" s="171"/>
      <c r="I28" s="167"/>
      <c r="J28" s="167"/>
      <c r="K28" s="162"/>
    </row>
    <row r="29" spans="1:11" ht="15.45">
      <c r="A29" s="166"/>
      <c r="B29" s="192"/>
      <c r="C29" s="192"/>
      <c r="D29" s="192"/>
      <c r="E29" s="166"/>
      <c r="F29" s="196"/>
      <c r="G29" s="170"/>
      <c r="H29" s="171"/>
      <c r="I29" s="167"/>
      <c r="J29" s="167"/>
      <c r="K29" s="162"/>
    </row>
    <row r="30" spans="1:11" ht="15.45">
      <c r="A30" s="166"/>
      <c r="B30" s="192"/>
      <c r="C30" s="192"/>
      <c r="D30" s="192"/>
      <c r="E30" s="166"/>
      <c r="F30" s="196"/>
      <c r="G30" s="170"/>
      <c r="H30" s="171"/>
      <c r="I30" s="167"/>
      <c r="K30" s="162"/>
    </row>
    <row r="31" spans="1:11" ht="18" customHeight="1">
      <c r="A31" s="166"/>
      <c r="B31" s="192"/>
      <c r="C31" s="192"/>
      <c r="D31" s="192"/>
      <c r="E31" s="166"/>
      <c r="F31" s="196"/>
      <c r="G31" s="170"/>
      <c r="H31" s="171"/>
      <c r="I31" s="167"/>
      <c r="J31" s="167"/>
      <c r="K31" s="162"/>
    </row>
    <row r="32" spans="1:11" ht="18" customHeight="1">
      <c r="A32" s="166"/>
      <c r="B32" s="192"/>
      <c r="C32" s="192"/>
      <c r="D32" s="192"/>
      <c r="E32" s="166"/>
      <c r="F32" s="196"/>
      <c r="G32" s="170"/>
      <c r="H32" s="171"/>
      <c r="I32" s="167"/>
      <c r="J32" s="167"/>
      <c r="K32" s="162"/>
    </row>
    <row r="33" spans="1:11" ht="18" customHeight="1">
      <c r="A33" s="166"/>
      <c r="B33" s="192"/>
      <c r="C33" s="192"/>
      <c r="D33" s="192"/>
      <c r="E33" s="166"/>
      <c r="F33" s="196"/>
      <c r="G33" s="170"/>
      <c r="H33" s="171"/>
      <c r="I33" s="167"/>
      <c r="J33" s="167"/>
      <c r="K33" s="162"/>
    </row>
    <row r="34" spans="1:11" ht="63" customHeight="1" thickBot="1">
      <c r="A34" s="166"/>
      <c r="B34" s="192"/>
      <c r="C34" s="192"/>
      <c r="D34" s="192"/>
      <c r="E34" s="166"/>
      <c r="F34" s="196"/>
      <c r="G34" s="170"/>
      <c r="H34" s="171"/>
      <c r="I34" s="167"/>
      <c r="J34" s="167"/>
      <c r="K34" s="162"/>
    </row>
    <row r="35" spans="1:11" ht="36" customHeight="1" thickTop="1">
      <c r="A35" s="166"/>
      <c r="B35" s="282" t="s">
        <v>287</v>
      </c>
      <c r="C35" s="283"/>
      <c r="D35" s="283"/>
      <c r="E35" s="283"/>
      <c r="F35" s="283"/>
      <c r="G35" s="283"/>
      <c r="H35" s="283"/>
      <c r="I35" s="284"/>
      <c r="J35" s="167"/>
      <c r="K35" s="162"/>
    </row>
    <row r="36" spans="1:11" ht="18" customHeight="1">
      <c r="A36" s="166"/>
      <c r="B36" s="285"/>
      <c r="C36" s="286"/>
      <c r="D36" s="286"/>
      <c r="E36" s="286"/>
      <c r="F36" s="286"/>
      <c r="G36" s="286"/>
      <c r="H36" s="286"/>
      <c r="I36" s="287"/>
      <c r="J36" s="167"/>
      <c r="K36" s="162"/>
    </row>
    <row r="37" spans="1:11" ht="18" customHeight="1">
      <c r="A37" s="166"/>
      <c r="B37" s="285"/>
      <c r="C37" s="286"/>
      <c r="D37" s="286"/>
      <c r="E37" s="286"/>
      <c r="F37" s="286"/>
      <c r="G37" s="286"/>
      <c r="H37" s="286"/>
      <c r="I37" s="287"/>
      <c r="J37" s="167"/>
      <c r="K37" s="162"/>
    </row>
    <row r="38" spans="1:11" ht="18" customHeight="1">
      <c r="A38" s="166"/>
      <c r="B38" s="285"/>
      <c r="C38" s="286"/>
      <c r="D38" s="286"/>
      <c r="E38" s="286"/>
      <c r="F38" s="286"/>
      <c r="G38" s="286"/>
      <c r="H38" s="286"/>
      <c r="I38" s="287"/>
      <c r="J38" s="167"/>
      <c r="K38" s="162"/>
    </row>
    <row r="39" spans="1:11" ht="18" customHeight="1">
      <c r="A39" s="166"/>
      <c r="B39" s="285"/>
      <c r="C39" s="286"/>
      <c r="D39" s="286"/>
      <c r="E39" s="286"/>
      <c r="F39" s="286"/>
      <c r="G39" s="286"/>
      <c r="H39" s="286"/>
      <c r="I39" s="287"/>
      <c r="J39" s="223"/>
      <c r="K39" s="162"/>
    </row>
    <row r="40" spans="1:11" ht="18" customHeight="1">
      <c r="A40" s="166"/>
      <c r="B40" s="285"/>
      <c r="C40" s="286"/>
      <c r="D40" s="286"/>
      <c r="E40" s="286"/>
      <c r="F40" s="286"/>
      <c r="G40" s="286"/>
      <c r="H40" s="286"/>
      <c r="I40" s="287"/>
      <c r="J40" s="223"/>
      <c r="K40" s="162"/>
    </row>
    <row r="41" spans="1:11" ht="18" customHeight="1">
      <c r="A41" s="166"/>
      <c r="B41" s="285"/>
      <c r="C41" s="286"/>
      <c r="D41" s="286"/>
      <c r="E41" s="286"/>
      <c r="F41" s="286"/>
      <c r="G41" s="286"/>
      <c r="H41" s="286"/>
      <c r="I41" s="287"/>
      <c r="J41" s="223"/>
      <c r="K41" s="162"/>
    </row>
    <row r="42" spans="1:11" ht="18" customHeight="1">
      <c r="A42" s="166"/>
      <c r="B42" s="285"/>
      <c r="C42" s="286"/>
      <c r="D42" s="286"/>
      <c r="E42" s="286"/>
      <c r="F42" s="286"/>
      <c r="G42" s="286"/>
      <c r="H42" s="286"/>
      <c r="I42" s="287"/>
      <c r="J42" s="223"/>
      <c r="K42" s="162"/>
    </row>
    <row r="43" spans="1:11" ht="18" customHeight="1">
      <c r="A43" s="6"/>
      <c r="B43" s="285"/>
      <c r="C43" s="286"/>
      <c r="D43" s="286"/>
      <c r="E43" s="286"/>
      <c r="F43" s="286"/>
      <c r="G43" s="286"/>
      <c r="H43" s="286"/>
      <c r="I43" s="287"/>
      <c r="J43" s="7"/>
      <c r="K43" s="158"/>
    </row>
    <row r="44" spans="1:11" ht="18" customHeight="1" thickBot="1">
      <c r="A44" s="6"/>
      <c r="B44" s="288"/>
      <c r="C44" s="289"/>
      <c r="D44" s="289"/>
      <c r="E44" s="289"/>
      <c r="F44" s="289"/>
      <c r="G44" s="289"/>
      <c r="H44" s="289"/>
      <c r="I44" s="290"/>
      <c r="J44" s="7"/>
      <c r="K44" s="158"/>
    </row>
    <row r="45" spans="1:11" ht="15" customHeight="1" thickTop="1">
      <c r="A45" s="6"/>
      <c r="B45" s="212"/>
      <c r="C45" s="212"/>
      <c r="D45" s="212"/>
      <c r="E45" s="212"/>
      <c r="F45" s="212"/>
      <c r="G45" s="212"/>
      <c r="H45" s="212"/>
      <c r="I45" s="212"/>
      <c r="J45" s="7"/>
      <c r="K45" s="158"/>
    </row>
    <row r="46" spans="1:11" ht="18" customHeight="1">
      <c r="A46" s="6"/>
      <c r="B46" s="210"/>
      <c r="C46" s="210"/>
      <c r="D46" s="210"/>
      <c r="E46" s="104"/>
      <c r="F46" s="211"/>
      <c r="G46" s="212"/>
      <c r="H46" s="212"/>
      <c r="I46" s="212"/>
      <c r="J46" s="14"/>
      <c r="K46" s="158"/>
    </row>
    <row r="47" spans="1:11" ht="15.9">
      <c r="A47" s="6"/>
      <c r="B47" s="210"/>
      <c r="C47" s="210"/>
      <c r="D47" s="210"/>
      <c r="E47" s="104"/>
      <c r="F47" s="211"/>
      <c r="G47" s="212"/>
      <c r="H47" s="212"/>
      <c r="I47" s="212"/>
      <c r="J47" s="14"/>
      <c r="K47" s="158"/>
    </row>
    <row r="48" spans="1:11">
      <c r="B48" s="104"/>
      <c r="C48" s="104"/>
      <c r="D48" s="104"/>
      <c r="E48" s="104"/>
      <c r="F48" s="104"/>
      <c r="G48" s="104"/>
      <c r="H48" s="104"/>
      <c r="I48" s="104"/>
    </row>
    <row r="49" spans="1:11" ht="15.9">
      <c r="A49" s="6"/>
      <c r="B49" s="210"/>
      <c r="C49" s="210"/>
      <c r="D49" s="210"/>
      <c r="E49" s="104"/>
      <c r="F49" s="211"/>
      <c r="G49" s="212"/>
      <c r="H49" s="212"/>
      <c r="I49" s="212"/>
      <c r="J49" s="14"/>
      <c r="K49" s="158"/>
    </row>
    <row r="50" spans="1:11" ht="15" customHeight="1">
      <c r="A50" s="6"/>
      <c r="B50" s="210"/>
      <c r="C50" s="210"/>
      <c r="D50" s="210"/>
      <c r="E50" s="104"/>
      <c r="F50" s="210"/>
      <c r="G50" s="213"/>
      <c r="H50" s="212"/>
      <c r="I50" s="212"/>
      <c r="J50" s="14"/>
      <c r="K50" s="158"/>
    </row>
    <row r="51" spans="1:11" ht="15" customHeight="1">
      <c r="A51" s="6"/>
      <c r="B51" s="25"/>
      <c r="C51" s="25"/>
      <c r="D51" s="25"/>
      <c r="E51" s="1"/>
      <c r="F51" s="25"/>
      <c r="G51" s="15"/>
      <c r="H51" s="7"/>
      <c r="I51" s="7"/>
      <c r="J51" s="14"/>
      <c r="K51" s="158"/>
    </row>
    <row r="52" spans="1:11" ht="24" customHeight="1">
      <c r="A52" s="6"/>
      <c r="B52" s="291" t="s">
        <v>217</v>
      </c>
      <c r="C52" s="291"/>
      <c r="D52" s="291"/>
      <c r="E52" s="291"/>
      <c r="F52" s="231"/>
      <c r="G52" s="232"/>
      <c r="H52" s="167"/>
      <c r="I52" s="167"/>
      <c r="J52" s="224"/>
      <c r="K52" s="158"/>
    </row>
    <row r="53" spans="1:11" ht="24" customHeight="1">
      <c r="A53" s="6"/>
      <c r="B53" s="292"/>
      <c r="C53" s="292"/>
      <c r="D53" s="292"/>
      <c r="E53" s="292"/>
      <c r="F53" s="195"/>
      <c r="G53" s="195"/>
      <c r="H53" s="191"/>
      <c r="I53" s="191"/>
      <c r="J53" s="191"/>
      <c r="K53" s="206"/>
    </row>
    <row r="54" spans="1:11" ht="24" customHeight="1">
      <c r="A54" s="6"/>
      <c r="B54" s="215">
        <f>'Master Input'!B154</f>
        <v>0</v>
      </c>
      <c r="C54" s="216" t="s">
        <v>208</v>
      </c>
      <c r="D54" s="102"/>
      <c r="E54" s="188"/>
      <c r="F54" s="201"/>
      <c r="G54" s="202"/>
      <c r="H54" s="279"/>
      <c r="I54" s="279"/>
      <c r="J54" s="279"/>
      <c r="K54" s="156"/>
    </row>
    <row r="55" spans="1:11" ht="24" customHeight="1">
      <c r="A55" s="6"/>
      <c r="B55" s="238">
        <f>'Master Input'!B155</f>
        <v>2</v>
      </c>
      <c r="C55" s="167" t="s">
        <v>209</v>
      </c>
      <c r="D55" s="1"/>
      <c r="E55" s="182"/>
      <c r="F55" s="201"/>
      <c r="G55" s="201"/>
      <c r="H55" s="202"/>
      <c r="I55" s="202"/>
      <c r="J55" s="202"/>
      <c r="K55" s="156"/>
    </row>
    <row r="56" spans="1:11" ht="24" customHeight="1">
      <c r="A56" s="6"/>
      <c r="B56" s="269">
        <f>'Master Input'!B156</f>
        <v>80</v>
      </c>
      <c r="C56" s="187" t="s">
        <v>291</v>
      </c>
      <c r="D56" s="102"/>
      <c r="E56" s="188"/>
      <c r="F56" s="202"/>
      <c r="G56" s="201"/>
      <c r="H56" s="202"/>
      <c r="I56" s="202"/>
      <c r="J56" s="202"/>
      <c r="K56" s="156"/>
    </row>
    <row r="57" spans="1:11" ht="24" customHeight="1">
      <c r="A57" s="6"/>
      <c r="B57" s="239">
        <f>'Master Input'!B161</f>
        <v>0.1</v>
      </c>
      <c r="C57" s="167" t="s">
        <v>223</v>
      </c>
      <c r="D57" s="1"/>
      <c r="E57" s="179"/>
      <c r="F57" s="202"/>
      <c r="G57" s="201"/>
      <c r="H57" s="202"/>
      <c r="I57" s="202"/>
      <c r="J57" s="202"/>
      <c r="K57" s="156"/>
    </row>
    <row r="58" spans="1:11" ht="24" customHeight="1">
      <c r="A58" s="6"/>
      <c r="B58" s="217">
        <f>'Master Input'!B157</f>
        <v>0.14000000000000001</v>
      </c>
      <c r="C58" s="186" t="s">
        <v>264</v>
      </c>
      <c r="D58" s="102"/>
      <c r="E58" s="188"/>
      <c r="F58" s="202"/>
      <c r="G58" s="201"/>
      <c r="H58" s="202"/>
      <c r="I58" s="202"/>
      <c r="J58" s="202"/>
      <c r="K58" s="156"/>
    </row>
    <row r="59" spans="1:11" ht="24" customHeight="1">
      <c r="A59" s="6"/>
      <c r="B59" s="227">
        <f>'Master Input'!B158</f>
        <v>1</v>
      </c>
      <c r="C59" s="167" t="s">
        <v>218</v>
      </c>
      <c r="D59" s="1"/>
      <c r="E59" s="1"/>
      <c r="F59" s="1"/>
      <c r="G59" s="1"/>
      <c r="H59" s="202"/>
      <c r="I59" s="202"/>
      <c r="J59" s="202"/>
      <c r="K59" s="156"/>
    </row>
    <row r="60" spans="1:11" ht="15" customHeight="1">
      <c r="A60" s="6"/>
      <c r="B60" s="1"/>
      <c r="C60" s="1"/>
      <c r="D60" s="1"/>
      <c r="E60" s="1"/>
      <c r="F60" s="1"/>
      <c r="G60" s="1"/>
      <c r="H60" s="1"/>
      <c r="I60" s="202"/>
      <c r="J60" s="202"/>
      <c r="K60" s="156"/>
    </row>
    <row r="61" spans="1:11" ht="18" customHeight="1">
      <c r="F61" s="1"/>
      <c r="G61" s="1"/>
      <c r="H61" s="202"/>
      <c r="I61" s="191"/>
      <c r="J61" s="191"/>
      <c r="K61" s="156"/>
    </row>
    <row r="62" spans="1:11" ht="18" customHeight="1">
      <c r="F62" s="202"/>
      <c r="G62" s="201"/>
      <c r="H62" s="191"/>
      <c r="I62" s="201"/>
      <c r="J62" s="201"/>
      <c r="K62" s="156"/>
    </row>
    <row r="63" spans="1:11" ht="22.4" customHeight="1">
      <c r="C63" s="230" t="s">
        <v>266</v>
      </c>
      <c r="D63" s="218"/>
      <c r="E63" s="229"/>
      <c r="F63" s="191"/>
      <c r="G63" s="191"/>
      <c r="H63" s="201"/>
      <c r="I63" s="197"/>
      <c r="J63" s="192"/>
      <c r="K63" s="156"/>
    </row>
    <row r="64" spans="1:11" ht="21.45" customHeight="1">
      <c r="C64" s="186" t="s">
        <v>219</v>
      </c>
      <c r="D64" s="219">
        <v>0.24</v>
      </c>
      <c r="E64" s="225"/>
      <c r="F64" s="201"/>
      <c r="G64" s="201"/>
      <c r="H64" s="197"/>
      <c r="I64" s="197"/>
      <c r="J64" s="192"/>
      <c r="K64" s="156"/>
    </row>
    <row r="65" spans="1:11" ht="24" customHeight="1">
      <c r="C65" s="179" t="s">
        <v>220</v>
      </c>
      <c r="D65" s="203">
        <v>0.56000000000000005</v>
      </c>
      <c r="E65" s="225"/>
      <c r="F65" s="228"/>
      <c r="G65" s="228"/>
      <c r="H65" s="197"/>
      <c r="I65" s="226"/>
      <c r="J65" s="192"/>
      <c r="K65" s="156"/>
    </row>
    <row r="66" spans="1:11" ht="24" customHeight="1">
      <c r="C66" s="188" t="s">
        <v>221</v>
      </c>
      <c r="D66" s="220">
        <v>0.17</v>
      </c>
      <c r="E66" s="225"/>
      <c r="F66" s="169"/>
      <c r="G66" s="169"/>
      <c r="H66" s="226"/>
      <c r="I66" s="167"/>
      <c r="J66" s="192"/>
      <c r="K66" s="158"/>
    </row>
    <row r="67" spans="1:11" ht="24" customHeight="1">
      <c r="C67" s="179" t="s">
        <v>222</v>
      </c>
      <c r="D67" s="203">
        <v>0.03</v>
      </c>
      <c r="E67" s="225"/>
      <c r="F67" s="228"/>
      <c r="G67" s="226"/>
      <c r="H67" s="167"/>
      <c r="I67" s="167"/>
      <c r="J67" s="192"/>
      <c r="K67" s="161"/>
    </row>
    <row r="68" spans="1:11" ht="24" customHeight="1">
      <c r="F68" s="167"/>
      <c r="G68" s="167"/>
      <c r="H68" s="167"/>
      <c r="I68" s="167"/>
      <c r="J68" s="192"/>
      <c r="K68" s="161"/>
    </row>
    <row r="69" spans="1:11" ht="24" customHeight="1">
      <c r="F69" s="167"/>
      <c r="G69" s="167"/>
      <c r="H69" s="167"/>
      <c r="I69" s="167"/>
      <c r="J69" s="192"/>
      <c r="K69" s="161"/>
    </row>
    <row r="70" spans="1:11" ht="24" customHeight="1">
      <c r="A70" s="6"/>
      <c r="B70" s="293" t="s">
        <v>204</v>
      </c>
      <c r="C70" s="293"/>
      <c r="D70" s="293"/>
      <c r="E70" s="293"/>
      <c r="F70" s="226"/>
      <c r="G70" s="226"/>
      <c r="H70" s="226"/>
      <c r="I70" s="167"/>
      <c r="J70" s="167"/>
      <c r="K70" s="156"/>
    </row>
    <row r="71" spans="1:11" ht="22" customHeight="1">
      <c r="A71" s="6"/>
      <c r="B71" s="293"/>
      <c r="C71" s="293"/>
      <c r="D71" s="293"/>
      <c r="E71" s="293"/>
      <c r="F71" s="226"/>
      <c r="G71" s="226"/>
      <c r="H71" s="226"/>
      <c r="I71" s="222"/>
      <c r="J71" s="222"/>
    </row>
    <row r="72" spans="1:11" ht="11.15" customHeight="1">
      <c r="A72" s="6"/>
      <c r="B72" s="293"/>
      <c r="C72" s="293"/>
      <c r="D72" s="293"/>
      <c r="E72" s="293"/>
      <c r="F72" s="226"/>
      <c r="G72" s="226"/>
      <c r="H72" s="226"/>
      <c r="I72" s="222"/>
      <c r="J72" s="222"/>
    </row>
    <row r="73" spans="1:11" ht="33" customHeight="1">
      <c r="A73" s="6"/>
      <c r="B73" s="294"/>
      <c r="C73" s="294"/>
      <c r="D73" s="294"/>
      <c r="E73" s="294"/>
      <c r="F73" s="226"/>
      <c r="G73" s="222"/>
      <c r="H73" s="222"/>
      <c r="I73" s="222"/>
      <c r="J73" s="222"/>
    </row>
    <row r="74" spans="1:11" ht="26.15" customHeight="1">
      <c r="A74" s="6"/>
      <c r="B74" s="241">
        <f>'Master Input'!B163</f>
        <v>171750</v>
      </c>
      <c r="C74" s="242" t="s">
        <v>206</v>
      </c>
      <c r="D74" s="243"/>
      <c r="E74" s="244"/>
      <c r="F74" s="189"/>
      <c r="G74" s="222"/>
      <c r="H74" s="222"/>
      <c r="I74" s="222"/>
      <c r="J74" s="222"/>
    </row>
    <row r="75" spans="1:11" ht="24" customHeight="1">
      <c r="A75" s="6"/>
      <c r="B75" s="245">
        <f>'Master Input'!B164</f>
        <v>51525</v>
      </c>
      <c r="C75" s="176" t="s">
        <v>205</v>
      </c>
      <c r="D75" s="246"/>
      <c r="E75" s="247"/>
      <c r="F75" s="226"/>
      <c r="G75" s="222"/>
      <c r="H75" s="222"/>
      <c r="I75" s="222"/>
      <c r="J75" s="222"/>
    </row>
    <row r="76" spans="1:11" ht="24" customHeight="1">
      <c r="A76" s="6"/>
      <c r="B76" s="248">
        <f>'Master Input'!B165</f>
        <v>120225</v>
      </c>
      <c r="C76" s="242" t="s">
        <v>207</v>
      </c>
      <c r="D76" s="243"/>
      <c r="E76" s="244"/>
      <c r="F76" s="189"/>
      <c r="G76" s="222"/>
      <c r="H76" s="222"/>
      <c r="I76" s="222"/>
      <c r="J76" s="222"/>
    </row>
    <row r="77" spans="1:11" ht="24" customHeight="1">
      <c r="A77" s="6"/>
      <c r="B77" s="249">
        <f>'Master Input'!B167</f>
        <v>5.9229854730477918</v>
      </c>
      <c r="C77" s="250" t="s">
        <v>254</v>
      </c>
      <c r="D77" s="246"/>
      <c r="E77" s="251"/>
      <c r="F77" s="226"/>
      <c r="G77" s="222"/>
      <c r="H77" s="222"/>
      <c r="I77" s="222"/>
      <c r="J77" s="222"/>
    </row>
    <row r="78" spans="1:11" ht="24" customHeight="1">
      <c r="A78" s="6"/>
      <c r="B78" s="252">
        <f>'Master Input'!B160</f>
        <v>2500</v>
      </c>
      <c r="C78" s="253" t="s">
        <v>215</v>
      </c>
      <c r="D78" s="243"/>
      <c r="E78" s="254"/>
      <c r="F78" s="189"/>
      <c r="G78" s="222"/>
      <c r="H78" s="222"/>
      <c r="I78" s="222"/>
      <c r="J78" s="222"/>
    </row>
    <row r="79" spans="1:11" ht="15" customHeight="1">
      <c r="A79" s="6"/>
      <c r="B79" s="255">
        <f>'Master Input'!G154</f>
        <v>14533.333333333336</v>
      </c>
      <c r="C79" s="250" t="s">
        <v>216</v>
      </c>
      <c r="D79" s="246"/>
      <c r="E79" s="251"/>
      <c r="J79" s="222"/>
    </row>
    <row r="80" spans="1:11" ht="24" customHeight="1">
      <c r="A80" s="6"/>
      <c r="B80" s="252">
        <f>'Master Input'!O155</f>
        <v>101490.20333333335</v>
      </c>
      <c r="C80" s="253" t="s">
        <v>257</v>
      </c>
      <c r="D80" s="243"/>
      <c r="E80" s="254"/>
      <c r="F80" s="102"/>
      <c r="J80" s="222"/>
    </row>
    <row r="81" spans="1:11" ht="24" customHeight="1">
      <c r="A81" s="6"/>
      <c r="B81" s="245">
        <f>'Master Input'!B168</f>
        <v>24045</v>
      </c>
      <c r="C81" s="256" t="s">
        <v>258</v>
      </c>
      <c r="D81" s="246"/>
      <c r="E81" s="257"/>
      <c r="J81" s="222"/>
    </row>
    <row r="82" spans="1:11" ht="24" customHeight="1">
      <c r="A82" s="6"/>
      <c r="B82" s="258">
        <f>'Master Input'!B169</f>
        <v>34350</v>
      </c>
      <c r="C82" s="259" t="s">
        <v>81</v>
      </c>
      <c r="D82" s="243"/>
      <c r="E82" s="260"/>
      <c r="F82" s="102"/>
      <c r="J82" s="222"/>
    </row>
    <row r="83" spans="1:11" ht="24" customHeight="1">
      <c r="A83" s="6"/>
      <c r="B83" s="249">
        <f>'Master Input'!B170</f>
        <v>57.93650793650793</v>
      </c>
      <c r="C83" s="295" t="s">
        <v>263</v>
      </c>
      <c r="D83" s="295"/>
      <c r="E83" s="295"/>
      <c r="J83" s="222"/>
      <c r="K83" s="156"/>
    </row>
    <row r="84" spans="1:11" ht="17.600000000000001">
      <c r="A84" s="6"/>
      <c r="B84" s="251"/>
      <c r="C84" s="295"/>
      <c r="D84" s="295"/>
      <c r="E84" s="295"/>
      <c r="F84" s="162"/>
      <c r="G84" s="162"/>
      <c r="H84" s="162"/>
      <c r="I84" s="162"/>
      <c r="J84" s="166"/>
      <c r="K84" s="156"/>
    </row>
    <row r="85" spans="1:11" ht="15.45">
      <c r="A85" s="6"/>
      <c r="B85" s="162"/>
      <c r="C85" s="164"/>
      <c r="D85" s="164"/>
      <c r="E85" s="297"/>
      <c r="F85" s="297"/>
      <c r="G85" s="162"/>
      <c r="H85" s="162"/>
      <c r="I85" s="162"/>
      <c r="J85" s="166"/>
      <c r="K85" s="156"/>
    </row>
    <row r="86" spans="1:11" ht="15.45">
      <c r="A86" s="6"/>
      <c r="B86" s="162"/>
      <c r="C86" s="164"/>
      <c r="D86" s="164"/>
      <c r="E86" s="165"/>
      <c r="F86" s="162"/>
      <c r="G86" s="162"/>
      <c r="H86" s="162"/>
      <c r="I86" s="162"/>
      <c r="J86" s="166"/>
      <c r="K86" s="156"/>
    </row>
    <row r="87" spans="1:11" ht="171" customHeight="1">
      <c r="A87" s="6"/>
      <c r="B87" s="167"/>
      <c r="C87" s="167"/>
      <c r="D87" s="167"/>
      <c r="E87" s="167"/>
      <c r="F87" s="167"/>
      <c r="G87" s="222"/>
      <c r="H87" s="222"/>
      <c r="I87" s="222"/>
      <c r="J87" s="166"/>
      <c r="K87" s="156"/>
    </row>
    <row r="88" spans="1:11" ht="19.399999999999999" customHeight="1">
      <c r="A88" s="6"/>
      <c r="B88" s="296" t="s">
        <v>289</v>
      </c>
      <c r="C88" s="296"/>
      <c r="D88" s="296"/>
      <c r="E88" s="296"/>
      <c r="F88" s="296"/>
      <c r="G88" s="296"/>
      <c r="H88" s="296"/>
      <c r="I88" s="296"/>
      <c r="J88" s="296"/>
      <c r="K88" s="156"/>
    </row>
    <row r="89" spans="1:11" ht="8.6999999999999993" customHeight="1">
      <c r="A89" s="6"/>
      <c r="B89" s="104"/>
      <c r="C89" s="104"/>
      <c r="D89" s="104"/>
      <c r="E89" s="104"/>
      <c r="F89" s="104"/>
      <c r="G89" s="104"/>
      <c r="H89" s="104"/>
      <c r="I89" s="104"/>
      <c r="J89" s="221"/>
      <c r="K89" s="156"/>
    </row>
    <row r="90" spans="1:11" s="31" customFormat="1" ht="20.149999999999999">
      <c r="A90" s="261"/>
      <c r="B90" s="280" t="s">
        <v>279</v>
      </c>
      <c r="C90" s="281"/>
      <c r="D90" s="281"/>
      <c r="E90" s="281"/>
      <c r="F90" s="281"/>
      <c r="G90" s="281"/>
      <c r="H90" s="281"/>
      <c r="I90" s="281"/>
      <c r="J90" s="262"/>
      <c r="K90" s="240"/>
    </row>
    <row r="91" spans="1:11" ht="17.600000000000001">
      <c r="A91" s="6"/>
      <c r="C91" s="214"/>
      <c r="D91" s="214"/>
      <c r="H91" s="190"/>
      <c r="I91" s="190"/>
      <c r="J91" s="166"/>
      <c r="K91" s="156"/>
    </row>
    <row r="92" spans="1:11">
      <c r="A92" s="6"/>
      <c r="B92" s="162"/>
      <c r="C92" s="162"/>
      <c r="D92" s="162"/>
      <c r="E92" s="162"/>
      <c r="F92" s="162"/>
      <c r="G92" s="162"/>
      <c r="H92" s="162"/>
      <c r="I92" s="162"/>
      <c r="J92" s="166"/>
      <c r="K92" s="156"/>
    </row>
    <row r="93" spans="1:11">
      <c r="A93" s="6"/>
      <c r="B93" s="162"/>
      <c r="C93" s="162"/>
      <c r="D93" s="162"/>
      <c r="E93" s="162"/>
      <c r="F93" s="162"/>
      <c r="G93" s="162"/>
      <c r="H93" s="162"/>
      <c r="I93" s="162"/>
      <c r="J93" s="166"/>
      <c r="K93" s="156"/>
    </row>
    <row r="94" spans="1:11">
      <c r="A94" s="6"/>
      <c r="B94" s="163"/>
      <c r="C94" s="163"/>
      <c r="D94" s="163"/>
      <c r="E94" s="163"/>
      <c r="F94" s="163"/>
      <c r="G94" s="163"/>
      <c r="H94" s="163"/>
      <c r="I94" s="163"/>
      <c r="J94" s="192"/>
    </row>
    <row r="95" spans="1:11">
      <c r="B95" s="163"/>
      <c r="C95" s="163"/>
      <c r="D95" s="163"/>
      <c r="E95" s="163"/>
      <c r="F95" s="163"/>
      <c r="G95" s="163"/>
      <c r="H95" s="163"/>
      <c r="I95" s="163"/>
      <c r="J95" s="192"/>
    </row>
    <row r="96" spans="1:11">
      <c r="B96" s="163"/>
      <c r="C96" s="163"/>
      <c r="D96" s="163"/>
      <c r="E96" s="163"/>
      <c r="F96" s="163"/>
      <c r="G96" s="163"/>
      <c r="H96" s="163"/>
      <c r="I96" s="163"/>
      <c r="J96" s="192"/>
    </row>
    <row r="97" spans="2:10" ht="20.149999999999999">
      <c r="B97" s="163"/>
      <c r="C97" s="163"/>
      <c r="D97" s="163"/>
      <c r="E97" s="209"/>
      <c r="F97" s="163"/>
      <c r="G97" s="163"/>
      <c r="H97" s="163"/>
      <c r="I97" s="163"/>
      <c r="J97" s="192"/>
    </row>
    <row r="98" spans="2:10">
      <c r="B98" s="163"/>
      <c r="C98" s="163"/>
      <c r="D98" s="163"/>
      <c r="E98" s="163"/>
      <c r="F98" s="163"/>
      <c r="G98" s="163"/>
      <c r="H98" s="163"/>
      <c r="I98" s="163"/>
      <c r="J98" s="192"/>
    </row>
    <row r="99" spans="2:10">
      <c r="B99" s="163"/>
      <c r="C99" s="163"/>
      <c r="D99" s="163"/>
      <c r="E99" s="163"/>
      <c r="F99" s="163"/>
      <c r="G99" s="163"/>
      <c r="H99" s="163"/>
      <c r="I99" s="163"/>
      <c r="J99" s="192"/>
    </row>
    <row r="100" spans="2:10">
      <c r="B100" s="163"/>
      <c r="C100" s="163"/>
      <c r="D100" s="163"/>
      <c r="E100" s="163"/>
      <c r="F100" s="163"/>
      <c r="G100" s="163"/>
      <c r="H100" s="163"/>
      <c r="I100" s="163"/>
      <c r="J100" s="192"/>
    </row>
    <row r="101" spans="2:10">
      <c r="B101" s="163"/>
      <c r="C101" s="163"/>
      <c r="D101" s="163"/>
      <c r="E101" s="163"/>
      <c r="F101" s="163"/>
      <c r="G101" s="163"/>
      <c r="H101" s="163"/>
      <c r="I101" s="163"/>
      <c r="J101" s="192"/>
    </row>
    <row r="102" spans="2:10" ht="15.45">
      <c r="B102" s="163"/>
      <c r="C102" s="163"/>
      <c r="D102" s="163"/>
      <c r="E102" s="278"/>
      <c r="F102" s="278"/>
      <c r="G102" s="163"/>
      <c r="H102" s="163"/>
      <c r="I102" s="163"/>
      <c r="J102" s="192"/>
    </row>
    <row r="103" spans="2:10">
      <c r="B103" s="163"/>
      <c r="C103" s="163"/>
      <c r="D103" s="163"/>
      <c r="E103" s="163"/>
      <c r="F103" s="163"/>
      <c r="G103" s="163"/>
      <c r="H103" s="163"/>
      <c r="I103" s="163"/>
      <c r="J103" s="192"/>
    </row>
    <row r="104" spans="2:10">
      <c r="B104" s="163"/>
      <c r="C104" s="163"/>
      <c r="D104" s="163"/>
      <c r="E104" s="163"/>
      <c r="F104" s="163"/>
      <c r="G104" s="163"/>
      <c r="H104" s="163"/>
      <c r="I104" s="163"/>
      <c r="J104" s="192"/>
    </row>
    <row r="105" spans="2:10">
      <c r="B105" s="163"/>
      <c r="C105" s="163"/>
      <c r="D105" s="163"/>
      <c r="E105" s="163"/>
      <c r="F105" s="163"/>
      <c r="G105" s="163"/>
      <c r="H105" s="163"/>
      <c r="I105" s="163"/>
      <c r="J105" s="192"/>
    </row>
    <row r="106" spans="2:10">
      <c r="B106" s="163"/>
      <c r="C106" s="163"/>
      <c r="D106" s="163"/>
      <c r="E106" s="163"/>
      <c r="F106" s="163"/>
      <c r="G106" s="163"/>
      <c r="H106" s="163"/>
      <c r="I106" s="163"/>
      <c r="J106" s="192"/>
    </row>
    <row r="107" spans="2:10">
      <c r="B107" s="163"/>
      <c r="C107" s="163"/>
      <c r="D107" s="163"/>
      <c r="E107" s="163"/>
      <c r="F107" s="163"/>
      <c r="G107" s="163"/>
      <c r="H107" s="163"/>
      <c r="I107" s="163"/>
      <c r="J107" s="192"/>
    </row>
    <row r="108" spans="2:10">
      <c r="B108" s="163"/>
      <c r="C108" s="163"/>
      <c r="D108" s="163"/>
      <c r="E108" s="163"/>
      <c r="F108" s="163"/>
      <c r="G108" s="163"/>
      <c r="H108" s="163"/>
      <c r="I108" s="163"/>
      <c r="J108" s="192"/>
    </row>
    <row r="109" spans="2:10">
      <c r="B109" s="163"/>
      <c r="C109" s="163"/>
      <c r="D109" s="163"/>
      <c r="E109" s="163"/>
      <c r="F109" s="163"/>
      <c r="G109" s="163"/>
      <c r="H109" s="163"/>
      <c r="I109" s="163"/>
      <c r="J109" s="192"/>
    </row>
    <row r="110" spans="2:10">
      <c r="B110" s="163"/>
      <c r="C110" s="163"/>
      <c r="D110" s="163"/>
      <c r="E110" s="163"/>
      <c r="F110" s="163"/>
      <c r="G110" s="163"/>
      <c r="H110" s="163"/>
      <c r="I110" s="163"/>
      <c r="J110" s="192"/>
    </row>
    <row r="111" spans="2:10">
      <c r="B111" s="163"/>
      <c r="C111" s="163"/>
      <c r="D111" s="163"/>
      <c r="E111" s="163"/>
      <c r="F111" s="163"/>
      <c r="G111" s="163"/>
      <c r="H111" s="163"/>
      <c r="I111" s="163"/>
      <c r="J111" s="192"/>
    </row>
    <row r="112" spans="2:10">
      <c r="B112" s="163"/>
      <c r="C112" s="163"/>
      <c r="D112" s="163"/>
      <c r="E112" s="163"/>
      <c r="F112" s="163"/>
      <c r="G112" s="163"/>
      <c r="H112" s="163"/>
      <c r="I112" s="163"/>
      <c r="J112" s="192"/>
    </row>
    <row r="113" spans="2:10">
      <c r="B113" s="163"/>
      <c r="C113" s="163"/>
      <c r="D113" s="163"/>
      <c r="E113" s="163"/>
      <c r="F113" s="163"/>
      <c r="G113" s="163"/>
      <c r="H113" s="163"/>
      <c r="I113" s="163"/>
      <c r="J113" s="192"/>
    </row>
    <row r="114" spans="2:10">
      <c r="B114" s="163"/>
      <c r="C114" s="163"/>
      <c r="D114" s="163"/>
      <c r="E114" s="163"/>
      <c r="F114" s="163"/>
      <c r="G114" s="163"/>
      <c r="H114" s="163"/>
      <c r="I114" s="163"/>
      <c r="J114" s="192"/>
    </row>
    <row r="129" spans="2:11" ht="18.45">
      <c r="D129" s="207"/>
      <c r="E129" s="208"/>
      <c r="F129" s="207"/>
    </row>
    <row r="137" spans="2:11">
      <c r="B137" s="1"/>
      <c r="C137" s="1"/>
      <c r="D137" s="1"/>
      <c r="E137" s="1"/>
      <c r="F137" s="1"/>
      <c r="G137" s="1"/>
      <c r="H137" s="1"/>
      <c r="I137" s="1"/>
      <c r="K137" s="1"/>
    </row>
    <row r="138" spans="2:11">
      <c r="B138" s="1"/>
      <c r="C138" s="1"/>
      <c r="D138" s="1"/>
      <c r="E138" s="1"/>
      <c r="F138" s="1"/>
      <c r="G138" s="1"/>
      <c r="H138" s="1"/>
      <c r="I138" s="1"/>
      <c r="K138" s="1"/>
    </row>
    <row r="139" spans="2:11" s="1" customFormat="1"/>
    <row r="140" spans="2:11">
      <c r="B140" s="1"/>
      <c r="C140" s="1"/>
      <c r="D140" s="1"/>
      <c r="E140" s="1"/>
      <c r="F140" s="1"/>
      <c r="G140" s="1"/>
      <c r="H140" s="1"/>
      <c r="I140" s="1"/>
      <c r="K140" s="1"/>
    </row>
    <row r="151" spans="1:10" s="59" customFormat="1">
      <c r="A151" s="1"/>
      <c r="J151" s="1"/>
    </row>
    <row r="153" spans="1:10">
      <c r="A153" s="1" t="s">
        <v>224</v>
      </c>
      <c r="C153" t="s">
        <v>232</v>
      </c>
      <c r="D153" t="s">
        <v>231</v>
      </c>
      <c r="E153" t="s">
        <v>233</v>
      </c>
    </row>
    <row r="154" spans="1:10">
      <c r="B154">
        <v>2</v>
      </c>
    </row>
    <row r="155" spans="1:10">
      <c r="A155" s="1" t="s">
        <v>225</v>
      </c>
      <c r="B155">
        <v>1</v>
      </c>
      <c r="C155">
        <v>62.5</v>
      </c>
      <c r="D155">
        <f>B155*C155*24*B156</f>
        <v>1500</v>
      </c>
      <c r="E155" s="63">
        <f>B157*B158*D155</f>
        <v>127.50000000000001</v>
      </c>
    </row>
    <row r="156" spans="1:10">
      <c r="A156" s="1" t="s">
        <v>226</v>
      </c>
      <c r="B156" s="61">
        <v>1</v>
      </c>
    </row>
    <row r="157" spans="1:10">
      <c r="A157" s="1" t="s">
        <v>227</v>
      </c>
      <c r="B157">
        <v>0.17</v>
      </c>
    </row>
    <row r="158" spans="1:10">
      <c r="A158" s="1" t="s">
        <v>228</v>
      </c>
      <c r="B158" s="61">
        <v>0.5</v>
      </c>
    </row>
    <row r="159" spans="1:10">
      <c r="A159" s="1" t="s">
        <v>229</v>
      </c>
      <c r="B159" s="61">
        <v>0.04</v>
      </c>
    </row>
    <row r="160" spans="1:10">
      <c r="A160" s="1" t="s">
        <v>230</v>
      </c>
    </row>
  </sheetData>
  <sheetProtection selectLockedCells="1"/>
  <mergeCells count="9">
    <mergeCell ref="E102:F102"/>
    <mergeCell ref="H54:J54"/>
    <mergeCell ref="B90:I90"/>
    <mergeCell ref="B35:I44"/>
    <mergeCell ref="B52:E53"/>
    <mergeCell ref="B70:E73"/>
    <mergeCell ref="C83:E84"/>
    <mergeCell ref="B88:J88"/>
    <mergeCell ref="E85:F85"/>
  </mergeCells>
  <hyperlinks>
    <hyperlink ref="B90" r:id="rId1" xr:uid="{70881433-5615-411E-A030-99888335023A}"/>
  </hyperlinks>
  <pageMargins left="0.25" right="0.25" top="0.75" bottom="0.75" header="0.3" footer="0.3"/>
  <pageSetup fitToHeight="6"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C1E60-C054-4249-97BE-E484FDA21D1A}">
  <dimension ref="A1:G159"/>
  <sheetViews>
    <sheetView workbookViewId="0">
      <selection activeCell="E30" sqref="E30"/>
    </sheetView>
  </sheetViews>
  <sheetFormatPr defaultColWidth="8.84375" defaultRowHeight="18.45"/>
  <cols>
    <col min="1" max="1" width="8.84375" style="41"/>
    <col min="2" max="2" width="24.3046875" style="41" customWidth="1"/>
    <col min="3" max="3" width="39.15234375" style="41" customWidth="1"/>
    <col min="4" max="4" width="13" style="41" customWidth="1"/>
    <col min="5" max="5" width="11" style="41" bestFit="1" customWidth="1"/>
    <col min="6" max="6" width="8.84375" style="41"/>
    <col min="7" max="7" width="16" style="41" customWidth="1"/>
    <col min="8" max="16384" width="8.84375" style="41"/>
  </cols>
  <sheetData>
    <row r="1" spans="2:7" ht="13.75" customHeight="1"/>
    <row r="2" spans="2:7" ht="13.75" customHeight="1">
      <c r="B2" s="275" t="s">
        <v>179</v>
      </c>
      <c r="C2" s="276"/>
    </row>
    <row r="4" spans="2:7">
      <c r="B4" s="41" t="s">
        <v>3</v>
      </c>
      <c r="C4" s="49" t="s">
        <v>201</v>
      </c>
      <c r="D4" s="41" t="s">
        <v>188</v>
      </c>
      <c r="G4" s="41" t="s">
        <v>189</v>
      </c>
    </row>
    <row r="5" spans="2:7">
      <c r="B5" s="41" t="s">
        <v>4</v>
      </c>
      <c r="C5" s="49" t="s">
        <v>198</v>
      </c>
      <c r="D5" s="44">
        <f>(C11*C13)/1000</f>
        <v>6.0750000000000002</v>
      </c>
      <c r="E5" s="44" t="s">
        <v>194</v>
      </c>
      <c r="G5" s="45">
        <f>(C12*D5*1000)+C18+C19</f>
        <v>20776.5</v>
      </c>
    </row>
    <row r="6" spans="2:7">
      <c r="B6" s="41" t="s">
        <v>7</v>
      </c>
      <c r="C6" s="49" t="s">
        <v>171</v>
      </c>
    </row>
    <row r="7" spans="2:7">
      <c r="B7" s="41" t="s">
        <v>5</v>
      </c>
      <c r="C7" s="49" t="s">
        <v>172</v>
      </c>
      <c r="D7" s="41" t="s">
        <v>195</v>
      </c>
      <c r="G7" s="41" t="s">
        <v>192</v>
      </c>
    </row>
    <row r="8" spans="2:7">
      <c r="B8" s="41" t="s">
        <v>6</v>
      </c>
      <c r="C8" s="49" t="s">
        <v>173</v>
      </c>
      <c r="D8" s="46">
        <f>'Master Input'!D5</f>
        <v>1.0009943181818182</v>
      </c>
      <c r="G8" s="47">
        <f>(G5-C19)*0.26</f>
        <v>5401.89</v>
      </c>
    </row>
    <row r="9" spans="2:7">
      <c r="B9" s="41" t="s">
        <v>186</v>
      </c>
      <c r="C9" s="50" t="s">
        <v>182</v>
      </c>
    </row>
    <row r="10" spans="2:7">
      <c r="B10" s="41" t="s">
        <v>107</v>
      </c>
      <c r="C10" s="41" t="s">
        <v>292</v>
      </c>
    </row>
    <row r="11" spans="2:7">
      <c r="B11" s="41" t="s">
        <v>175</v>
      </c>
      <c r="C11" s="49">
        <v>405</v>
      </c>
    </row>
    <row r="12" spans="2:7">
      <c r="B12" s="41" t="s">
        <v>174</v>
      </c>
      <c r="C12" s="51">
        <v>3.42</v>
      </c>
      <c r="D12" s="41" t="s">
        <v>191</v>
      </c>
      <c r="G12" s="41" t="s">
        <v>196</v>
      </c>
    </row>
    <row r="13" spans="2:7">
      <c r="B13" s="41" t="s">
        <v>0</v>
      </c>
      <c r="C13" s="49">
        <v>15</v>
      </c>
      <c r="D13" s="48">
        <f>'Master Input'!B21</f>
        <v>110.109375</v>
      </c>
      <c r="G13" s="48">
        <f>G5-G8</f>
        <v>15374.61</v>
      </c>
    </row>
    <row r="14" spans="2:7">
      <c r="B14" s="41" t="s">
        <v>176</v>
      </c>
      <c r="C14" s="49">
        <v>0.14499999999999999</v>
      </c>
      <c r="D14" s="41" t="s">
        <v>190</v>
      </c>
    </row>
    <row r="15" spans="2:7">
      <c r="B15" s="41" t="s">
        <v>70</v>
      </c>
      <c r="C15" s="49" t="s">
        <v>97</v>
      </c>
      <c r="D15" s="44">
        <f>'Master Input'!B20</f>
        <v>9112.5</v>
      </c>
      <c r="E15" s="41" t="s">
        <v>197</v>
      </c>
    </row>
    <row r="16" spans="2:7">
      <c r="B16" s="41" t="s">
        <v>47</v>
      </c>
      <c r="C16" s="51">
        <v>110</v>
      </c>
      <c r="D16" s="43"/>
      <c r="E16" s="43"/>
      <c r="F16" s="43"/>
      <c r="G16" s="43"/>
    </row>
    <row r="17" spans="2:3">
      <c r="B17" s="41" t="s">
        <v>202</v>
      </c>
      <c r="C17" s="49">
        <v>1300</v>
      </c>
    </row>
    <row r="18" spans="2:3">
      <c r="B18" s="41" t="s">
        <v>177</v>
      </c>
      <c r="C18" s="51"/>
    </row>
    <row r="19" spans="2:3">
      <c r="B19" s="41" t="s">
        <v>178</v>
      </c>
      <c r="C19" s="51">
        <v>0</v>
      </c>
    </row>
    <row r="41" spans="2:4">
      <c r="B41" s="41" t="s">
        <v>76</v>
      </c>
      <c r="D41" s="41" t="s">
        <v>180</v>
      </c>
    </row>
    <row r="42" spans="2:4">
      <c r="B42" s="41" t="s">
        <v>101</v>
      </c>
      <c r="D42" s="41" t="s">
        <v>181</v>
      </c>
    </row>
    <row r="43" spans="2:4">
      <c r="B43" s="41" t="s">
        <v>168</v>
      </c>
      <c r="D43" s="41" t="s">
        <v>182</v>
      </c>
    </row>
    <row r="44" spans="2:4">
      <c r="B44" s="41" t="s">
        <v>102</v>
      </c>
      <c r="D44" s="41" t="s">
        <v>183</v>
      </c>
    </row>
    <row r="45" spans="2:4">
      <c r="B45" s="41" t="s">
        <v>169</v>
      </c>
      <c r="D45" s="41" t="s">
        <v>184</v>
      </c>
    </row>
    <row r="46" spans="2:4">
      <c r="B46" s="41" t="s">
        <v>103</v>
      </c>
      <c r="D46" s="41" t="s">
        <v>185</v>
      </c>
    </row>
    <row r="47" spans="2:4">
      <c r="B47" s="42" t="s">
        <v>167</v>
      </c>
    </row>
    <row r="48" spans="2:4">
      <c r="B48" s="41" t="s">
        <v>104</v>
      </c>
    </row>
    <row r="49" spans="2:6">
      <c r="B49" s="41" t="s">
        <v>106</v>
      </c>
    </row>
    <row r="50" spans="2:6">
      <c r="B50" s="42" t="s">
        <v>166</v>
      </c>
    </row>
    <row r="51" spans="2:6">
      <c r="B51" s="42" t="s">
        <v>170</v>
      </c>
    </row>
    <row r="55" spans="2:6">
      <c r="D55" s="277" t="s">
        <v>223</v>
      </c>
      <c r="E55" s="277"/>
      <c r="F55" s="277"/>
    </row>
    <row r="74" spans="2:3">
      <c r="C74" s="54">
        <v>0.24</v>
      </c>
    </row>
    <row r="75" spans="2:3">
      <c r="B75" s="41" t="s">
        <v>220</v>
      </c>
      <c r="C75" s="54">
        <v>0.56000000000000005</v>
      </c>
    </row>
    <row r="76" spans="2:3">
      <c r="B76" s="41" t="s">
        <v>221</v>
      </c>
      <c r="C76" s="54">
        <v>0.17</v>
      </c>
    </row>
    <row r="77" spans="2:3">
      <c r="B77" s="41" t="s">
        <v>222</v>
      </c>
      <c r="C77" s="54">
        <v>0.03</v>
      </c>
    </row>
    <row r="151" spans="1:5" s="60" customFormat="1"/>
    <row r="152" spans="1:5">
      <c r="A152" s="41" t="s">
        <v>224</v>
      </c>
    </row>
    <row r="153" spans="1:5">
      <c r="C153" s="41" t="s">
        <v>232</v>
      </c>
      <c r="D153" s="41" t="s">
        <v>231</v>
      </c>
      <c r="E153" s="41" t="s">
        <v>233</v>
      </c>
    </row>
    <row r="154" spans="1:5">
      <c r="A154" s="41" t="s">
        <v>225</v>
      </c>
      <c r="B154" s="41">
        <v>2</v>
      </c>
    </row>
    <row r="155" spans="1:5">
      <c r="A155" s="41" t="s">
        <v>226</v>
      </c>
      <c r="B155" s="41">
        <v>1</v>
      </c>
      <c r="C155" s="41">
        <v>62.5</v>
      </c>
      <c r="D155" s="41">
        <f>B155*C155*24*B156</f>
        <v>1500</v>
      </c>
      <c r="E155" s="64">
        <f>B157*B158*D155</f>
        <v>127.50000000000001</v>
      </c>
    </row>
    <row r="156" spans="1:5">
      <c r="A156" s="41" t="s">
        <v>227</v>
      </c>
      <c r="B156" s="62">
        <v>1</v>
      </c>
    </row>
    <row r="157" spans="1:5">
      <c r="A157" s="41" t="s">
        <v>228</v>
      </c>
      <c r="B157" s="41">
        <v>0.17</v>
      </c>
    </row>
    <row r="158" spans="1:5">
      <c r="A158" s="41" t="s">
        <v>229</v>
      </c>
      <c r="B158" s="62">
        <v>0.5</v>
      </c>
    </row>
    <row r="159" spans="1:5">
      <c r="A159" s="41" t="s">
        <v>230</v>
      </c>
      <c r="B159" s="62">
        <v>0.04</v>
      </c>
    </row>
  </sheetData>
  <sheetProtection selectLockedCells="1"/>
  <mergeCells count="2">
    <mergeCell ref="B2:C2"/>
    <mergeCell ref="D55:F55"/>
  </mergeCells>
  <dataValidations count="3">
    <dataValidation type="list" allowBlank="1" showInputMessage="1" showErrorMessage="1" sqref="B41:B44" xr:uid="{FDFF531B-3AE7-4EB8-A1D8-B3D42BB4B431}">
      <formula1>B41:B51</formula1>
    </dataValidation>
    <dataValidation type="list" allowBlank="1" showInputMessage="1" showErrorMessage="1" sqref="B45:B51" xr:uid="{766760C8-0BBE-4BD4-8A41-3BFC52EC6AD9}">
      <formula1>B45:B56</formula1>
    </dataValidation>
    <dataValidation type="list" allowBlank="1" showInputMessage="1" showErrorMessage="1" sqref="C9" xr:uid="{92D516AF-C3DE-4653-BFF9-88B05A88F1C3}">
      <formula1>D41:D46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6FB2-E7E3-4A26-BA9A-220D8912E717}">
  <sheetPr>
    <pageSetUpPr fitToPage="1"/>
  </sheetPr>
  <dimension ref="A1:AM225"/>
  <sheetViews>
    <sheetView tabSelected="1" topLeftCell="A196" zoomScale="94" zoomScaleNormal="94" workbookViewId="0">
      <selection activeCell="I216" sqref="I216"/>
    </sheetView>
  </sheetViews>
  <sheetFormatPr defaultColWidth="8.84375" defaultRowHeight="14.6"/>
  <cols>
    <col min="1" max="1" width="3.84375" style="317" customWidth="1"/>
    <col min="2" max="3" width="11.84375" style="316" customWidth="1"/>
    <col min="4" max="4" width="13.61328125" style="316" customWidth="1"/>
    <col min="5" max="7" width="11.84375" style="316" customWidth="1"/>
    <col min="8" max="8" width="13.53515625" style="316" customWidth="1"/>
    <col min="9" max="9" width="11.84375" style="316" customWidth="1"/>
    <col min="10" max="10" width="3.84375" style="317" customWidth="1"/>
    <col min="11" max="16384" width="8.84375" style="316"/>
  </cols>
  <sheetData>
    <row r="1" spans="1:39" s="317" customFormat="1" ht="19" customHeight="1">
      <c r="A1" s="6"/>
      <c r="B1" s="7"/>
      <c r="C1" s="7"/>
      <c r="D1" s="7"/>
      <c r="E1" s="7"/>
      <c r="F1" s="7"/>
      <c r="G1" s="7"/>
      <c r="H1" s="7"/>
      <c r="I1" s="7"/>
      <c r="J1" s="7"/>
      <c r="K1" s="15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row>
    <row r="2" spans="1:39" s="317" customFormat="1" ht="19" customHeight="1">
      <c r="A2" s="6"/>
      <c r="B2" s="7"/>
      <c r="C2" s="7"/>
      <c r="D2" s="7"/>
      <c r="E2" s="7"/>
      <c r="F2" s="7"/>
      <c r="G2" s="7"/>
      <c r="H2" s="7"/>
      <c r="I2" s="7"/>
      <c r="J2" s="7"/>
      <c r="K2" s="15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row>
    <row r="3" spans="1:39" s="317" customFormat="1" ht="19" customHeight="1">
      <c r="A3" s="6"/>
      <c r="B3" s="7"/>
      <c r="C3" s="7"/>
      <c r="D3" s="7"/>
      <c r="E3" s="7"/>
      <c r="F3" s="7"/>
      <c r="G3" s="7"/>
      <c r="H3" s="7"/>
      <c r="I3" s="7"/>
      <c r="J3" s="7"/>
      <c r="K3" s="15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row>
    <row r="4" spans="1:39" s="317" customFormat="1" ht="19" customHeight="1">
      <c r="A4" s="6"/>
      <c r="B4" s="7"/>
      <c r="C4" s="7"/>
      <c r="D4" s="7"/>
      <c r="E4" s="7"/>
      <c r="F4" s="7"/>
      <c r="G4" s="7"/>
      <c r="H4" s="7"/>
      <c r="I4" s="7"/>
      <c r="J4" s="7"/>
      <c r="K4" s="15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row>
    <row r="5" spans="1:39" s="317" customFormat="1" ht="19" customHeight="1">
      <c r="A5" s="6"/>
      <c r="B5" s="7"/>
      <c r="C5" s="7"/>
      <c r="D5" s="7"/>
      <c r="E5" s="7"/>
      <c r="F5" s="7"/>
      <c r="G5" s="7"/>
      <c r="H5" s="7"/>
      <c r="I5" s="7"/>
      <c r="J5" s="7"/>
      <c r="K5" s="15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row>
    <row r="6" spans="1:39" s="317" customFormat="1" ht="19" customHeight="1">
      <c r="A6" s="6"/>
      <c r="B6" s="7"/>
      <c r="C6" s="7"/>
      <c r="D6" s="7"/>
      <c r="E6" s="7"/>
      <c r="F6" s="7"/>
      <c r="G6" s="7"/>
      <c r="H6" s="7"/>
      <c r="I6" s="7"/>
      <c r="J6" s="7"/>
      <c r="K6" s="15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row>
    <row r="7" spans="1:39" s="317" customFormat="1" ht="19" customHeight="1">
      <c r="A7" s="6"/>
      <c r="B7" s="7"/>
      <c r="C7" s="7"/>
      <c r="D7" s="7"/>
      <c r="E7" s="7"/>
      <c r="F7" s="7"/>
      <c r="G7" s="7"/>
      <c r="H7" s="7"/>
      <c r="I7" s="7"/>
      <c r="J7" s="7"/>
      <c r="K7" s="15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row>
    <row r="8" spans="1:39" s="317" customFormat="1" ht="19" customHeight="1">
      <c r="A8" s="6"/>
      <c r="B8" s="7"/>
      <c r="C8" s="7"/>
      <c r="D8" s="7"/>
      <c r="E8" s="7"/>
      <c r="F8" s="7"/>
      <c r="G8" s="7"/>
      <c r="H8" s="7"/>
      <c r="I8" s="7"/>
      <c r="J8" s="7"/>
      <c r="K8" s="15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row>
    <row r="9" spans="1:39" s="317" customFormat="1" ht="41.15" customHeight="1">
      <c r="A9" s="6"/>
      <c r="B9" s="7"/>
      <c r="C9" s="7"/>
      <c r="D9" s="7"/>
      <c r="E9" s="7"/>
      <c r="F9" s="7"/>
      <c r="G9" s="7"/>
      <c r="H9" s="7"/>
      <c r="I9" s="7"/>
      <c r="J9" s="7"/>
      <c r="K9" s="15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row>
    <row r="10" spans="1:39" ht="24" customHeight="1" thickBot="1">
      <c r="A10" s="6"/>
      <c r="B10" s="318" t="s">
        <v>74</v>
      </c>
      <c r="C10" s="173"/>
      <c r="D10" s="173"/>
      <c r="E10" s="298"/>
      <c r="F10" s="298"/>
      <c r="G10" s="174"/>
      <c r="H10" s="7"/>
      <c r="I10" s="7"/>
      <c r="J10" s="7"/>
      <c r="K10" s="156"/>
    </row>
    <row r="11" spans="1:39" ht="15.75" customHeight="1" thickTop="1">
      <c r="A11" s="6"/>
      <c r="B11" s="7"/>
      <c r="C11" s="7"/>
      <c r="D11" s="7"/>
      <c r="E11" s="319"/>
      <c r="F11" s="7"/>
      <c r="G11" s="7"/>
      <c r="H11" s="175"/>
      <c r="I11" s="175"/>
      <c r="J11" s="7"/>
      <c r="K11" s="156"/>
    </row>
    <row r="12" spans="1:39" ht="24" customHeight="1">
      <c r="B12" s="320" t="s">
        <v>8</v>
      </c>
      <c r="C12" s="321" t="str">
        <f>'Master Input'!B1</f>
        <v>Ty Webb</v>
      </c>
      <c r="D12" s="322"/>
      <c r="E12" s="322"/>
      <c r="F12" s="317"/>
      <c r="G12" s="323" t="s">
        <v>9</v>
      </c>
      <c r="H12" s="324"/>
      <c r="I12" s="325" t="str">
        <f>'Master Input'!B4</f>
        <v>772.678.6923</v>
      </c>
      <c r="J12" s="7"/>
      <c r="K12" s="156"/>
    </row>
    <row r="13" spans="1:39" ht="24" customHeight="1">
      <c r="B13" s="322"/>
      <c r="C13" s="322"/>
      <c r="D13" s="322"/>
      <c r="E13" s="317"/>
      <c r="F13" s="317"/>
      <c r="G13" s="324"/>
      <c r="H13" s="324"/>
      <c r="I13" s="7"/>
      <c r="J13" s="7"/>
      <c r="K13" s="156"/>
    </row>
    <row r="14" spans="1:39" ht="24" customHeight="1">
      <c r="A14" s="6"/>
      <c r="B14" s="320" t="s">
        <v>17</v>
      </c>
      <c r="C14" s="326" t="str">
        <f>'Master Input'!B2</f>
        <v>4345 Bushwood Dr</v>
      </c>
      <c r="D14" s="322"/>
      <c r="E14" s="327"/>
      <c r="F14" s="317"/>
      <c r="G14" s="323" t="s">
        <v>10</v>
      </c>
      <c r="H14" s="324"/>
      <c r="I14" s="325" t="str">
        <f>'Master Input'!B5</f>
        <v>ty@webb.com</v>
      </c>
      <c r="J14" s="7"/>
      <c r="K14" s="156"/>
    </row>
    <row r="15" spans="1:39" ht="24" customHeight="1">
      <c r="A15" s="6"/>
      <c r="B15" s="322"/>
      <c r="C15" s="326" t="str">
        <f>'Master Input'!B3</f>
        <v xml:space="preserve">Jupiter Island FL </v>
      </c>
      <c r="D15" s="322"/>
      <c r="E15" s="317"/>
      <c r="F15" s="317"/>
      <c r="G15" s="324"/>
      <c r="H15" s="324"/>
      <c r="I15" s="7"/>
      <c r="J15" s="7"/>
      <c r="K15" s="156"/>
    </row>
    <row r="16" spans="1:39" ht="15.75" customHeight="1" thickBot="1">
      <c r="A16" s="6"/>
      <c r="B16" s="322"/>
      <c r="C16" s="322"/>
      <c r="D16" s="322"/>
      <c r="E16" s="317"/>
      <c r="F16" s="317"/>
      <c r="G16" s="324"/>
      <c r="H16" s="324"/>
      <c r="I16" s="7"/>
      <c r="J16" s="7"/>
      <c r="K16" s="156"/>
    </row>
    <row r="17" spans="1:11" ht="15" customHeight="1" thickTop="1">
      <c r="A17" s="6"/>
      <c r="B17" s="328"/>
      <c r="C17" s="328"/>
      <c r="D17" s="328"/>
      <c r="E17" s="175"/>
      <c r="F17" s="183"/>
      <c r="G17" s="183"/>
      <c r="H17" s="183"/>
      <c r="I17" s="175"/>
      <c r="J17" s="7"/>
      <c r="K17" s="156"/>
    </row>
    <row r="18" spans="1:11" ht="15.9">
      <c r="A18" s="6"/>
      <c r="E18" s="156"/>
      <c r="F18" s="329"/>
      <c r="G18" s="159"/>
      <c r="H18" s="160"/>
      <c r="I18" s="157"/>
      <c r="J18" s="7"/>
      <c r="K18" s="156"/>
    </row>
    <row r="19" spans="1:11" ht="15.9">
      <c r="A19" s="6"/>
      <c r="E19" s="156"/>
      <c r="F19" s="329"/>
      <c r="G19" s="159"/>
      <c r="H19" s="160"/>
      <c r="I19" s="157"/>
      <c r="J19" s="7"/>
      <c r="K19" s="156"/>
    </row>
    <row r="20" spans="1:11" ht="15.9">
      <c r="A20" s="6"/>
      <c r="E20" s="156"/>
      <c r="F20" s="329"/>
      <c r="G20" s="159"/>
      <c r="H20" s="160"/>
      <c r="I20" s="157"/>
      <c r="J20" s="7"/>
      <c r="K20" s="156"/>
    </row>
    <row r="21" spans="1:11" ht="15.9">
      <c r="A21" s="6"/>
      <c r="E21" s="156"/>
      <c r="F21" s="329"/>
      <c r="G21" s="159"/>
      <c r="H21" s="160"/>
      <c r="I21" s="157"/>
      <c r="J21" s="7"/>
      <c r="K21" s="156"/>
    </row>
    <row r="22" spans="1:11" ht="15.9">
      <c r="A22" s="6"/>
      <c r="E22" s="156"/>
      <c r="F22" s="329"/>
      <c r="G22" s="159"/>
      <c r="H22" s="160"/>
      <c r="I22" s="157"/>
      <c r="J22" s="7"/>
      <c r="K22" s="156"/>
    </row>
    <row r="23" spans="1:11" ht="15.9">
      <c r="A23" s="6"/>
      <c r="E23" s="156"/>
      <c r="F23" s="329"/>
      <c r="G23" s="159"/>
      <c r="H23" s="160"/>
      <c r="I23" s="157"/>
      <c r="J23" s="7"/>
      <c r="K23" s="156"/>
    </row>
    <row r="24" spans="1:11" ht="15.9">
      <c r="A24" s="6"/>
      <c r="E24" s="156"/>
      <c r="F24" s="329"/>
      <c r="G24" s="159"/>
      <c r="H24" s="160"/>
      <c r="I24" s="157"/>
      <c r="J24" s="7"/>
      <c r="K24" s="156"/>
    </row>
    <row r="25" spans="1:11" ht="15.9">
      <c r="A25" s="6"/>
      <c r="E25" s="156"/>
      <c r="F25" s="329"/>
      <c r="G25" s="159"/>
      <c r="H25" s="160"/>
      <c r="I25" s="157"/>
      <c r="J25" s="7"/>
      <c r="K25" s="156"/>
    </row>
    <row r="26" spans="1:11" ht="15.9">
      <c r="A26" s="6"/>
      <c r="E26" s="156"/>
      <c r="F26" s="329"/>
      <c r="G26" s="159"/>
      <c r="H26" s="160"/>
      <c r="I26" s="157"/>
      <c r="J26" s="7"/>
      <c r="K26" s="156"/>
    </row>
    <row r="27" spans="1:11" ht="15.9">
      <c r="A27" s="6"/>
      <c r="E27" s="156"/>
      <c r="F27" s="329"/>
      <c r="G27" s="159"/>
      <c r="H27" s="160"/>
      <c r="I27" s="157"/>
      <c r="J27" s="7"/>
      <c r="K27" s="156"/>
    </row>
    <row r="28" spans="1:11" ht="15.9">
      <c r="A28" s="6"/>
      <c r="E28" s="156"/>
      <c r="F28" s="329"/>
      <c r="G28" s="159"/>
      <c r="H28" s="160"/>
      <c r="I28" s="157"/>
      <c r="J28" s="7"/>
      <c r="K28" s="156"/>
    </row>
    <row r="29" spans="1:11" ht="15.9">
      <c r="A29" s="6"/>
      <c r="E29" s="156"/>
      <c r="F29" s="329"/>
      <c r="G29" s="159"/>
      <c r="H29" s="160"/>
      <c r="I29" s="157"/>
      <c r="J29" s="7"/>
      <c r="K29" s="156"/>
    </row>
    <row r="30" spans="1:11" ht="15.9">
      <c r="A30" s="6"/>
      <c r="E30" s="156"/>
      <c r="F30" s="329"/>
      <c r="G30" s="159"/>
      <c r="H30" s="160"/>
      <c r="I30" s="157"/>
      <c r="J30" s="7"/>
      <c r="K30" s="156"/>
    </row>
    <row r="31" spans="1:11" ht="15.9">
      <c r="A31" s="6"/>
      <c r="E31" s="156"/>
      <c r="F31" s="329"/>
      <c r="G31" s="159"/>
      <c r="H31" s="160"/>
      <c r="I31" s="157"/>
      <c r="J31" s="7"/>
      <c r="K31" s="156"/>
    </row>
    <row r="32" spans="1:11" ht="15.9">
      <c r="A32" s="6"/>
      <c r="E32" s="156"/>
      <c r="F32" s="329"/>
      <c r="G32" s="159"/>
      <c r="H32" s="160"/>
      <c r="I32" s="157"/>
      <c r="J32" s="7"/>
      <c r="K32" s="156"/>
    </row>
    <row r="33" spans="1:11" ht="15.9">
      <c r="A33" s="6"/>
      <c r="E33" s="156"/>
      <c r="F33" s="329"/>
      <c r="G33" s="159"/>
      <c r="H33" s="160"/>
      <c r="I33" s="157"/>
      <c r="J33" s="7"/>
      <c r="K33" s="156"/>
    </row>
    <row r="34" spans="1:11" ht="15.9">
      <c r="A34" s="6"/>
      <c r="E34" s="156"/>
      <c r="F34" s="329"/>
      <c r="G34" s="159"/>
      <c r="H34" s="160"/>
      <c r="I34" s="157"/>
      <c r="J34" s="7"/>
      <c r="K34" s="156"/>
    </row>
    <row r="35" spans="1:11" ht="15.9">
      <c r="A35" s="6"/>
      <c r="E35" s="156"/>
      <c r="F35" s="329"/>
      <c r="G35" s="159"/>
      <c r="H35" s="160"/>
      <c r="I35" s="157"/>
      <c r="J35" s="7"/>
      <c r="K35" s="156"/>
    </row>
    <row r="36" spans="1:11" ht="15.9">
      <c r="A36" s="6"/>
      <c r="E36" s="156"/>
      <c r="F36" s="329"/>
      <c r="G36" s="159"/>
      <c r="H36" s="160"/>
      <c r="I36" s="157"/>
      <c r="J36" s="7"/>
      <c r="K36" s="156"/>
    </row>
    <row r="37" spans="1:11" ht="25" customHeight="1">
      <c r="A37" s="6"/>
      <c r="E37" s="156"/>
      <c r="F37" s="329"/>
      <c r="G37" s="159"/>
      <c r="H37" s="160"/>
      <c r="I37" s="157"/>
      <c r="J37" s="7"/>
      <c r="K37" s="156"/>
    </row>
    <row r="38" spans="1:11" ht="65.150000000000006" customHeight="1" thickBot="1">
      <c r="A38" s="6"/>
      <c r="B38" s="317"/>
      <c r="C38" s="317"/>
      <c r="D38" s="317"/>
      <c r="E38" s="6"/>
      <c r="F38" s="330"/>
      <c r="G38" s="18"/>
      <c r="H38" s="17"/>
      <c r="I38" s="7"/>
      <c r="J38" s="7"/>
      <c r="K38" s="156"/>
    </row>
    <row r="39" spans="1:11" ht="24" customHeight="1" thickTop="1">
      <c r="A39" s="6"/>
      <c r="B39" s="331" t="s">
        <v>297</v>
      </c>
      <c r="C39" s="332"/>
      <c r="D39" s="332"/>
      <c r="E39" s="332"/>
      <c r="F39" s="332"/>
      <c r="G39" s="332"/>
      <c r="H39" s="332"/>
      <c r="I39" s="333"/>
      <c r="J39" s="246"/>
      <c r="K39" s="156"/>
    </row>
    <row r="40" spans="1:11" ht="23.15" customHeight="1">
      <c r="A40" s="6"/>
      <c r="B40" s="334"/>
      <c r="C40" s="335"/>
      <c r="D40" s="335"/>
      <c r="E40" s="335"/>
      <c r="F40" s="335"/>
      <c r="G40" s="335"/>
      <c r="H40" s="335"/>
      <c r="I40" s="336"/>
      <c r="J40" s="246"/>
      <c r="K40" s="156"/>
    </row>
    <row r="41" spans="1:11" ht="24" customHeight="1">
      <c r="A41" s="6"/>
      <c r="B41" s="334"/>
      <c r="C41" s="335"/>
      <c r="D41" s="335"/>
      <c r="E41" s="335"/>
      <c r="F41" s="335"/>
      <c r="G41" s="335"/>
      <c r="H41" s="335"/>
      <c r="I41" s="336"/>
      <c r="J41" s="246"/>
      <c r="K41" s="156"/>
    </row>
    <row r="42" spans="1:11" ht="15.9">
      <c r="A42" s="6"/>
      <c r="B42" s="334"/>
      <c r="C42" s="335"/>
      <c r="D42" s="335"/>
      <c r="E42" s="335"/>
      <c r="F42" s="335"/>
      <c r="G42" s="335"/>
      <c r="H42" s="335"/>
      <c r="I42" s="336"/>
      <c r="J42" s="7"/>
      <c r="K42" s="156"/>
    </row>
    <row r="43" spans="1:11" ht="16.3" thickBot="1">
      <c r="A43" s="6"/>
      <c r="B43" s="337"/>
      <c r="C43" s="338"/>
      <c r="D43" s="338"/>
      <c r="E43" s="338"/>
      <c r="F43" s="338"/>
      <c r="G43" s="338"/>
      <c r="H43" s="338"/>
      <c r="I43" s="339"/>
      <c r="J43" s="7"/>
      <c r="K43" s="156"/>
    </row>
    <row r="44" spans="1:11" ht="15" customHeight="1" thickTop="1">
      <c r="A44" s="6"/>
      <c r="B44" s="6"/>
      <c r="C44" s="317"/>
      <c r="D44" s="340"/>
      <c r="E44" s="6"/>
      <c r="F44" s="7"/>
      <c r="G44" s="7"/>
      <c r="H44" s="7"/>
      <c r="I44" s="7"/>
      <c r="J44" s="7"/>
      <c r="K44" s="156"/>
    </row>
    <row r="45" spans="1:11" ht="15.9">
      <c r="A45" s="6"/>
      <c r="B45" s="156"/>
      <c r="D45" s="341"/>
      <c r="E45" s="156"/>
      <c r="F45" s="157"/>
      <c r="G45" s="157"/>
      <c r="H45" s="157"/>
      <c r="I45" s="157"/>
      <c r="J45" s="7"/>
      <c r="K45" s="156"/>
    </row>
    <row r="46" spans="1:11" ht="15.9">
      <c r="A46" s="6"/>
      <c r="B46" s="156"/>
      <c r="D46" s="341"/>
      <c r="E46" s="156"/>
      <c r="F46" s="157"/>
      <c r="G46" s="157"/>
      <c r="H46" s="157"/>
      <c r="I46" s="157"/>
      <c r="J46" s="7"/>
      <c r="K46" s="156"/>
    </row>
    <row r="47" spans="1:11" ht="15.9">
      <c r="A47" s="6"/>
      <c r="B47" s="156"/>
      <c r="D47" s="341"/>
      <c r="E47" s="156"/>
      <c r="F47" s="157"/>
      <c r="G47" s="157"/>
      <c r="H47" s="157"/>
      <c r="I47" s="157"/>
      <c r="J47" s="7"/>
      <c r="K47" s="156"/>
    </row>
    <row r="48" spans="1:11" ht="15.9">
      <c r="A48" s="6"/>
      <c r="B48" s="156"/>
      <c r="D48" s="341"/>
      <c r="E48" s="156"/>
      <c r="F48" s="157"/>
      <c r="G48" s="157"/>
      <c r="H48" s="157"/>
      <c r="I48" s="157"/>
      <c r="J48" s="7"/>
      <c r="K48" s="156"/>
    </row>
    <row r="49" spans="1:11" ht="15.9">
      <c r="A49" s="6"/>
      <c r="B49" s="156"/>
      <c r="D49" s="341"/>
      <c r="E49" s="156"/>
      <c r="F49" s="157"/>
      <c r="G49" s="157"/>
      <c r="H49" s="157"/>
      <c r="I49" s="157"/>
      <c r="J49" s="7"/>
      <c r="K49" s="156"/>
    </row>
    <row r="50" spans="1:11" ht="15.9">
      <c r="A50" s="6"/>
      <c r="B50" s="156"/>
      <c r="D50" s="341"/>
      <c r="E50" s="156"/>
      <c r="F50" s="157"/>
      <c r="G50" s="157"/>
      <c r="H50" s="157"/>
      <c r="I50" s="157"/>
      <c r="J50" s="7"/>
      <c r="K50" s="156"/>
    </row>
    <row r="51" spans="1:11" ht="15.9">
      <c r="A51" s="6"/>
      <c r="B51" s="156"/>
      <c r="D51" s="341"/>
      <c r="E51" s="156"/>
      <c r="F51" s="157"/>
      <c r="G51" s="157"/>
      <c r="H51" s="157"/>
      <c r="I51" s="157"/>
      <c r="J51" s="7"/>
      <c r="K51" s="156"/>
    </row>
    <row r="52" spans="1:11" ht="15.9">
      <c r="A52" s="6"/>
      <c r="B52" s="156"/>
      <c r="D52" s="341"/>
      <c r="E52" s="156"/>
      <c r="F52" s="157"/>
      <c r="G52" s="157"/>
      <c r="H52" s="157"/>
      <c r="I52" s="157"/>
      <c r="J52" s="7"/>
      <c r="K52" s="156"/>
    </row>
    <row r="53" spans="1:11" ht="15.9">
      <c r="A53" s="6"/>
      <c r="B53" s="156"/>
      <c r="D53" s="341"/>
      <c r="E53" s="156"/>
      <c r="F53" s="157"/>
      <c r="G53" s="157"/>
      <c r="H53" s="157"/>
      <c r="I53" s="157"/>
      <c r="J53" s="7"/>
      <c r="K53" s="156"/>
    </row>
    <row r="54" spans="1:11" ht="15.9">
      <c r="A54" s="6"/>
      <c r="B54" s="156"/>
      <c r="D54" s="341"/>
      <c r="E54" s="156"/>
      <c r="F54" s="157"/>
      <c r="G54" s="157"/>
      <c r="H54" s="157"/>
      <c r="I54" s="157"/>
      <c r="J54" s="7"/>
      <c r="K54" s="156"/>
    </row>
    <row r="55" spans="1:11" ht="15.9">
      <c r="A55" s="6"/>
      <c r="B55" s="156"/>
      <c r="D55" s="341"/>
      <c r="E55" s="156"/>
      <c r="F55" s="157"/>
      <c r="G55" s="157"/>
      <c r="H55" s="157"/>
      <c r="I55" s="157"/>
      <c r="J55" s="7"/>
      <c r="K55" s="156"/>
    </row>
    <row r="56" spans="1:11" ht="15.9">
      <c r="A56" s="6"/>
      <c r="B56" s="156"/>
      <c r="D56" s="341"/>
      <c r="E56" s="156"/>
      <c r="F56" s="157"/>
      <c r="G56" s="157"/>
      <c r="H56" s="157"/>
      <c r="I56" s="157"/>
      <c r="J56" s="7"/>
      <c r="K56" s="156"/>
    </row>
    <row r="57" spans="1:11" ht="15.9">
      <c r="A57" s="6"/>
      <c r="B57" s="156"/>
      <c r="D57" s="341"/>
      <c r="E57" s="156"/>
      <c r="F57" s="157"/>
      <c r="G57" s="157"/>
      <c r="H57" s="157"/>
      <c r="I57" s="157"/>
      <c r="J57" s="7"/>
      <c r="K57" s="156"/>
    </row>
    <row r="58" spans="1:11" ht="15.9">
      <c r="A58" s="6"/>
      <c r="B58" s="156"/>
      <c r="D58" s="341"/>
      <c r="E58" s="156"/>
      <c r="F58" s="157"/>
      <c r="G58" s="157"/>
      <c r="H58" s="157"/>
      <c r="I58" s="157"/>
      <c r="J58" s="7"/>
      <c r="K58" s="156"/>
    </row>
    <row r="59" spans="1:11" ht="15.9">
      <c r="A59" s="6"/>
      <c r="B59" s="156"/>
      <c r="D59" s="341"/>
      <c r="E59" s="156"/>
      <c r="F59" s="157"/>
      <c r="G59" s="157"/>
      <c r="H59" s="157"/>
      <c r="I59" s="157"/>
      <c r="J59" s="7"/>
      <c r="K59" s="156"/>
    </row>
    <row r="60" spans="1:11" ht="15.9">
      <c r="A60" s="6"/>
      <c r="B60" s="156"/>
      <c r="D60" s="341"/>
      <c r="E60" s="156"/>
      <c r="F60" s="157"/>
      <c r="G60" s="157"/>
      <c r="H60" s="157"/>
      <c r="I60" s="157"/>
      <c r="J60" s="7"/>
      <c r="K60" s="156"/>
    </row>
    <row r="61" spans="1:11" ht="15.9">
      <c r="A61" s="6"/>
      <c r="B61" s="156"/>
      <c r="D61" s="341"/>
      <c r="E61" s="156"/>
      <c r="F61" s="157"/>
      <c r="G61" s="157"/>
      <c r="H61" s="157"/>
      <c r="I61" s="157"/>
      <c r="J61" s="7"/>
      <c r="K61" s="156"/>
    </row>
    <row r="62" spans="1:11" ht="15.9">
      <c r="A62" s="6"/>
      <c r="B62" s="156"/>
      <c r="D62" s="341"/>
      <c r="E62" s="156"/>
      <c r="F62" s="157"/>
      <c r="G62" s="157"/>
      <c r="H62" s="157"/>
      <c r="I62" s="157"/>
      <c r="J62" s="7"/>
      <c r="K62" s="156"/>
    </row>
    <row r="63" spans="1:11" ht="15.9">
      <c r="A63" s="6"/>
      <c r="B63" s="156"/>
      <c r="D63" s="341"/>
      <c r="E63" s="156"/>
      <c r="F63" s="157"/>
      <c r="G63" s="157"/>
      <c r="H63" s="157"/>
      <c r="I63" s="157"/>
      <c r="J63" s="7"/>
      <c r="K63" s="156"/>
    </row>
    <row r="64" spans="1:11" ht="15.9">
      <c r="A64" s="6"/>
      <c r="B64" s="156"/>
      <c r="D64" s="341"/>
      <c r="E64" s="156"/>
      <c r="F64" s="157"/>
      <c r="G64" s="157"/>
      <c r="H64" s="157"/>
      <c r="I64" s="157"/>
      <c r="J64" s="7"/>
      <c r="K64" s="156"/>
    </row>
    <row r="65" spans="1:11" ht="28" customHeight="1">
      <c r="A65" s="6"/>
      <c r="B65" s="156"/>
      <c r="D65" s="341"/>
      <c r="E65" s="156"/>
      <c r="F65" s="157"/>
      <c r="G65" s="157"/>
      <c r="H65" s="157"/>
      <c r="I65" s="157"/>
      <c r="J65" s="7"/>
      <c r="K65" s="156"/>
    </row>
    <row r="66" spans="1:11" ht="28" customHeight="1">
      <c r="A66" s="6"/>
      <c r="B66" s="156"/>
      <c r="D66" s="341"/>
      <c r="E66" s="156"/>
      <c r="F66" s="157"/>
      <c r="G66" s="157"/>
      <c r="H66" s="157"/>
      <c r="I66" s="157"/>
      <c r="J66" s="7"/>
      <c r="K66" s="156"/>
    </row>
    <row r="67" spans="1:11" ht="28" customHeight="1">
      <c r="A67" s="6"/>
      <c r="B67" s="156"/>
      <c r="D67" s="341"/>
      <c r="E67" s="156"/>
      <c r="F67" s="157"/>
      <c r="G67" s="157"/>
      <c r="H67" s="157"/>
      <c r="I67" s="157"/>
      <c r="J67" s="7"/>
      <c r="K67" s="156"/>
    </row>
    <row r="68" spans="1:11" ht="28" customHeight="1">
      <c r="A68" s="6"/>
      <c r="B68" s="156"/>
      <c r="D68" s="341"/>
      <c r="E68" s="156"/>
      <c r="F68" s="157"/>
      <c r="G68" s="157"/>
      <c r="H68" s="157"/>
      <c r="I68" s="157"/>
      <c r="J68" s="7"/>
      <c r="K68" s="156"/>
    </row>
    <row r="69" spans="1:11" ht="28" customHeight="1">
      <c r="A69" s="6"/>
      <c r="B69" s="156"/>
      <c r="D69" s="341"/>
      <c r="E69" s="156"/>
      <c r="F69" s="157"/>
      <c r="G69" s="157"/>
      <c r="H69" s="157"/>
      <c r="I69" s="157"/>
      <c r="J69" s="7"/>
      <c r="K69" s="156"/>
    </row>
    <row r="70" spans="1:11" ht="28" customHeight="1">
      <c r="A70" s="6"/>
      <c r="B70" s="156"/>
      <c r="D70" s="341"/>
      <c r="E70" s="156"/>
      <c r="F70" s="157"/>
      <c r="G70" s="157"/>
      <c r="H70" s="157"/>
      <c r="I70" s="157"/>
      <c r="J70" s="7"/>
      <c r="K70" s="156"/>
    </row>
    <row r="71" spans="1:11" ht="28" customHeight="1">
      <c r="A71" s="6"/>
      <c r="B71" s="156"/>
      <c r="D71" s="341"/>
      <c r="E71" s="156"/>
      <c r="F71" s="157"/>
      <c r="G71" s="157"/>
      <c r="H71" s="157"/>
      <c r="I71" s="157"/>
      <c r="J71" s="7"/>
      <c r="K71" s="156"/>
    </row>
    <row r="72" spans="1:11" ht="51.9" customHeight="1">
      <c r="A72" s="6"/>
      <c r="B72" s="156"/>
      <c r="D72" s="341"/>
      <c r="E72" s="156"/>
      <c r="F72" s="157"/>
      <c r="G72" s="157"/>
      <c r="H72" s="157"/>
      <c r="I72" s="157"/>
      <c r="J72" s="7"/>
      <c r="K72" s="156"/>
    </row>
    <row r="73" spans="1:11" ht="33.450000000000003" customHeight="1">
      <c r="A73" s="6"/>
      <c r="B73" s="6"/>
      <c r="C73" s="317"/>
      <c r="D73" s="340"/>
      <c r="E73" s="6"/>
      <c r="F73" s="7"/>
      <c r="G73" s="7"/>
      <c r="H73" s="7"/>
      <c r="I73" s="7"/>
      <c r="J73" s="7"/>
      <c r="K73" s="156"/>
    </row>
    <row r="74" spans="1:11" ht="45.9" customHeight="1" thickBot="1">
      <c r="A74" s="6"/>
      <c r="B74" s="342" t="s">
        <v>138</v>
      </c>
      <c r="C74" s="317"/>
      <c r="D74" s="343"/>
      <c r="E74" s="344"/>
      <c r="F74" s="345"/>
      <c r="G74" s="345"/>
      <c r="H74" s="345"/>
      <c r="I74" s="7"/>
      <c r="J74" s="7"/>
      <c r="K74" s="156"/>
    </row>
    <row r="75" spans="1:11" ht="15" customHeight="1">
      <c r="A75" s="6"/>
      <c r="B75" s="6"/>
      <c r="C75" s="346"/>
      <c r="D75" s="340"/>
      <c r="E75" s="6"/>
      <c r="F75" s="7"/>
      <c r="G75" s="7"/>
      <c r="H75" s="7"/>
      <c r="I75" s="347"/>
      <c r="J75" s="7"/>
      <c r="K75" s="156"/>
    </row>
    <row r="76" spans="1:11" ht="19" customHeight="1">
      <c r="A76" s="6"/>
      <c r="B76" s="348" t="s">
        <v>141</v>
      </c>
      <c r="C76" s="348"/>
      <c r="D76" s="348"/>
      <c r="E76" s="348"/>
      <c r="F76" s="348"/>
      <c r="G76" s="348"/>
      <c r="H76" s="348"/>
      <c r="I76" s="348"/>
      <c r="J76" s="7"/>
      <c r="K76" s="156"/>
    </row>
    <row r="77" spans="1:11" ht="15.9">
      <c r="A77" s="6"/>
      <c r="B77" s="348"/>
      <c r="C77" s="348"/>
      <c r="D77" s="348"/>
      <c r="E77" s="348"/>
      <c r="F77" s="348"/>
      <c r="G77" s="348"/>
      <c r="H77" s="348"/>
      <c r="I77" s="348"/>
      <c r="J77" s="7"/>
      <c r="K77" s="156"/>
    </row>
    <row r="78" spans="1:11" ht="15.9">
      <c r="A78" s="6"/>
      <c r="B78" s="348"/>
      <c r="C78" s="348"/>
      <c r="D78" s="348"/>
      <c r="E78" s="348"/>
      <c r="F78" s="348"/>
      <c r="G78" s="348"/>
      <c r="H78" s="348"/>
      <c r="I78" s="348"/>
      <c r="J78" s="7"/>
      <c r="K78" s="156"/>
    </row>
    <row r="79" spans="1:11" ht="15.9">
      <c r="A79" s="6"/>
      <c r="B79" s="348"/>
      <c r="C79" s="348"/>
      <c r="D79" s="348"/>
      <c r="E79" s="348"/>
      <c r="F79" s="348"/>
      <c r="G79" s="348"/>
      <c r="H79" s="348"/>
      <c r="I79" s="348"/>
      <c r="J79" s="7"/>
      <c r="K79" s="156"/>
    </row>
    <row r="80" spans="1:11" ht="15" customHeight="1">
      <c r="A80" s="6"/>
      <c r="B80" s="349"/>
      <c r="C80" s="349"/>
      <c r="D80" s="349"/>
      <c r="E80" s="349"/>
      <c r="F80" s="349"/>
      <c r="G80" s="349"/>
      <c r="H80" s="349"/>
      <c r="I80" s="349"/>
      <c r="J80" s="330"/>
      <c r="K80" s="156"/>
    </row>
    <row r="81" spans="1:15" ht="24" customHeight="1">
      <c r="A81" s="350"/>
      <c r="B81" s="351" t="s">
        <v>139</v>
      </c>
      <c r="C81" s="352"/>
      <c r="D81" s="353"/>
      <c r="E81" s="351" t="s">
        <v>140</v>
      </c>
      <c r="F81" s="354"/>
      <c r="G81" s="317"/>
      <c r="H81" s="355"/>
      <c r="I81" s="355"/>
      <c r="J81" s="356"/>
      <c r="K81" s="156"/>
    </row>
    <row r="82" spans="1:15" ht="24" customHeight="1">
      <c r="A82" s="350"/>
      <c r="B82" s="357" t="s">
        <v>144</v>
      </c>
      <c r="C82" s="358"/>
      <c r="D82" s="359"/>
      <c r="E82" s="360" t="s">
        <v>145</v>
      </c>
      <c r="F82" s="361"/>
      <c r="G82" s="317"/>
      <c r="H82" s="355"/>
      <c r="I82" s="362"/>
      <c r="K82" s="156"/>
    </row>
    <row r="83" spans="1:15" ht="24" customHeight="1">
      <c r="A83" s="350"/>
      <c r="B83" s="324" t="s">
        <v>147</v>
      </c>
      <c r="C83" s="317"/>
      <c r="D83" s="355"/>
      <c r="E83" s="363">
        <v>-3.7000000000000002E-3</v>
      </c>
      <c r="F83" s="364"/>
      <c r="G83" s="317"/>
      <c r="H83" s="355"/>
      <c r="I83" s="362"/>
      <c r="K83" s="156"/>
    </row>
    <row r="84" spans="1:15" ht="24" customHeight="1">
      <c r="A84" s="350"/>
      <c r="B84" s="357" t="s">
        <v>142</v>
      </c>
      <c r="C84" s="358"/>
      <c r="D84" s="365"/>
      <c r="E84" s="360" t="s">
        <v>143</v>
      </c>
      <c r="F84" s="361"/>
      <c r="G84" s="317"/>
      <c r="H84" s="317"/>
      <c r="I84" s="364"/>
      <c r="K84" s="156"/>
    </row>
    <row r="85" spans="1:15" ht="24" customHeight="1">
      <c r="A85" s="350"/>
      <c r="B85" s="366" t="s">
        <v>146</v>
      </c>
      <c r="C85" s="367"/>
      <c r="D85" s="368"/>
      <c r="E85" s="369">
        <v>0.2</v>
      </c>
      <c r="F85" s="370"/>
      <c r="G85" s="367"/>
      <c r="H85" s="371"/>
      <c r="I85" s="372"/>
      <c r="J85" s="330"/>
      <c r="K85" s="156"/>
    </row>
    <row r="86" spans="1:15" ht="12" customHeight="1">
      <c r="A86" s="6"/>
      <c r="B86" s="317"/>
      <c r="C86" s="261"/>
      <c r="D86" s="317"/>
      <c r="E86" s="373"/>
      <c r="F86" s="374"/>
      <c r="G86" s="330"/>
      <c r="H86" s="330"/>
      <c r="I86" s="330"/>
      <c r="J86" s="330"/>
      <c r="K86" s="156"/>
    </row>
    <row r="87" spans="1:15" ht="19" customHeight="1">
      <c r="A87" s="6"/>
      <c r="B87" s="375" t="s">
        <v>12</v>
      </c>
      <c r="C87" s="375"/>
      <c r="D87" s="375"/>
      <c r="E87" s="375"/>
      <c r="F87" s="375"/>
      <c r="G87" s="376"/>
      <c r="H87" s="376"/>
      <c r="I87" s="376"/>
      <c r="J87" s="7"/>
      <c r="K87" s="156"/>
    </row>
    <row r="88" spans="1:15" ht="28" customHeight="1">
      <c r="A88" s="324"/>
      <c r="B88" s="377"/>
      <c r="C88" s="377"/>
      <c r="D88" s="377"/>
      <c r="E88" s="377"/>
      <c r="F88" s="377"/>
      <c r="G88" s="378"/>
      <c r="H88" s="378"/>
      <c r="I88" s="378"/>
      <c r="J88" s="7"/>
      <c r="K88" s="156"/>
    </row>
    <row r="89" spans="1:15" ht="24" customHeight="1">
      <c r="B89" s="379">
        <f>'Master Input'!B8</f>
        <v>15</v>
      </c>
      <c r="C89" s="380" t="str">
        <f>'Solar Input'!C10</f>
        <v>Qcells 405</v>
      </c>
      <c r="D89" s="381"/>
      <c r="E89" s="382"/>
      <c r="F89" s="383"/>
      <c r="G89" s="384"/>
      <c r="H89" s="385" t="s">
        <v>193</v>
      </c>
      <c r="I89" s="386"/>
      <c r="J89" s="387"/>
      <c r="K89" s="156"/>
    </row>
    <row r="90" spans="1:15" ht="24" customHeight="1">
      <c r="B90" s="326">
        <f>'Master Input'!B8</f>
        <v>15</v>
      </c>
      <c r="C90" s="322" t="s">
        <v>108</v>
      </c>
      <c r="D90" s="355"/>
      <c r="E90" s="355"/>
      <c r="F90" s="355"/>
      <c r="G90" s="388" t="str">
        <f>'Solar Input'!C9</f>
        <v>Standing seam metal</v>
      </c>
      <c r="H90" s="389"/>
      <c r="I90" s="390"/>
      <c r="J90" s="391"/>
      <c r="K90" s="156"/>
      <c r="O90" s="240"/>
    </row>
    <row r="91" spans="1:15" ht="24" customHeight="1">
      <c r="B91" s="392">
        <f>'Master Input'!B16</f>
        <v>6.0750000000000002</v>
      </c>
      <c r="C91" s="393" t="s">
        <v>23</v>
      </c>
      <c r="D91" s="393"/>
      <c r="E91" s="393"/>
      <c r="F91" s="359"/>
      <c r="G91" s="394"/>
      <c r="H91" s="395"/>
      <c r="I91" s="396"/>
      <c r="J91" s="7"/>
      <c r="K91" s="156"/>
    </row>
    <row r="92" spans="1:15" ht="28.4" customHeight="1">
      <c r="B92" s="326">
        <f>'Master Input'!B16*'Master Input'!B13</f>
        <v>9112.5</v>
      </c>
      <c r="C92" s="397" t="s">
        <v>24</v>
      </c>
      <c r="D92" s="397"/>
      <c r="E92" s="397"/>
      <c r="F92" s="397"/>
      <c r="G92" s="398"/>
      <c r="H92" s="399"/>
      <c r="I92" s="400"/>
      <c r="J92" s="7"/>
      <c r="K92" s="156"/>
    </row>
    <row r="93" spans="1:15" ht="18" customHeight="1">
      <c r="A93" s="401"/>
      <c r="B93" s="401"/>
      <c r="C93" s="402"/>
      <c r="D93" s="402"/>
      <c r="E93" s="402"/>
      <c r="F93" s="402"/>
      <c r="G93" s="355"/>
      <c r="H93" s="355"/>
      <c r="I93" s="355"/>
      <c r="J93" s="7"/>
      <c r="K93" s="156"/>
    </row>
    <row r="94" spans="1:15" ht="15.9">
      <c r="A94" s="6"/>
      <c r="B94" s="156"/>
      <c r="D94" s="341"/>
      <c r="E94" s="156"/>
      <c r="F94" s="157"/>
      <c r="G94" s="403" t="s">
        <v>284</v>
      </c>
      <c r="H94" s="403"/>
      <c r="I94" s="403"/>
      <c r="J94" s="7"/>
      <c r="K94" s="156"/>
    </row>
    <row r="95" spans="1:15" ht="15.9">
      <c r="A95" s="6"/>
      <c r="B95" s="156"/>
      <c r="D95" s="341"/>
      <c r="E95" s="156"/>
      <c r="F95" s="157"/>
      <c r="G95" s="391"/>
      <c r="H95" s="391"/>
      <c r="I95" s="391"/>
      <c r="J95" s="391"/>
      <c r="K95" s="156"/>
    </row>
    <row r="96" spans="1:15" ht="18.45">
      <c r="A96" s="6"/>
      <c r="B96" s="156"/>
      <c r="D96" s="341"/>
      <c r="E96" s="156"/>
      <c r="F96" s="157"/>
      <c r="G96" s="404">
        <f>0.000711*B92</f>
        <v>6.4789875000000006</v>
      </c>
      <c r="H96" s="404"/>
      <c r="I96" s="405"/>
      <c r="J96" s="7"/>
      <c r="K96" s="156"/>
    </row>
    <row r="97" spans="1:11" ht="15.9">
      <c r="A97" s="6"/>
      <c r="B97" s="156"/>
      <c r="D97" s="341"/>
      <c r="E97" s="156"/>
      <c r="F97" s="157"/>
      <c r="G97" s="406" t="s">
        <v>88</v>
      </c>
      <c r="H97" s="406"/>
      <c r="I97" s="405"/>
      <c r="J97" s="7"/>
      <c r="K97" s="156"/>
    </row>
    <row r="98" spans="1:11" ht="15.9">
      <c r="A98" s="6"/>
      <c r="B98" s="156"/>
      <c r="D98" s="341"/>
      <c r="E98" s="156"/>
      <c r="F98" s="157"/>
      <c r="G98" s="7"/>
      <c r="H98" s="7"/>
      <c r="I98" s="7"/>
      <c r="J98" s="7"/>
      <c r="K98" s="156"/>
    </row>
    <row r="99" spans="1:11" ht="15.9">
      <c r="A99" s="6"/>
      <c r="B99" s="156"/>
      <c r="D99" s="341"/>
      <c r="E99" s="156"/>
      <c r="F99" s="157"/>
      <c r="G99" s="7"/>
      <c r="H99" s="7"/>
      <c r="I99" s="7"/>
      <c r="J99" s="7"/>
      <c r="K99" s="156"/>
    </row>
    <row r="100" spans="1:11" ht="15.9">
      <c r="A100" s="6"/>
      <c r="B100" s="156"/>
      <c r="D100" s="341"/>
      <c r="E100" s="156"/>
      <c r="F100" s="157"/>
      <c r="G100" s="7"/>
      <c r="H100" s="7"/>
      <c r="I100" s="7"/>
      <c r="J100" s="7"/>
      <c r="K100" s="156"/>
    </row>
    <row r="101" spans="1:11" ht="18.45">
      <c r="A101" s="6"/>
      <c r="B101" s="156"/>
      <c r="D101" s="341"/>
      <c r="E101" s="156"/>
      <c r="F101" s="157"/>
      <c r="G101" s="404">
        <f>0.011722*B92</f>
        <v>106.81672499999999</v>
      </c>
      <c r="H101" s="404"/>
      <c r="I101" s="405"/>
      <c r="J101" s="7"/>
      <c r="K101" s="156"/>
    </row>
    <row r="102" spans="1:11" ht="15.9">
      <c r="A102" s="6"/>
      <c r="B102" s="156"/>
      <c r="D102" s="341"/>
      <c r="E102" s="156"/>
      <c r="F102" s="157"/>
      <c r="G102" s="406" t="s">
        <v>153</v>
      </c>
      <c r="H102" s="406"/>
      <c r="I102" s="405"/>
      <c r="J102" s="7"/>
      <c r="K102" s="156"/>
    </row>
    <row r="103" spans="1:11" ht="15.9">
      <c r="A103" s="6"/>
      <c r="B103" s="156"/>
      <c r="D103" s="341"/>
      <c r="E103" s="156"/>
      <c r="F103" s="157"/>
      <c r="G103" s="7"/>
      <c r="H103" s="7"/>
      <c r="I103" s="7"/>
      <c r="J103" s="7"/>
      <c r="K103" s="156"/>
    </row>
    <row r="104" spans="1:11" ht="15.9">
      <c r="A104" s="6"/>
      <c r="B104" s="156"/>
      <c r="D104" s="341"/>
      <c r="E104" s="156"/>
      <c r="F104" s="157"/>
      <c r="G104" s="7"/>
      <c r="H104" s="7"/>
      <c r="I104" s="7"/>
      <c r="J104" s="7"/>
      <c r="K104" s="156"/>
    </row>
    <row r="105" spans="1:11" ht="15.9">
      <c r="A105" s="6"/>
      <c r="B105" s="156"/>
      <c r="D105" s="341"/>
      <c r="E105" s="156"/>
      <c r="F105" s="157"/>
      <c r="G105" s="7"/>
      <c r="H105" s="7"/>
      <c r="I105" s="7"/>
      <c r="J105" s="7"/>
      <c r="K105" s="156"/>
    </row>
    <row r="106" spans="1:11" ht="18.45">
      <c r="A106" s="6"/>
      <c r="B106" s="156"/>
      <c r="D106" s="341"/>
      <c r="E106" s="156"/>
      <c r="F106" s="157"/>
      <c r="G106" s="404">
        <f>B92*1.77</f>
        <v>16129.125</v>
      </c>
      <c r="H106" s="404"/>
      <c r="I106" s="405"/>
      <c r="J106" s="7"/>
      <c r="K106" s="156"/>
    </row>
    <row r="107" spans="1:11" ht="15.9">
      <c r="A107" s="6"/>
      <c r="B107" s="156"/>
      <c r="D107" s="341"/>
      <c r="E107" s="156"/>
      <c r="F107" s="157"/>
      <c r="G107" s="406" t="s">
        <v>154</v>
      </c>
      <c r="H107" s="406"/>
      <c r="I107" s="405"/>
      <c r="J107" s="7"/>
      <c r="K107" s="156"/>
    </row>
    <row r="108" spans="1:11" ht="15.9">
      <c r="A108" s="6"/>
      <c r="B108" s="6"/>
      <c r="C108" s="317"/>
      <c r="D108" s="340"/>
      <c r="E108" s="6"/>
      <c r="F108" s="7"/>
      <c r="G108" s="7"/>
      <c r="H108" s="7"/>
      <c r="I108" s="7"/>
      <c r="J108" s="7"/>
      <c r="K108" s="156"/>
    </row>
    <row r="109" spans="1:11" ht="15.9">
      <c r="A109" s="6"/>
      <c r="B109" s="6"/>
      <c r="C109" s="317"/>
      <c r="D109" s="340"/>
      <c r="E109" s="6"/>
      <c r="F109" s="7"/>
      <c r="G109" s="317"/>
      <c r="H109" s="317"/>
      <c r="I109" s="7"/>
      <c r="J109" s="7"/>
      <c r="K109" s="156"/>
    </row>
    <row r="110" spans="1:11">
      <c r="A110" s="6"/>
      <c r="B110" s="6"/>
      <c r="C110" s="317"/>
      <c r="D110" s="317"/>
      <c r="E110" s="317"/>
      <c r="F110" s="317"/>
      <c r="G110" s="317"/>
      <c r="H110" s="317"/>
      <c r="I110" s="317"/>
      <c r="K110" s="156"/>
    </row>
    <row r="111" spans="1:11" ht="16.3" thickBot="1">
      <c r="A111" s="6"/>
      <c r="B111" s="6"/>
      <c r="C111" s="317"/>
      <c r="D111" s="340"/>
      <c r="E111" s="6"/>
      <c r="F111" s="7"/>
      <c r="G111" s="7"/>
      <c r="H111" s="7"/>
      <c r="I111" s="7"/>
      <c r="J111" s="7"/>
      <c r="K111" s="156"/>
    </row>
    <row r="112" spans="1:11" ht="37" customHeight="1" thickTop="1">
      <c r="A112" s="6"/>
      <c r="B112" s="407"/>
      <c r="C112" s="408" t="s">
        <v>82</v>
      </c>
      <c r="D112" s="408"/>
      <c r="E112" s="408"/>
      <c r="F112" s="408"/>
      <c r="G112" s="408"/>
      <c r="H112" s="408"/>
      <c r="I112" s="409"/>
      <c r="J112" s="7"/>
      <c r="K112" s="156"/>
    </row>
    <row r="113" spans="1:11" ht="15.9">
      <c r="A113" s="6"/>
      <c r="B113" s="157"/>
      <c r="C113" s="157"/>
      <c r="D113" s="157"/>
      <c r="E113" s="157"/>
      <c r="F113" s="157"/>
      <c r="G113" s="157"/>
      <c r="H113" s="157"/>
      <c r="I113" s="157"/>
      <c r="J113" s="7"/>
      <c r="K113" s="156"/>
    </row>
    <row r="114" spans="1:11" ht="15.9">
      <c r="A114" s="6"/>
      <c r="B114" s="157"/>
      <c r="C114" s="157"/>
      <c r="D114" s="157"/>
      <c r="E114" s="157"/>
      <c r="F114" s="157"/>
      <c r="G114" s="157"/>
      <c r="H114" s="157"/>
      <c r="I114" s="157"/>
      <c r="J114" s="7"/>
      <c r="K114" s="156"/>
    </row>
    <row r="115" spans="1:11" ht="15.9">
      <c r="A115" s="6"/>
      <c r="B115" s="157"/>
      <c r="C115" s="157"/>
      <c r="D115" s="157"/>
      <c r="E115" s="157"/>
      <c r="F115" s="157"/>
      <c r="G115" s="157"/>
      <c r="H115" s="157"/>
      <c r="I115" s="157"/>
      <c r="J115" s="7"/>
      <c r="K115" s="156"/>
    </row>
    <row r="116" spans="1:11" ht="15.9">
      <c r="A116" s="6"/>
      <c r="B116" s="157"/>
      <c r="C116" s="157"/>
      <c r="D116" s="157"/>
      <c r="E116" s="157"/>
      <c r="F116" s="157"/>
      <c r="G116" s="157"/>
      <c r="H116" s="157"/>
      <c r="I116" s="157"/>
      <c r="J116" s="7"/>
      <c r="K116" s="156"/>
    </row>
    <row r="118" spans="1:11" ht="14.5" customHeight="1"/>
    <row r="119" spans="1:11" ht="14.5" customHeight="1"/>
    <row r="120" spans="1:11" ht="14.5" customHeight="1"/>
    <row r="121" spans="1:11" ht="14.5" customHeight="1"/>
    <row r="122" spans="1:11" ht="14.5" customHeight="1"/>
    <row r="123" spans="1:11" ht="14.5" customHeight="1"/>
    <row r="124" spans="1:11" ht="14.5" customHeight="1"/>
    <row r="125" spans="1:11" ht="14.5" customHeight="1"/>
    <row r="126" spans="1:11" ht="14.5" customHeight="1"/>
    <row r="127" spans="1:11" ht="14.5" customHeight="1">
      <c r="B127" s="317"/>
      <c r="C127" s="317"/>
      <c r="D127" s="317"/>
      <c r="E127" s="317"/>
      <c r="F127" s="317"/>
      <c r="G127" s="317"/>
      <c r="H127" s="317"/>
      <c r="I127" s="317"/>
    </row>
    <row r="128" spans="1:11" ht="28" customHeight="1">
      <c r="B128" s="317"/>
      <c r="I128" s="317"/>
    </row>
    <row r="129" spans="1:11" ht="24" customHeight="1">
      <c r="B129" s="358"/>
      <c r="C129" s="357" t="s">
        <v>298</v>
      </c>
      <c r="D129" s="357"/>
      <c r="E129" s="357"/>
      <c r="F129" s="410"/>
      <c r="G129" s="411"/>
      <c r="H129" s="412">
        <f>'Master Input'!F24</f>
        <v>16369.612280461077</v>
      </c>
      <c r="I129" s="413"/>
      <c r="K129" s="156"/>
    </row>
    <row r="130" spans="1:11" ht="24" customHeight="1">
      <c r="B130" s="317"/>
      <c r="C130" s="324" t="s">
        <v>299</v>
      </c>
      <c r="D130" s="324"/>
      <c r="E130" s="324"/>
      <c r="F130" s="414"/>
      <c r="G130" s="415"/>
      <c r="H130" s="416">
        <f>'Master Input'!F27</f>
        <v>60311.771948644317</v>
      </c>
      <c r="I130" s="391"/>
      <c r="J130" s="417"/>
      <c r="K130" s="156"/>
    </row>
    <row r="131" spans="1:11" ht="24" customHeight="1">
      <c r="A131" s="6"/>
      <c r="B131" s="358"/>
      <c r="C131" s="357" t="s">
        <v>300</v>
      </c>
      <c r="D131" s="418"/>
      <c r="E131" s="418"/>
      <c r="F131" s="410"/>
      <c r="G131" s="382"/>
      <c r="H131" s="419">
        <f>'Master Input'!B12</f>
        <v>110</v>
      </c>
      <c r="I131" s="382"/>
      <c r="J131" s="401"/>
      <c r="K131" s="156"/>
    </row>
    <row r="132" spans="1:11" ht="172" customHeight="1">
      <c r="A132" s="6"/>
      <c r="B132" s="420"/>
      <c r="C132" s="421"/>
      <c r="D132" s="421"/>
      <c r="E132" s="421"/>
      <c r="F132" s="422"/>
      <c r="G132" s="401"/>
      <c r="H132" s="401"/>
      <c r="I132" s="401"/>
      <c r="J132" s="401"/>
      <c r="K132" s="156"/>
    </row>
    <row r="133" spans="1:11" ht="195.9" customHeight="1">
      <c r="A133" s="6"/>
      <c r="B133" s="420"/>
      <c r="C133" s="421"/>
      <c r="D133" s="421"/>
      <c r="E133" s="421"/>
      <c r="F133" s="422"/>
      <c r="G133" s="401"/>
      <c r="H133" s="401"/>
      <c r="I133" s="401"/>
      <c r="J133" s="401"/>
      <c r="K133" s="156"/>
    </row>
    <row r="134" spans="1:11" ht="41.15" customHeight="1">
      <c r="A134" s="6"/>
      <c r="B134" s="423" t="s">
        <v>301</v>
      </c>
      <c r="C134" s="423"/>
      <c r="D134" s="423"/>
      <c r="E134" s="423"/>
      <c r="F134" s="423"/>
      <c r="G134" s="423"/>
      <c r="H134" s="423"/>
      <c r="I134" s="423"/>
      <c r="J134" s="324"/>
      <c r="K134" s="156"/>
    </row>
    <row r="135" spans="1:11" ht="11.25" customHeight="1">
      <c r="A135" s="6"/>
      <c r="B135" s="402"/>
      <c r="C135" s="402"/>
      <c r="D135" s="402"/>
      <c r="E135" s="402"/>
      <c r="F135" s="402"/>
      <c r="G135" s="402"/>
      <c r="H135" s="424"/>
      <c r="I135" s="424"/>
      <c r="J135" s="424"/>
      <c r="K135" s="156"/>
    </row>
    <row r="136" spans="1:11" ht="20.5" customHeight="1">
      <c r="A136" s="6"/>
      <c r="B136" s="410"/>
      <c r="C136" s="410"/>
      <c r="D136" s="425">
        <f>'Master Input'!B17</f>
        <v>20776.5</v>
      </c>
      <c r="E136" s="410"/>
      <c r="F136" s="357" t="s">
        <v>45</v>
      </c>
      <c r="G136" s="357"/>
      <c r="H136" s="426"/>
      <c r="I136" s="426"/>
      <c r="K136" s="156"/>
    </row>
    <row r="137" spans="1:11" ht="17.5" customHeight="1">
      <c r="A137" s="6"/>
      <c r="B137" s="414"/>
      <c r="C137" s="414"/>
      <c r="D137" s="427">
        <f>'Master Input'!B38</f>
        <v>0</v>
      </c>
      <c r="E137" s="414"/>
      <c r="F137" s="324" t="s">
        <v>99</v>
      </c>
      <c r="G137" s="324"/>
      <c r="H137" s="428"/>
      <c r="I137" s="428"/>
      <c r="K137" s="156"/>
    </row>
    <row r="138" spans="1:11" s="29" customFormat="1" ht="15.9">
      <c r="A138" s="429"/>
      <c r="B138" s="193"/>
      <c r="C138" s="193"/>
      <c r="D138" s="430">
        <f>'Master Input'!B18+'Master Input'!B39</f>
        <v>6232.95</v>
      </c>
      <c r="E138" s="193"/>
      <c r="F138" s="431" t="s">
        <v>205</v>
      </c>
      <c r="G138" s="431"/>
      <c r="H138" s="432"/>
      <c r="I138" s="432"/>
      <c r="J138" s="433"/>
    </row>
    <row r="139" spans="1:11" ht="15.9">
      <c r="A139" s="6"/>
      <c r="B139" s="414"/>
      <c r="C139" s="414"/>
      <c r="D139" s="427">
        <f>D136+D137-D138</f>
        <v>14543.55</v>
      </c>
      <c r="E139" s="414"/>
      <c r="F139" s="376" t="s">
        <v>41</v>
      </c>
      <c r="G139" s="376"/>
      <c r="H139" s="434"/>
      <c r="I139" s="434"/>
      <c r="K139" s="156"/>
    </row>
    <row r="140" spans="1:11" ht="15.9">
      <c r="A140" s="6"/>
      <c r="B140" s="410"/>
      <c r="C140" s="410"/>
      <c r="D140" s="425">
        <f>'Master Input'!B15</f>
        <v>0</v>
      </c>
      <c r="E140" s="410"/>
      <c r="F140" s="357" t="s">
        <v>162</v>
      </c>
      <c r="G140" s="418"/>
      <c r="H140" s="435"/>
      <c r="I140" s="435"/>
      <c r="K140" s="156"/>
    </row>
    <row r="141" spans="1:11" ht="15.9">
      <c r="A141" s="6"/>
      <c r="B141" s="414"/>
      <c r="C141" s="414"/>
      <c r="D141" s="436">
        <f>'Master Input'!B31</f>
        <v>6.8285366206464744</v>
      </c>
      <c r="E141" s="437"/>
      <c r="F141" s="438" t="s">
        <v>18</v>
      </c>
      <c r="G141" s="438"/>
      <c r="H141" s="324"/>
      <c r="I141" s="324"/>
      <c r="K141" s="156"/>
    </row>
    <row r="142" spans="1:11" ht="15.9">
      <c r="A142" s="6"/>
      <c r="B142" s="410"/>
      <c r="C142" s="410"/>
      <c r="D142" s="439">
        <f>'Master Input'!B30</f>
        <v>0.10838898317163104</v>
      </c>
      <c r="E142" s="410"/>
      <c r="F142" s="357" t="s">
        <v>19</v>
      </c>
      <c r="G142" s="357"/>
      <c r="H142" s="357"/>
      <c r="I142" s="357"/>
      <c r="K142" s="156"/>
    </row>
    <row r="143" spans="1:11" ht="15.9">
      <c r="A143" s="6"/>
      <c r="B143" s="414"/>
      <c r="C143" s="414"/>
      <c r="D143" s="440">
        <f>'Master Input'!B20*0.11</f>
        <v>1002.375</v>
      </c>
      <c r="E143" s="414"/>
      <c r="F143" s="324" t="s">
        <v>77</v>
      </c>
      <c r="G143" s="324"/>
      <c r="H143" s="324"/>
      <c r="I143" s="324"/>
      <c r="K143" s="156"/>
    </row>
    <row r="144" spans="1:11" ht="15.9">
      <c r="A144" s="6"/>
      <c r="B144" s="410"/>
      <c r="C144" s="410"/>
      <c r="D144" s="425">
        <f>'Master Input'!B23</f>
        <v>1607.5786881024005</v>
      </c>
      <c r="E144" s="410"/>
      <c r="F144" s="357" t="s">
        <v>28</v>
      </c>
      <c r="G144" s="357"/>
      <c r="H144" s="357"/>
      <c r="I144" s="357"/>
      <c r="K144" s="156"/>
    </row>
    <row r="145" spans="1:11" ht="15.9">
      <c r="A145" s="6"/>
      <c r="B145" s="414"/>
      <c r="C145" s="414"/>
      <c r="D145" s="441">
        <f>'Master Input'!B29</f>
        <v>78391.270984174844</v>
      </c>
      <c r="E145" s="414"/>
      <c r="F145" s="442" t="s">
        <v>75</v>
      </c>
      <c r="G145" s="324"/>
      <c r="H145" s="324"/>
      <c r="I145" s="324"/>
      <c r="J145" s="7"/>
      <c r="K145" s="156"/>
    </row>
    <row r="146" spans="1:11" ht="15" customHeight="1" thickBot="1">
      <c r="A146" s="6"/>
      <c r="B146" s="443"/>
      <c r="C146" s="444"/>
      <c r="D146" s="444"/>
      <c r="E146" s="445"/>
      <c r="F146" s="444"/>
      <c r="G146" s="444"/>
      <c r="H146" s="444"/>
      <c r="I146" s="444"/>
      <c r="J146" s="7"/>
      <c r="K146" s="156"/>
    </row>
    <row r="147" spans="1:11" ht="10" customHeight="1">
      <c r="A147" s="6"/>
      <c r="B147" s="446"/>
      <c r="C147" s="324"/>
      <c r="D147" s="324"/>
      <c r="E147" s="414"/>
      <c r="F147" s="324"/>
      <c r="G147" s="324"/>
      <c r="H147" s="324"/>
      <c r="I147" s="324"/>
      <c r="J147" s="7"/>
      <c r="K147" s="156"/>
    </row>
    <row r="148" spans="1:11" ht="15.9">
      <c r="A148" s="6"/>
      <c r="B148" s="376" t="s">
        <v>133</v>
      </c>
      <c r="C148" s="414"/>
      <c r="D148" s="324"/>
      <c r="E148" s="414"/>
      <c r="F148" s="324"/>
      <c r="G148" s="324"/>
      <c r="H148" s="324"/>
      <c r="I148" s="324"/>
      <c r="J148" s="7"/>
      <c r="K148" s="156"/>
    </row>
    <row r="149" spans="1:11" ht="15.9">
      <c r="A149" s="6"/>
      <c r="B149" s="447" t="s">
        <v>137</v>
      </c>
      <c r="C149" s="448"/>
      <c r="D149" s="449" t="s">
        <v>117</v>
      </c>
      <c r="E149" s="450" t="s">
        <v>134</v>
      </c>
      <c r="F149" s="449" t="s">
        <v>135</v>
      </c>
      <c r="G149" s="448" t="s">
        <v>130</v>
      </c>
      <c r="H149" s="449" t="s">
        <v>136</v>
      </c>
      <c r="I149" s="324"/>
      <c r="J149" s="7"/>
      <c r="K149" s="156"/>
    </row>
    <row r="150" spans="1:11" ht="15.9">
      <c r="A150" s="6"/>
      <c r="B150" s="324" t="s">
        <v>128</v>
      </c>
      <c r="C150" s="324"/>
      <c r="D150" s="451">
        <f>(D136+D137+D140)*0.00422</f>
        <v>87.676829999999995</v>
      </c>
      <c r="E150" s="452">
        <f>(D136+D137+D140)*0.00482</f>
        <v>100.14272999999999</v>
      </c>
      <c r="F150" s="453">
        <f>(D136+D137+D140)*0.0062</f>
        <v>128.8143</v>
      </c>
      <c r="G150" s="452">
        <f>(D136+D137+D140)*0.00658</f>
        <v>136.70937000000001</v>
      </c>
      <c r="H150" s="453">
        <f>(D136+D137+D140)*0.0085</f>
        <v>176.60025000000002</v>
      </c>
      <c r="I150" s="324"/>
      <c r="J150" s="7"/>
      <c r="K150" s="156"/>
    </row>
    <row r="151" spans="1:11" ht="15" customHeight="1">
      <c r="A151" s="6"/>
      <c r="B151" s="324"/>
      <c r="C151" s="324"/>
      <c r="D151" s="454"/>
      <c r="E151" s="452"/>
      <c r="F151" s="452"/>
      <c r="G151" s="452"/>
      <c r="H151" s="452"/>
      <c r="I151" s="324"/>
      <c r="J151" s="7"/>
      <c r="K151" s="156"/>
    </row>
    <row r="152" spans="1:11" ht="15.9">
      <c r="A152" s="6"/>
      <c r="B152" s="376" t="s">
        <v>113</v>
      </c>
      <c r="C152" s="324"/>
      <c r="D152" s="454"/>
      <c r="E152" s="434"/>
      <c r="F152" s="434"/>
      <c r="G152" s="434"/>
      <c r="H152" s="434"/>
      <c r="I152" s="324"/>
      <c r="J152" s="7"/>
      <c r="K152" s="156"/>
    </row>
    <row r="153" spans="1:11" ht="15.9">
      <c r="A153" s="6"/>
      <c r="B153" s="455" t="s">
        <v>114</v>
      </c>
      <c r="C153" s="357"/>
      <c r="D153" s="456" t="s">
        <v>158</v>
      </c>
      <c r="E153" s="435"/>
      <c r="F153" s="435"/>
      <c r="G153" s="435"/>
      <c r="H153" s="435"/>
      <c r="I153" s="357"/>
      <c r="J153" s="7"/>
      <c r="K153" s="156"/>
    </row>
    <row r="154" spans="1:11" ht="15.9">
      <c r="A154" s="6"/>
      <c r="B154" s="457" t="s">
        <v>114</v>
      </c>
      <c r="C154" s="324"/>
      <c r="D154" s="458" t="s">
        <v>111</v>
      </c>
      <c r="E154" s="434"/>
      <c r="F154" s="434"/>
      <c r="G154" s="434"/>
      <c r="H154" s="434"/>
      <c r="I154" s="324"/>
      <c r="J154" s="7"/>
      <c r="K154" s="156"/>
    </row>
    <row r="155" spans="1:11" ht="15.9">
      <c r="A155" s="6"/>
      <c r="B155" s="455" t="s">
        <v>114</v>
      </c>
      <c r="C155" s="357"/>
      <c r="D155" s="456" t="s">
        <v>112</v>
      </c>
      <c r="E155" s="435"/>
      <c r="F155" s="435"/>
      <c r="G155" s="435"/>
      <c r="H155" s="435"/>
      <c r="I155" s="357"/>
      <c r="J155" s="7"/>
      <c r="K155" s="156"/>
    </row>
    <row r="156" spans="1:11" ht="15.9">
      <c r="A156" s="6"/>
      <c r="B156" s="459">
        <f>B91*1000*0.12</f>
        <v>729</v>
      </c>
      <c r="C156" s="414"/>
      <c r="D156" s="327" t="s">
        <v>199</v>
      </c>
      <c r="E156" s="434"/>
      <c r="F156" s="434"/>
      <c r="G156" s="434"/>
      <c r="H156" s="434"/>
      <c r="I156" s="324"/>
      <c r="J156" s="7"/>
      <c r="K156" s="156"/>
    </row>
    <row r="157" spans="1:11" ht="15.9">
      <c r="A157" s="6"/>
      <c r="B157" s="460">
        <f>0.19*1000*B91</f>
        <v>1154.25</v>
      </c>
      <c r="C157" s="357"/>
      <c r="D157" s="456" t="s">
        <v>115</v>
      </c>
      <c r="E157" s="435"/>
      <c r="F157" s="435"/>
      <c r="G157" s="435"/>
      <c r="H157" s="435"/>
      <c r="I157" s="357"/>
      <c r="J157" s="7"/>
      <c r="K157" s="156"/>
    </row>
    <row r="158" spans="1:11" ht="15.9">
      <c r="A158" s="6"/>
      <c r="B158" s="459">
        <f>0.2*1000*B91</f>
        <v>1215</v>
      </c>
      <c r="C158" s="324"/>
      <c r="D158" s="458" t="s">
        <v>116</v>
      </c>
      <c r="E158" s="434"/>
      <c r="F158" s="434"/>
      <c r="G158" s="434"/>
      <c r="H158" s="434"/>
      <c r="I158" s="324"/>
      <c r="J158" s="7"/>
      <c r="K158" s="156"/>
    </row>
    <row r="159" spans="1:11" ht="15.75" customHeight="1" thickBot="1">
      <c r="A159" s="6"/>
      <c r="B159" s="461"/>
      <c r="C159" s="461"/>
      <c r="D159" s="461"/>
      <c r="E159" s="461"/>
      <c r="F159" s="461"/>
      <c r="G159" s="461"/>
      <c r="H159" s="461"/>
      <c r="I159" s="461"/>
    </row>
    <row r="160" spans="1:11" s="464" customFormat="1" ht="38.15" customHeight="1">
      <c r="A160" s="462"/>
      <c r="B160" s="463" t="s">
        <v>155</v>
      </c>
      <c r="C160" s="463"/>
      <c r="D160" s="463"/>
      <c r="E160" s="463"/>
      <c r="F160" s="463"/>
      <c r="G160" s="463"/>
      <c r="H160" s="463"/>
      <c r="I160" s="463"/>
      <c r="J160" s="414"/>
    </row>
    <row r="161" spans="1:11" ht="15.75" customHeight="1">
      <c r="A161" s="6"/>
      <c r="D161" s="316" t="s">
        <v>159</v>
      </c>
    </row>
    <row r="162" spans="1:11" ht="15.75" customHeight="1">
      <c r="A162" s="6"/>
    </row>
    <row r="163" spans="1:11" ht="15.75" customHeight="1">
      <c r="A163" s="6"/>
    </row>
    <row r="164" spans="1:11" ht="15.75" customHeight="1">
      <c r="A164" s="6"/>
    </row>
    <row r="165" spans="1:11" s="31" customFormat="1" ht="14.5" customHeight="1">
      <c r="A165" s="261"/>
      <c r="C165" s="465"/>
      <c r="E165" s="240"/>
      <c r="F165" s="240"/>
      <c r="J165" s="466"/>
    </row>
    <row r="166" spans="1:11">
      <c r="A166" s="6"/>
      <c r="C166" s="467"/>
      <c r="E166" s="156"/>
      <c r="F166" s="156"/>
      <c r="K166" s="156"/>
    </row>
    <row r="167" spans="1:11" ht="18.45">
      <c r="A167" s="6"/>
      <c r="C167" s="467"/>
      <c r="E167" s="156"/>
      <c r="F167" s="156"/>
      <c r="G167" s="468"/>
      <c r="H167" s="468"/>
      <c r="I167" s="468"/>
      <c r="J167" s="469"/>
      <c r="K167" s="156"/>
    </row>
    <row r="168" spans="1:11" ht="18.45">
      <c r="A168" s="6"/>
      <c r="C168" s="467"/>
      <c r="E168" s="156"/>
      <c r="F168" s="156"/>
      <c r="G168" s="468"/>
      <c r="H168" s="468"/>
      <c r="I168" s="468"/>
      <c r="J168" s="469"/>
      <c r="K168" s="156"/>
    </row>
    <row r="169" spans="1:11" ht="15" customHeight="1" thickBot="1">
      <c r="A169" s="6"/>
      <c r="C169" s="470"/>
      <c r="D169" s="470"/>
      <c r="E169" s="470"/>
      <c r="F169" s="470"/>
      <c r="G169" s="470"/>
      <c r="H169" s="470"/>
      <c r="I169" s="471"/>
      <c r="J169" s="469"/>
      <c r="K169" s="156"/>
    </row>
    <row r="170" spans="1:11" ht="22" customHeight="1">
      <c r="A170" s="6"/>
      <c r="B170" s="472" t="s">
        <v>302</v>
      </c>
      <c r="C170" s="473"/>
      <c r="D170" s="473"/>
      <c r="E170" s="473"/>
      <c r="F170" s="473"/>
      <c r="G170" s="473"/>
      <c r="H170" s="473"/>
      <c r="I170" s="474"/>
      <c r="J170" s="469"/>
      <c r="K170" s="156"/>
    </row>
    <row r="171" spans="1:11" ht="22" customHeight="1">
      <c r="A171" s="6"/>
      <c r="B171" s="475"/>
      <c r="C171" s="476"/>
      <c r="D171" s="476"/>
      <c r="E171" s="476"/>
      <c r="F171" s="476"/>
      <c r="G171" s="476"/>
      <c r="H171" s="476"/>
      <c r="I171" s="477"/>
      <c r="J171" s="6"/>
      <c r="K171" s="156"/>
    </row>
    <row r="172" spans="1:11" ht="22" customHeight="1">
      <c r="A172" s="6"/>
      <c r="B172" s="475"/>
      <c r="C172" s="476"/>
      <c r="D172" s="476"/>
      <c r="E172" s="476"/>
      <c r="F172" s="476"/>
      <c r="G172" s="476"/>
      <c r="H172" s="476"/>
      <c r="I172" s="477"/>
      <c r="J172" s="6"/>
      <c r="K172" s="156"/>
    </row>
    <row r="173" spans="1:11" ht="23.15" customHeight="1" thickBot="1">
      <c r="A173" s="6"/>
      <c r="B173" s="478"/>
      <c r="C173" s="479"/>
      <c r="D173" s="479"/>
      <c r="E173" s="479"/>
      <c r="F173" s="479"/>
      <c r="G173" s="479"/>
      <c r="H173" s="479"/>
      <c r="I173" s="480"/>
      <c r="J173" s="6"/>
      <c r="K173" s="156"/>
    </row>
    <row r="174" spans="1:11" ht="64.3" customHeight="1" thickBot="1">
      <c r="C174" s="471"/>
      <c r="D174" s="471"/>
      <c r="E174" s="471"/>
      <c r="F174" s="471"/>
      <c r="G174" s="471"/>
      <c r="H174" s="471"/>
      <c r="I174" s="471"/>
    </row>
    <row r="175" spans="1:11" ht="28" customHeight="1">
      <c r="B175" s="481"/>
      <c r="C175" s="481"/>
      <c r="D175" s="481"/>
      <c r="E175" s="482" t="s">
        <v>109</v>
      </c>
      <c r="F175" s="482"/>
      <c r="G175" s="481"/>
      <c r="H175" s="481"/>
      <c r="I175" s="481"/>
    </row>
    <row r="176" spans="1:11" ht="14.15" customHeight="1">
      <c r="B176" s="483" t="s">
        <v>303</v>
      </c>
      <c r="C176" s="483"/>
      <c r="D176" s="483"/>
      <c r="E176" s="483"/>
      <c r="F176" s="483"/>
      <c r="G176" s="483"/>
      <c r="H176" s="483"/>
      <c r="I176" s="483"/>
      <c r="J176" s="484"/>
    </row>
    <row r="177" spans="1:10" ht="17.149999999999999" customHeight="1">
      <c r="A177" s="484"/>
      <c r="B177" s="483"/>
      <c r="C177" s="483"/>
      <c r="D177" s="483"/>
      <c r="E177" s="483"/>
      <c r="F177" s="483"/>
      <c r="G177" s="483"/>
      <c r="H177" s="483"/>
      <c r="I177" s="483"/>
      <c r="J177" s="484"/>
    </row>
    <row r="178" spans="1:10" ht="17.149999999999999" customHeight="1">
      <c r="A178" s="484"/>
      <c r="B178" s="483"/>
      <c r="C178" s="483"/>
      <c r="D178" s="483"/>
      <c r="E178" s="483"/>
      <c r="F178" s="483"/>
      <c r="G178" s="483"/>
      <c r="H178" s="483"/>
      <c r="I178" s="483"/>
      <c r="J178" s="484"/>
    </row>
    <row r="179" spans="1:10" ht="17.149999999999999" customHeight="1">
      <c r="A179" s="484"/>
      <c r="B179" s="483"/>
      <c r="C179" s="483"/>
      <c r="D179" s="483"/>
      <c r="E179" s="483"/>
      <c r="F179" s="483"/>
      <c r="G179" s="483"/>
      <c r="H179" s="483"/>
      <c r="I179" s="483"/>
      <c r="J179" s="484"/>
    </row>
    <row r="180" spans="1:10" ht="17.149999999999999" customHeight="1">
      <c r="A180" s="484"/>
      <c r="B180" s="483"/>
      <c r="C180" s="483"/>
      <c r="D180" s="483"/>
      <c r="E180" s="483"/>
      <c r="F180" s="483"/>
      <c r="G180" s="483"/>
      <c r="H180" s="483"/>
      <c r="I180" s="483"/>
      <c r="J180" s="484"/>
    </row>
    <row r="181" spans="1:10" ht="17.149999999999999" customHeight="1">
      <c r="A181" s="484"/>
      <c r="B181" s="483"/>
      <c r="C181" s="483"/>
      <c r="D181" s="483"/>
      <c r="E181" s="483"/>
      <c r="F181" s="483"/>
      <c r="G181" s="483"/>
      <c r="H181" s="483"/>
      <c r="I181" s="483"/>
      <c r="J181" s="484"/>
    </row>
    <row r="182" spans="1:10" ht="17.149999999999999" customHeight="1">
      <c r="A182" s="484"/>
      <c r="B182" s="483"/>
      <c r="C182" s="483"/>
      <c r="D182" s="483"/>
      <c r="E182" s="483"/>
      <c r="F182" s="483"/>
      <c r="G182" s="483"/>
      <c r="H182" s="483"/>
      <c r="I182" s="483"/>
      <c r="J182" s="484"/>
    </row>
    <row r="183" spans="1:10" ht="17.149999999999999" customHeight="1">
      <c r="A183" s="484"/>
      <c r="B183" s="483"/>
      <c r="C183" s="483"/>
      <c r="D183" s="483"/>
      <c r="E183" s="483"/>
      <c r="F183" s="483"/>
      <c r="G183" s="483"/>
      <c r="H183" s="483"/>
      <c r="I183" s="483"/>
      <c r="J183" s="484"/>
    </row>
    <row r="184" spans="1:10" ht="27" customHeight="1">
      <c r="A184" s="484"/>
      <c r="B184" s="483"/>
      <c r="C184" s="483"/>
      <c r="D184" s="483"/>
      <c r="E184" s="483"/>
      <c r="F184" s="483"/>
      <c r="G184" s="483"/>
      <c r="H184" s="483"/>
      <c r="I184" s="483"/>
      <c r="J184" s="484"/>
    </row>
    <row r="185" spans="1:10" ht="17.149999999999999" customHeight="1">
      <c r="A185" s="484"/>
      <c r="B185" s="485"/>
      <c r="C185" s="485"/>
      <c r="D185" s="485"/>
      <c r="E185" s="485"/>
      <c r="F185" s="485"/>
      <c r="G185" s="485"/>
      <c r="H185" s="485"/>
      <c r="I185" s="485"/>
      <c r="J185" s="484"/>
    </row>
    <row r="186" spans="1:10" ht="17.149999999999999" customHeight="1">
      <c r="A186" s="484"/>
      <c r="B186" s="485"/>
      <c r="C186" s="485"/>
      <c r="D186" s="485"/>
      <c r="E186" s="485"/>
      <c r="F186" s="485"/>
      <c r="G186" s="485"/>
      <c r="H186" s="486" t="s">
        <v>110</v>
      </c>
      <c r="I186" s="487"/>
      <c r="J186" s="484"/>
    </row>
    <row r="187" spans="1:10" ht="25" customHeight="1">
      <c r="A187" s="488"/>
      <c r="B187" s="489"/>
      <c r="C187" s="489"/>
      <c r="D187" s="489"/>
      <c r="E187" s="489"/>
      <c r="F187" s="489"/>
      <c r="H187" s="490"/>
      <c r="I187" s="491"/>
      <c r="J187" s="484"/>
    </row>
    <row r="188" spans="1:10">
      <c r="A188" s="488"/>
      <c r="B188" s="489"/>
      <c r="C188" s="489"/>
      <c r="D188" s="489"/>
      <c r="E188" s="489"/>
      <c r="F188" s="489"/>
      <c r="G188" s="489"/>
      <c r="H188" s="492"/>
      <c r="I188" s="493"/>
      <c r="J188" s="488"/>
    </row>
    <row r="189" spans="1:10">
      <c r="B189" s="494"/>
      <c r="C189" s="494"/>
      <c r="D189" s="494"/>
      <c r="E189" s="494"/>
      <c r="F189" s="494"/>
      <c r="G189" s="494"/>
      <c r="H189" s="495"/>
      <c r="I189" s="496"/>
      <c r="J189" s="497"/>
    </row>
    <row r="190" spans="1:10">
      <c r="H190" s="356"/>
      <c r="I190" s="364"/>
    </row>
    <row r="191" spans="1:10">
      <c r="H191" s="356"/>
      <c r="I191" s="364"/>
    </row>
    <row r="192" spans="1:10">
      <c r="H192" s="498"/>
      <c r="I192" s="370"/>
    </row>
    <row r="193" spans="2:11">
      <c r="B193" s="499"/>
      <c r="C193" s="499"/>
      <c r="D193" s="499"/>
    </row>
    <row r="194" spans="2:11" ht="23.15" customHeight="1">
      <c r="B194" s="500" t="s">
        <v>156</v>
      </c>
      <c r="C194" s="500"/>
      <c r="D194" s="500"/>
      <c r="E194" s="501"/>
      <c r="F194" s="501"/>
      <c r="G194" s="501"/>
      <c r="H194" s="501"/>
      <c r="I194" s="501"/>
    </row>
    <row r="195" spans="2:11">
      <c r="B195" s="500"/>
      <c r="C195" s="500"/>
      <c r="D195" s="500"/>
      <c r="E195" s="317"/>
      <c r="F195" s="317"/>
      <c r="G195" s="317"/>
      <c r="H195" s="317"/>
      <c r="I195" s="317"/>
    </row>
    <row r="196" spans="2:11">
      <c r="B196" s="502"/>
      <c r="C196" s="502"/>
      <c r="D196" s="502"/>
      <c r="E196" s="367"/>
      <c r="F196" s="367"/>
      <c r="G196" s="367"/>
      <c r="H196" s="367"/>
      <c r="I196" s="367"/>
    </row>
    <row r="198" spans="2:11" ht="18" customHeight="1">
      <c r="B198" s="503" t="s">
        <v>304</v>
      </c>
      <c r="C198" s="503"/>
      <c r="D198" s="503"/>
      <c r="E198" s="503"/>
      <c r="F198" s="503"/>
      <c r="G198" s="503"/>
      <c r="H198" s="503"/>
      <c r="I198" s="503"/>
    </row>
    <row r="199" spans="2:11" ht="18" customHeight="1">
      <c r="B199" s="503"/>
      <c r="C199" s="503"/>
      <c r="D199" s="503"/>
      <c r="E199" s="503"/>
      <c r="F199" s="503"/>
      <c r="G199" s="503"/>
      <c r="H199" s="503"/>
      <c r="I199" s="503"/>
      <c r="K199" s="504"/>
    </row>
    <row r="200" spans="2:11" ht="18" customHeight="1">
      <c r="B200" s="504" t="s">
        <v>286</v>
      </c>
      <c r="C200" s="505"/>
      <c r="D200" s="506"/>
      <c r="E200" s="505"/>
      <c r="F200" s="505"/>
      <c r="G200" s="507"/>
      <c r="H200" s="507"/>
    </row>
    <row r="201" spans="2:11" ht="15" customHeight="1">
      <c r="B201" s="505"/>
      <c r="C201" s="505"/>
      <c r="D201" s="506"/>
      <c r="E201" s="505"/>
      <c r="F201" s="505"/>
      <c r="G201" s="507"/>
      <c r="H201" s="507"/>
      <c r="I201" s="507"/>
    </row>
    <row r="202" spans="2:11" ht="18" customHeight="1">
      <c r="B202" s="503" t="s">
        <v>305</v>
      </c>
      <c r="C202" s="503"/>
      <c r="D202" s="503"/>
      <c r="E202" s="503"/>
      <c r="F202" s="503"/>
      <c r="G202" s="503"/>
      <c r="H202" s="503"/>
      <c r="I202" s="503"/>
    </row>
    <row r="203" spans="2:11" ht="18" customHeight="1">
      <c r="B203" s="503"/>
      <c r="C203" s="503"/>
      <c r="D203" s="503"/>
      <c r="E203" s="503"/>
      <c r="F203" s="503"/>
      <c r="G203" s="503"/>
      <c r="H203" s="503"/>
      <c r="I203" s="503"/>
      <c r="J203" s="508"/>
    </row>
    <row r="204" spans="2:11" ht="18" customHeight="1">
      <c r="B204" s="316" t="s">
        <v>200</v>
      </c>
      <c r="C204" s="505"/>
      <c r="E204" s="505"/>
      <c r="F204" s="505"/>
      <c r="G204" s="507"/>
      <c r="H204" s="507"/>
      <c r="J204" s="508"/>
    </row>
    <row r="205" spans="2:11" ht="15" customHeight="1"/>
    <row r="206" spans="2:11" ht="18" customHeight="1">
      <c r="B206" s="509" t="s">
        <v>306</v>
      </c>
      <c r="C206" s="509"/>
      <c r="D206" s="509"/>
      <c r="E206" s="509"/>
      <c r="F206" s="509"/>
      <c r="G206" s="509"/>
      <c r="H206" s="509"/>
      <c r="I206" s="509"/>
    </row>
    <row r="207" spans="2:11" ht="18" customHeight="1">
      <c r="B207" s="509"/>
      <c r="C207" s="509"/>
      <c r="D207" s="509"/>
      <c r="E207" s="509"/>
      <c r="F207" s="509"/>
      <c r="G207" s="509"/>
      <c r="H207" s="509"/>
      <c r="I207" s="509"/>
    </row>
    <row r="208" spans="2:11">
      <c r="B208" s="316" t="s">
        <v>160</v>
      </c>
    </row>
    <row r="209" spans="1:12" ht="15" customHeight="1"/>
    <row r="210" spans="1:12" ht="15.9">
      <c r="B210" s="510"/>
      <c r="C210" s="511"/>
      <c r="D210" s="511"/>
      <c r="E210" s="512"/>
      <c r="F210" s="512"/>
      <c r="G210" s="511"/>
      <c r="H210" s="511"/>
      <c r="I210" s="511"/>
    </row>
    <row r="211" spans="1:12" ht="19" customHeight="1">
      <c r="B211" s="513" t="s">
        <v>157</v>
      </c>
      <c r="C211" s="513"/>
      <c r="D211" s="513"/>
      <c r="E211" s="514" t="s">
        <v>98</v>
      </c>
      <c r="F211" s="514"/>
      <c r="G211" s="514"/>
      <c r="H211" s="515" t="s">
        <v>172</v>
      </c>
      <c r="I211" s="515"/>
    </row>
    <row r="212" spans="1:12" ht="20.6">
      <c r="A212" s="516"/>
      <c r="B212" s="512"/>
      <c r="C212" s="512"/>
      <c r="D212" s="517"/>
      <c r="E212" s="511"/>
      <c r="F212" s="511"/>
      <c r="G212" s="512"/>
      <c r="H212" s="512"/>
      <c r="I212" s="518"/>
      <c r="J212" s="516"/>
    </row>
    <row r="213" spans="1:12" ht="19" customHeight="1">
      <c r="E213" s="519"/>
      <c r="F213" s="519"/>
      <c r="G213" s="519"/>
      <c r="K213" s="34"/>
      <c r="L213" s="34"/>
    </row>
    <row r="214" spans="1:12">
      <c r="B214" s="520"/>
    </row>
    <row r="215" spans="1:12">
      <c r="B215" s="520"/>
    </row>
    <row r="216" spans="1:12" ht="19" customHeight="1">
      <c r="B216" s="520"/>
    </row>
    <row r="217" spans="1:12" s="34" customFormat="1" ht="20.6">
      <c r="A217" s="317"/>
      <c r="B217" s="520"/>
      <c r="C217" s="316"/>
      <c r="D217" s="316"/>
      <c r="E217" s="316"/>
      <c r="F217" s="316"/>
      <c r="G217" s="316"/>
      <c r="H217" s="316"/>
      <c r="I217" s="316"/>
      <c r="J217" s="317"/>
      <c r="K217" s="316"/>
      <c r="L217" s="316"/>
    </row>
    <row r="219" spans="1:12" ht="20.6">
      <c r="C219" s="521"/>
      <c r="D219" s="521"/>
      <c r="E219" s="521"/>
      <c r="F219" s="521"/>
      <c r="G219" s="521"/>
      <c r="H219" s="521"/>
    </row>
    <row r="222" spans="1:12">
      <c r="B222" s="520"/>
    </row>
    <row r="223" spans="1:12">
      <c r="B223" s="520"/>
    </row>
    <row r="224" spans="1:12">
      <c r="B224" s="520"/>
    </row>
    <row r="225" spans="2:2">
      <c r="B225" s="520"/>
    </row>
  </sheetData>
  <sheetProtection algorithmName="SHA-512" hashValue="O8e6bBHjs4Epnvm4WZNjy9lhv5nBi0nH4PVD3gUeZoz6mY771gashqwWUcxmkO2uKdS9SHmzvor2cpQgSwnBlg==" saltValue="5whU6CT+Tj6OfM5fcvflRg==" spinCount="100000" sheet="1" selectLockedCells="1"/>
  <mergeCells count="29">
    <mergeCell ref="E10:F10"/>
    <mergeCell ref="B39:I43"/>
    <mergeCell ref="B76:I80"/>
    <mergeCell ref="C91:E91"/>
    <mergeCell ref="C92:F92"/>
    <mergeCell ref="E211:G211"/>
    <mergeCell ref="H211:I211"/>
    <mergeCell ref="B211:D211"/>
    <mergeCell ref="G96:H96"/>
    <mergeCell ref="G101:H101"/>
    <mergeCell ref="G106:H106"/>
    <mergeCell ref="G107:H107"/>
    <mergeCell ref="G102:H102"/>
    <mergeCell ref="G97:H97"/>
    <mergeCell ref="H135:J135"/>
    <mergeCell ref="E175:F175"/>
    <mergeCell ref="B134:I134"/>
    <mergeCell ref="B170:I173"/>
    <mergeCell ref="B176:I184"/>
    <mergeCell ref="H186:I187"/>
    <mergeCell ref="B160:I160"/>
    <mergeCell ref="B198:I199"/>
    <mergeCell ref="B202:I203"/>
    <mergeCell ref="B206:I207"/>
    <mergeCell ref="B87:F88"/>
    <mergeCell ref="C112:H112"/>
    <mergeCell ref="B194:D196"/>
    <mergeCell ref="G90:I92"/>
    <mergeCell ref="G94:I94"/>
  </mergeCells>
  <hyperlinks>
    <hyperlink ref="E211" r:id="rId1" xr:uid="{0169A2B2-A136-4B99-9254-8988261FE4E3}"/>
    <hyperlink ref="B211" r:id="rId2" xr:uid="{5ACB0B7F-FCB1-4F12-BCA6-52F4C7FCE9C4}"/>
  </hyperlinks>
  <pageMargins left="0.25" right="0.25" top="0.75" bottom="0.75" header="0.3" footer="0.3"/>
  <pageSetup scale="91" fitToHeight="6" orientation="portrait" r:id="rId3"/>
  <rowBreaks count="3" manualBreakCount="3">
    <brk id="67" max="16383" man="1"/>
    <brk id="131" max="16383" man="1"/>
    <brk id="133"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D1BA-2128-44C3-906B-5CA715679D7C}">
  <sheetPr>
    <pageSetUpPr fitToPage="1"/>
  </sheetPr>
  <dimension ref="A1:Z145"/>
  <sheetViews>
    <sheetView topLeftCell="A41" zoomScale="94" zoomScaleNormal="94" workbookViewId="0">
      <selection activeCell="J41" sqref="J41"/>
    </sheetView>
  </sheetViews>
  <sheetFormatPr defaultColWidth="8.84375" defaultRowHeight="16.75"/>
  <cols>
    <col min="1" max="1" width="3.84375" customWidth="1"/>
    <col min="2" max="7" width="11.84375" customWidth="1"/>
    <col min="8" max="8" width="12.15234375" customWidth="1"/>
    <col min="9" max="9" width="11.84375" customWidth="1"/>
    <col min="10" max="10" width="3.84375" customWidth="1"/>
    <col min="13" max="13" width="8.84375" style="72"/>
  </cols>
  <sheetData>
    <row r="1" spans="1:26" s="1" customFormat="1" ht="17.600000000000001">
      <c r="A1" s="73"/>
      <c r="B1" s="74"/>
      <c r="C1" s="74"/>
      <c r="D1" s="74"/>
      <c r="E1" s="74"/>
      <c r="F1" s="74"/>
      <c r="G1" s="74"/>
      <c r="H1" s="74"/>
      <c r="I1" s="74"/>
      <c r="J1" s="74"/>
      <c r="K1"/>
      <c r="L1"/>
      <c r="M1" s="72"/>
      <c r="N1"/>
      <c r="O1"/>
      <c r="P1"/>
      <c r="Q1"/>
      <c r="R1"/>
      <c r="S1"/>
      <c r="T1"/>
      <c r="U1"/>
      <c r="V1"/>
      <c r="W1"/>
      <c r="X1"/>
      <c r="Y1"/>
      <c r="Z1"/>
    </row>
    <row r="2" spans="1:26" s="1" customFormat="1" ht="17.600000000000001">
      <c r="A2" s="92"/>
      <c r="B2" s="93"/>
      <c r="C2" s="74"/>
      <c r="D2" s="74"/>
      <c r="E2" s="74"/>
      <c r="F2" s="74"/>
      <c r="G2" s="74"/>
      <c r="H2" s="74"/>
      <c r="I2" s="74"/>
      <c r="J2" s="74"/>
      <c r="K2"/>
      <c r="L2"/>
      <c r="M2" s="72"/>
      <c r="N2"/>
      <c r="O2"/>
      <c r="P2"/>
      <c r="Q2"/>
      <c r="R2"/>
      <c r="S2"/>
      <c r="T2"/>
      <c r="U2"/>
      <c r="V2"/>
      <c r="W2"/>
      <c r="X2"/>
      <c r="Y2"/>
      <c r="Z2"/>
    </row>
    <row r="3" spans="1:26" s="1" customFormat="1" ht="17.600000000000001">
      <c r="A3" s="92"/>
      <c r="B3" s="93"/>
      <c r="C3" s="74"/>
      <c r="D3" s="74"/>
      <c r="E3" s="74"/>
      <c r="F3" s="74"/>
      <c r="G3" s="74"/>
      <c r="H3" s="74"/>
      <c r="I3" s="74"/>
      <c r="J3" s="74"/>
      <c r="K3"/>
      <c r="L3"/>
      <c r="M3" s="72"/>
      <c r="N3"/>
      <c r="O3"/>
      <c r="P3"/>
      <c r="Q3"/>
      <c r="R3"/>
      <c r="S3"/>
      <c r="T3"/>
      <c r="U3"/>
      <c r="V3"/>
      <c r="W3"/>
      <c r="X3"/>
      <c r="Y3"/>
      <c r="Z3"/>
    </row>
    <row r="4" spans="1:26" s="1" customFormat="1" ht="17.600000000000001">
      <c r="A4" s="92"/>
      <c r="B4" s="93"/>
      <c r="C4" s="74"/>
      <c r="D4" s="74"/>
      <c r="E4" s="74"/>
      <c r="F4" s="74"/>
      <c r="G4" s="74"/>
      <c r="H4" s="74"/>
      <c r="I4" s="74"/>
      <c r="J4" s="74"/>
      <c r="K4"/>
      <c r="L4"/>
      <c r="M4" s="72"/>
      <c r="N4"/>
      <c r="O4"/>
      <c r="P4"/>
      <c r="Q4"/>
      <c r="R4"/>
      <c r="S4"/>
      <c r="T4"/>
      <c r="U4"/>
      <c r="V4"/>
      <c r="W4"/>
      <c r="X4"/>
      <c r="Y4"/>
      <c r="Z4"/>
    </row>
    <row r="5" spans="1:26" s="1" customFormat="1" ht="17.600000000000001">
      <c r="A5" s="92"/>
      <c r="B5" s="93"/>
      <c r="C5" s="74"/>
      <c r="D5" s="74"/>
      <c r="E5" s="74"/>
      <c r="F5" s="74"/>
      <c r="G5" s="74"/>
      <c r="H5" s="74"/>
      <c r="I5" s="74"/>
      <c r="J5" s="74"/>
      <c r="K5"/>
      <c r="L5"/>
      <c r="M5" s="72"/>
      <c r="N5"/>
      <c r="O5"/>
      <c r="P5"/>
      <c r="Q5"/>
      <c r="R5"/>
      <c r="S5"/>
      <c r="T5"/>
      <c r="U5"/>
      <c r="V5"/>
      <c r="W5"/>
      <c r="X5"/>
      <c r="Y5"/>
      <c r="Z5"/>
    </row>
    <row r="6" spans="1:26" s="1" customFormat="1" ht="17.600000000000001">
      <c r="A6" s="73"/>
      <c r="B6" s="74"/>
      <c r="C6" s="74"/>
      <c r="D6" s="74"/>
      <c r="E6" s="74"/>
      <c r="F6" s="74"/>
      <c r="G6" s="74"/>
      <c r="H6" s="74"/>
      <c r="I6" s="74"/>
      <c r="J6" s="74"/>
      <c r="K6"/>
      <c r="L6"/>
      <c r="M6" s="72"/>
      <c r="N6"/>
      <c r="O6"/>
      <c r="P6"/>
      <c r="Q6"/>
      <c r="R6"/>
      <c r="S6"/>
      <c r="T6"/>
      <c r="U6"/>
      <c r="V6"/>
      <c r="W6"/>
      <c r="X6"/>
      <c r="Y6"/>
      <c r="Z6"/>
    </row>
    <row r="7" spans="1:26" s="1" customFormat="1" ht="17.600000000000001">
      <c r="A7" s="73"/>
      <c r="B7" s="74"/>
      <c r="C7" s="74"/>
      <c r="D7" s="74"/>
      <c r="E7" s="74"/>
      <c r="F7" s="74"/>
      <c r="G7" s="74"/>
      <c r="H7" s="74"/>
      <c r="I7" s="74"/>
      <c r="J7" s="74"/>
      <c r="K7"/>
      <c r="L7"/>
      <c r="M7" s="72"/>
      <c r="N7"/>
      <c r="O7"/>
      <c r="P7"/>
      <c r="Q7"/>
      <c r="R7"/>
      <c r="S7"/>
      <c r="T7"/>
      <c r="U7"/>
      <c r="V7"/>
      <c r="W7"/>
      <c r="X7"/>
      <c r="Y7"/>
      <c r="Z7"/>
    </row>
    <row r="8" spans="1:26" ht="17.600000000000001">
      <c r="A8" s="73"/>
      <c r="B8" s="73"/>
      <c r="C8" s="73"/>
      <c r="D8" s="73"/>
      <c r="E8" s="73"/>
      <c r="F8" s="74"/>
      <c r="G8" s="74"/>
      <c r="H8" s="74"/>
      <c r="I8" s="74"/>
      <c r="J8" s="74"/>
    </row>
    <row r="9" spans="1:26" ht="20.6">
      <c r="A9" s="73"/>
      <c r="B9" s="73"/>
      <c r="C9" s="73"/>
      <c r="D9" s="73"/>
      <c r="E9" s="1"/>
      <c r="F9" s="75"/>
      <c r="G9" s="74"/>
      <c r="H9" s="74"/>
      <c r="I9" s="74"/>
      <c r="J9" s="74"/>
    </row>
    <row r="10" spans="1:26" ht="24">
      <c r="A10" s="73"/>
      <c r="B10" s="73"/>
      <c r="C10" s="73"/>
      <c r="D10" s="73"/>
      <c r="E10" s="91"/>
      <c r="F10" s="75"/>
      <c r="G10" s="74"/>
      <c r="H10" s="74"/>
      <c r="I10" s="74"/>
      <c r="J10" s="74"/>
    </row>
    <row r="11" spans="1:26" ht="24" customHeight="1" thickBot="1">
      <c r="A11" s="73"/>
      <c r="B11" s="205" t="s">
        <v>74</v>
      </c>
      <c r="C11" s="73"/>
      <c r="D11" s="73"/>
      <c r="E11" s="75"/>
      <c r="F11" s="74"/>
      <c r="G11" s="74"/>
      <c r="H11" s="74"/>
      <c r="I11" s="74"/>
      <c r="J11" s="74"/>
    </row>
    <row r="12" spans="1:26" ht="15.75" customHeight="1" thickTop="1">
      <c r="A12" s="89"/>
      <c r="B12" s="137"/>
      <c r="C12" s="137"/>
      <c r="D12" s="137"/>
      <c r="E12" s="138"/>
      <c r="F12" s="138"/>
      <c r="G12" s="95"/>
      <c r="H12" s="95"/>
      <c r="I12" s="95"/>
      <c r="J12" s="74"/>
    </row>
    <row r="13" spans="1:26" ht="23.6">
      <c r="A13" s="89"/>
      <c r="B13" s="139" t="s">
        <v>8</v>
      </c>
      <c r="C13" s="90" t="str">
        <f>'Master Input'!B1</f>
        <v>Ty Webb</v>
      </c>
      <c r="D13" s="1"/>
      <c r="E13" s="1"/>
      <c r="F13" s="1"/>
      <c r="G13" s="140" t="s">
        <v>9</v>
      </c>
      <c r="H13" s="1"/>
      <c r="I13" s="172" t="str">
        <f>'Master Input'!B4</f>
        <v>772.678.6923</v>
      </c>
      <c r="J13" s="74"/>
    </row>
    <row r="14" spans="1:26" ht="24" customHeight="1">
      <c r="A14" s="73"/>
      <c r="B14" s="1"/>
      <c r="C14" s="1"/>
      <c r="D14" s="76"/>
      <c r="E14" s="1"/>
      <c r="F14" s="1"/>
      <c r="G14" s="141"/>
      <c r="H14" s="1"/>
      <c r="I14" s="1"/>
      <c r="J14" s="74"/>
    </row>
    <row r="15" spans="1:26" ht="23.6">
      <c r="A15" s="73"/>
      <c r="B15" s="139" t="s">
        <v>17</v>
      </c>
      <c r="C15" s="90" t="str">
        <f>'Master Input'!B2</f>
        <v>4345 Bushwood Dr</v>
      </c>
      <c r="D15" s="1"/>
      <c r="E15" s="1"/>
      <c r="F15" s="1"/>
      <c r="G15" s="140" t="s">
        <v>10</v>
      </c>
      <c r="H15" s="1"/>
      <c r="I15" s="172" t="str">
        <f>'Master Input'!B5</f>
        <v>ty@webb.com</v>
      </c>
      <c r="J15" s="74"/>
    </row>
    <row r="16" spans="1:26" ht="23.6">
      <c r="A16" s="73"/>
      <c r="B16" s="74"/>
      <c r="C16" s="90" t="str">
        <f>'Master Input'!B3</f>
        <v xml:space="preserve">Jupiter Island FL </v>
      </c>
      <c r="D16" s="89"/>
      <c r="E16" s="1"/>
      <c r="F16" s="1"/>
      <c r="G16" s="74"/>
      <c r="H16" s="74"/>
      <c r="I16" s="74"/>
      <c r="J16" s="74"/>
    </row>
    <row r="17" spans="1:10" ht="15.75" customHeight="1" thickBot="1">
      <c r="A17" s="73"/>
      <c r="B17" s="89"/>
      <c r="C17" s="89"/>
      <c r="D17" s="89"/>
      <c r="E17" s="74"/>
      <c r="F17" s="76"/>
      <c r="G17" s="76"/>
      <c r="H17" s="76"/>
      <c r="I17" s="74"/>
      <c r="J17" s="74"/>
    </row>
    <row r="18" spans="1:10" ht="15" customHeight="1" thickTop="1">
      <c r="A18" s="73"/>
      <c r="B18" s="137"/>
      <c r="C18" s="137"/>
      <c r="D18" s="137"/>
      <c r="E18" s="94"/>
      <c r="F18" s="142"/>
      <c r="G18" s="143"/>
      <c r="H18" s="144"/>
      <c r="I18" s="95"/>
      <c r="J18" s="74"/>
    </row>
    <row r="19" spans="1:10" ht="17.600000000000001">
      <c r="A19" s="73"/>
      <c r="B19" s="89"/>
      <c r="C19" s="89"/>
      <c r="D19" s="89"/>
      <c r="E19" s="73"/>
      <c r="F19" s="145"/>
      <c r="G19" s="77"/>
      <c r="H19" s="78"/>
      <c r="I19" s="74"/>
      <c r="J19" s="74"/>
    </row>
    <row r="20" spans="1:10" ht="17.600000000000001">
      <c r="A20" s="73"/>
      <c r="B20" s="89"/>
      <c r="C20" s="89"/>
      <c r="D20" s="89"/>
      <c r="E20" s="73"/>
      <c r="F20" s="145"/>
      <c r="G20" s="77"/>
      <c r="H20" s="78"/>
      <c r="I20" s="74"/>
      <c r="J20" s="74"/>
    </row>
    <row r="21" spans="1:10" ht="17.600000000000001">
      <c r="A21" s="73"/>
      <c r="B21" s="89"/>
      <c r="C21" s="89"/>
      <c r="D21" s="89"/>
      <c r="E21" s="73"/>
      <c r="F21" s="145"/>
      <c r="G21" s="77"/>
      <c r="H21" s="78"/>
      <c r="I21" s="74"/>
      <c r="J21" s="74"/>
    </row>
    <row r="22" spans="1:10" ht="17.600000000000001">
      <c r="A22" s="73"/>
      <c r="B22" s="89"/>
      <c r="C22" s="89"/>
      <c r="D22" s="89"/>
      <c r="E22" s="73"/>
      <c r="F22" s="145"/>
      <c r="G22" s="77"/>
      <c r="H22" s="78"/>
      <c r="I22" s="74"/>
      <c r="J22" s="74"/>
    </row>
    <row r="23" spans="1:10" ht="17.600000000000001">
      <c r="A23" s="73"/>
      <c r="B23" s="89"/>
      <c r="C23" s="89"/>
      <c r="D23" s="89"/>
      <c r="E23" s="73"/>
      <c r="F23" s="145"/>
      <c r="G23" s="77"/>
      <c r="H23" s="78"/>
      <c r="I23" s="74"/>
      <c r="J23" s="74"/>
    </row>
    <row r="24" spans="1:10" ht="17.600000000000001">
      <c r="A24" s="73"/>
      <c r="B24" s="89"/>
      <c r="C24" s="89"/>
      <c r="D24" s="89"/>
      <c r="E24" s="73"/>
      <c r="F24" s="145"/>
      <c r="G24" s="77"/>
      <c r="H24" s="78"/>
      <c r="I24" s="74"/>
      <c r="J24" s="74"/>
    </row>
    <row r="25" spans="1:10" ht="17.600000000000001">
      <c r="A25" s="73"/>
      <c r="B25" s="89"/>
      <c r="C25" s="89"/>
      <c r="D25" s="89"/>
      <c r="E25" s="73"/>
      <c r="F25" s="145"/>
      <c r="G25" s="77"/>
      <c r="H25" s="78"/>
      <c r="I25" s="74"/>
      <c r="J25" s="74"/>
    </row>
    <row r="26" spans="1:10" ht="17.600000000000001">
      <c r="A26" s="73"/>
      <c r="B26" s="89"/>
      <c r="C26" s="89"/>
      <c r="D26" s="89"/>
      <c r="E26" s="73"/>
      <c r="F26" s="145"/>
      <c r="G26" s="77"/>
      <c r="H26" s="78"/>
      <c r="I26" s="74"/>
      <c r="J26" s="74"/>
    </row>
    <row r="27" spans="1:10" ht="17.600000000000001">
      <c r="A27" s="73"/>
      <c r="B27" s="89"/>
      <c r="C27" s="89"/>
      <c r="D27" s="89"/>
      <c r="E27" s="73"/>
      <c r="F27" s="145"/>
      <c r="G27" s="77"/>
      <c r="H27" s="78"/>
      <c r="I27" s="74"/>
      <c r="J27" s="74"/>
    </row>
    <row r="28" spans="1:10" ht="17.600000000000001">
      <c r="A28" s="73"/>
      <c r="B28" s="89"/>
      <c r="C28" s="89"/>
      <c r="D28" s="89"/>
      <c r="E28" s="73"/>
      <c r="F28" s="145"/>
      <c r="G28" s="77"/>
      <c r="H28" s="78"/>
      <c r="I28" s="74"/>
      <c r="J28" s="74"/>
    </row>
    <row r="29" spans="1:10" ht="17.600000000000001">
      <c r="A29" s="73"/>
      <c r="B29" s="89"/>
      <c r="C29" s="89"/>
      <c r="D29" s="89"/>
      <c r="E29" s="73"/>
      <c r="F29" s="145"/>
      <c r="G29" s="77"/>
      <c r="H29" s="78"/>
      <c r="I29" s="74"/>
      <c r="J29" s="74"/>
    </row>
    <row r="30" spans="1:10" ht="17.600000000000001">
      <c r="A30" s="73"/>
      <c r="B30" s="89"/>
      <c r="C30" s="89"/>
      <c r="D30" s="89"/>
      <c r="E30" s="73"/>
      <c r="F30" s="145"/>
      <c r="G30" s="77"/>
      <c r="H30" s="78"/>
      <c r="I30" s="74"/>
      <c r="J30" s="74"/>
    </row>
    <row r="31" spans="1:10" ht="17.600000000000001">
      <c r="A31" s="73"/>
      <c r="B31" s="89"/>
      <c r="C31" s="89"/>
      <c r="D31" s="89"/>
      <c r="E31" s="73"/>
      <c r="F31" s="145"/>
      <c r="G31" s="77"/>
      <c r="H31" s="78"/>
      <c r="I31" s="74"/>
      <c r="J31" s="74"/>
    </row>
    <row r="32" spans="1:10" ht="17.600000000000001">
      <c r="A32" s="73"/>
      <c r="B32" s="89"/>
      <c r="C32" s="89"/>
      <c r="D32" s="89"/>
      <c r="E32" s="73"/>
      <c r="F32" s="145"/>
      <c r="G32" s="77"/>
      <c r="H32" s="78"/>
      <c r="I32" s="74"/>
      <c r="J32" s="74"/>
    </row>
    <row r="33" spans="1:10" ht="17.600000000000001">
      <c r="A33" s="73"/>
      <c r="B33" s="89"/>
      <c r="C33" s="89"/>
      <c r="D33" s="89"/>
      <c r="E33" s="73"/>
      <c r="F33" s="145"/>
      <c r="G33" s="77"/>
      <c r="H33" s="78"/>
      <c r="I33" s="74"/>
      <c r="J33" s="74"/>
    </row>
    <row r="34" spans="1:10" ht="17.600000000000001">
      <c r="A34" s="73"/>
      <c r="B34" s="89"/>
      <c r="C34" s="89"/>
      <c r="D34" s="89"/>
      <c r="E34" s="73"/>
      <c r="F34" s="145"/>
      <c r="G34" s="77"/>
      <c r="H34" s="78"/>
      <c r="I34" s="74"/>
      <c r="J34" s="74"/>
    </row>
    <row r="35" spans="1:10" ht="19" customHeight="1">
      <c r="A35" s="73"/>
      <c r="B35" s="89"/>
      <c r="C35" s="89"/>
      <c r="D35" s="89"/>
      <c r="E35" s="73"/>
      <c r="F35" s="145"/>
      <c r="G35" s="77"/>
      <c r="H35" s="78"/>
      <c r="I35" s="74"/>
      <c r="J35" s="74"/>
    </row>
    <row r="36" spans="1:10" ht="19" customHeight="1">
      <c r="A36" s="73"/>
      <c r="B36" s="89"/>
      <c r="C36" s="89"/>
      <c r="D36" s="89"/>
      <c r="E36" s="73"/>
      <c r="F36" s="145"/>
      <c r="G36" s="77"/>
      <c r="H36" s="78"/>
      <c r="I36" s="74"/>
      <c r="J36" s="74"/>
    </row>
    <row r="37" spans="1:10" ht="19" customHeight="1">
      <c r="A37" s="73"/>
      <c r="B37" s="89"/>
      <c r="C37" s="89"/>
      <c r="D37" s="89"/>
      <c r="E37" s="73"/>
      <c r="F37" s="145"/>
      <c r="G37" s="77"/>
      <c r="H37" s="78"/>
      <c r="I37" s="74"/>
      <c r="J37" s="74"/>
    </row>
    <row r="38" spans="1:10" ht="22" customHeight="1">
      <c r="A38" s="73"/>
      <c r="B38" s="89"/>
      <c r="C38" s="89"/>
      <c r="D38" s="89"/>
      <c r="E38" s="73"/>
      <c r="F38" s="145"/>
      <c r="G38" s="77"/>
      <c r="H38" s="78"/>
      <c r="I38" s="74"/>
      <c r="J38" s="74"/>
    </row>
    <row r="39" spans="1:10" ht="15" customHeight="1" thickBot="1">
      <c r="A39" s="73"/>
      <c r="B39" s="89"/>
      <c r="C39" s="89"/>
      <c r="D39" s="89"/>
      <c r="E39" s="73"/>
      <c r="F39" s="145"/>
      <c r="G39" s="77"/>
      <c r="H39" s="78"/>
      <c r="I39" s="74"/>
      <c r="J39" s="74"/>
    </row>
    <row r="40" spans="1:10" ht="15.75" customHeight="1">
      <c r="A40" s="100"/>
      <c r="B40" s="300" t="s">
        <v>281</v>
      </c>
      <c r="C40" s="301"/>
      <c r="D40" s="301"/>
      <c r="E40" s="301"/>
      <c r="F40" s="301"/>
      <c r="G40" s="301"/>
      <c r="H40" s="301"/>
      <c r="I40" s="302"/>
      <c r="J40" s="74"/>
    </row>
    <row r="41" spans="1:10" ht="15.75" customHeight="1">
      <c r="A41" s="73"/>
      <c r="B41" s="303"/>
      <c r="C41" s="304"/>
      <c r="D41" s="304"/>
      <c r="E41" s="304"/>
      <c r="F41" s="304"/>
      <c r="G41" s="304"/>
      <c r="H41" s="304"/>
      <c r="I41" s="305"/>
      <c r="J41" s="146"/>
    </row>
    <row r="42" spans="1:10" ht="17.149999999999999" customHeight="1">
      <c r="A42" s="73"/>
      <c r="B42" s="303"/>
      <c r="C42" s="304"/>
      <c r="D42" s="304"/>
      <c r="E42" s="304"/>
      <c r="F42" s="304"/>
      <c r="G42" s="304"/>
      <c r="H42" s="304"/>
      <c r="I42" s="305"/>
      <c r="J42" s="146"/>
    </row>
    <row r="43" spans="1:10" ht="19" customHeight="1">
      <c r="A43" s="73"/>
      <c r="B43" s="303"/>
      <c r="C43" s="304"/>
      <c r="D43" s="304"/>
      <c r="E43" s="304"/>
      <c r="F43" s="304"/>
      <c r="G43" s="304"/>
      <c r="H43" s="304"/>
      <c r="I43" s="305"/>
      <c r="J43" s="146"/>
    </row>
    <row r="44" spans="1:10" ht="19" customHeight="1">
      <c r="A44" s="73"/>
      <c r="B44" s="303"/>
      <c r="C44" s="304"/>
      <c r="D44" s="304"/>
      <c r="E44" s="304"/>
      <c r="F44" s="304"/>
      <c r="G44" s="304"/>
      <c r="H44" s="304"/>
      <c r="I44" s="305"/>
      <c r="J44" s="146"/>
    </row>
    <row r="45" spans="1:10" ht="14.5" customHeight="1">
      <c r="A45" s="73"/>
      <c r="B45" s="303"/>
      <c r="C45" s="304"/>
      <c r="D45" s="304"/>
      <c r="E45" s="304"/>
      <c r="F45" s="304"/>
      <c r="G45" s="304"/>
      <c r="H45" s="304"/>
      <c r="I45" s="305"/>
      <c r="J45" s="146"/>
    </row>
    <row r="46" spans="1:10" ht="14.5" customHeight="1">
      <c r="A46" s="73"/>
      <c r="B46" s="303"/>
      <c r="C46" s="304"/>
      <c r="D46" s="304"/>
      <c r="E46" s="304"/>
      <c r="F46" s="304"/>
      <c r="G46" s="304"/>
      <c r="H46" s="304"/>
      <c r="I46" s="305"/>
      <c r="J46" s="146"/>
    </row>
    <row r="47" spans="1:10" ht="17.149999999999999" customHeight="1">
      <c r="A47" s="73"/>
      <c r="B47" s="303"/>
      <c r="C47" s="304"/>
      <c r="D47" s="304"/>
      <c r="E47" s="304"/>
      <c r="F47" s="304"/>
      <c r="G47" s="304"/>
      <c r="H47" s="304"/>
      <c r="I47" s="305"/>
      <c r="J47" s="146"/>
    </row>
    <row r="48" spans="1:10" ht="23.25" customHeight="1" thickBot="1">
      <c r="A48" s="73"/>
      <c r="B48" s="306"/>
      <c r="C48" s="307"/>
      <c r="D48" s="307"/>
      <c r="E48" s="307"/>
      <c r="F48" s="307"/>
      <c r="G48" s="307"/>
      <c r="H48" s="307"/>
      <c r="I48" s="308"/>
      <c r="J48" s="146"/>
    </row>
    <row r="49" spans="1:26" s="1" customFormat="1" ht="34" customHeight="1">
      <c r="A49" s="73"/>
      <c r="B49" s="73"/>
      <c r="C49" s="73"/>
      <c r="D49" s="73"/>
      <c r="E49" s="73"/>
      <c r="F49" s="73"/>
      <c r="G49" s="73"/>
      <c r="H49" s="73"/>
      <c r="I49" s="73"/>
      <c r="J49" s="73"/>
      <c r="K49"/>
      <c r="L49"/>
      <c r="M49" s="72"/>
      <c r="N49"/>
      <c r="O49"/>
      <c r="P49"/>
      <c r="Q49"/>
      <c r="R49"/>
      <c r="S49"/>
      <c r="T49"/>
      <c r="U49"/>
      <c r="V49"/>
      <c r="W49"/>
      <c r="X49"/>
      <c r="Y49"/>
      <c r="Z49"/>
    </row>
    <row r="50" spans="1:26" ht="24" customHeight="1">
      <c r="A50" s="1"/>
      <c r="B50" s="102"/>
      <c r="C50" s="123" t="s">
        <v>282</v>
      </c>
      <c r="D50" s="108"/>
      <c r="E50" s="108"/>
      <c r="F50" s="121"/>
      <c r="G50" s="121"/>
      <c r="H50" s="263">
        <f>'Master Input'!F24</f>
        <v>16369.612280461077</v>
      </c>
      <c r="I50" s="119"/>
      <c r="J50" s="89"/>
    </row>
    <row r="51" spans="1:26" ht="25" customHeight="1">
      <c r="A51" s="1"/>
      <c r="B51" s="124"/>
      <c r="C51" s="118" t="s">
        <v>283</v>
      </c>
      <c r="D51" s="122"/>
      <c r="E51" s="122"/>
      <c r="F51" s="102"/>
      <c r="G51" s="103"/>
      <c r="H51" s="264">
        <f>'Master Input'!F27</f>
        <v>60311.771948644317</v>
      </c>
      <c r="I51" s="120"/>
      <c r="J51" s="80"/>
    </row>
    <row r="52" spans="1:26" s="1" customFormat="1" ht="15.75" customHeight="1">
      <c r="A52" s="73"/>
      <c r="B52" s="81"/>
      <c r="C52" s="81"/>
      <c r="D52" s="81"/>
      <c r="E52" s="89"/>
      <c r="F52" s="82"/>
      <c r="G52" s="74"/>
      <c r="H52" s="73"/>
      <c r="I52" s="74"/>
      <c r="J52" s="83"/>
      <c r="K52"/>
      <c r="L52"/>
      <c r="M52" s="72"/>
      <c r="N52"/>
      <c r="O52"/>
      <c r="P52"/>
      <c r="Q52"/>
      <c r="R52"/>
      <c r="S52"/>
      <c r="T52"/>
      <c r="U52"/>
      <c r="V52"/>
      <c r="W52"/>
      <c r="X52"/>
      <c r="Y52"/>
      <c r="Z52"/>
    </row>
    <row r="53" spans="1:26" ht="25" customHeight="1">
      <c r="B53" s="104"/>
      <c r="C53" s="198" t="s">
        <v>78</v>
      </c>
      <c r="D53" s="105"/>
      <c r="E53" s="106"/>
      <c r="F53" s="104"/>
      <c r="G53" s="106"/>
      <c r="H53" s="265">
        <f>'Master Input'!B19</f>
        <v>14543.55</v>
      </c>
      <c r="I53" s="105"/>
      <c r="J53" s="83"/>
    </row>
    <row r="54" spans="1:26" s="1" customFormat="1" ht="14.15" customHeight="1" thickBot="1">
      <c r="A54" s="73"/>
      <c r="B54" s="81"/>
      <c r="C54" s="81"/>
      <c r="D54" s="81"/>
      <c r="E54" s="89"/>
      <c r="F54" s="81"/>
      <c r="G54" s="154"/>
      <c r="H54" s="74"/>
      <c r="I54" s="74"/>
      <c r="J54" s="83"/>
      <c r="K54"/>
      <c r="L54"/>
      <c r="M54" s="72"/>
      <c r="N54"/>
      <c r="O54"/>
      <c r="P54"/>
      <c r="Q54"/>
      <c r="R54"/>
      <c r="S54"/>
      <c r="T54"/>
      <c r="U54"/>
      <c r="V54"/>
      <c r="W54"/>
      <c r="X54"/>
      <c r="Y54"/>
      <c r="Z54"/>
    </row>
    <row r="55" spans="1:26" ht="29.5" customHeight="1" thickBot="1">
      <c r="A55" s="73"/>
      <c r="B55" s="309" t="s">
        <v>12</v>
      </c>
      <c r="C55" s="309"/>
      <c r="D55" s="309"/>
      <c r="E55" s="309"/>
      <c r="F55" s="309"/>
      <c r="G55" s="309"/>
      <c r="H55" s="309"/>
      <c r="I55" s="309"/>
      <c r="J55" s="93"/>
    </row>
    <row r="56" spans="1:26" s="1" customFormat="1" ht="15" customHeight="1">
      <c r="A56" s="73"/>
      <c r="B56" s="84"/>
      <c r="C56" s="84"/>
      <c r="D56" s="84"/>
      <c r="E56" s="84"/>
      <c r="F56" s="84"/>
      <c r="G56" s="84"/>
      <c r="H56" s="84"/>
      <c r="I56" s="84"/>
      <c r="J56" s="93"/>
      <c r="K56"/>
      <c r="L56"/>
      <c r="M56" s="72"/>
      <c r="N56"/>
      <c r="O56"/>
      <c r="P56"/>
      <c r="Q56"/>
      <c r="R56"/>
      <c r="S56"/>
      <c r="T56"/>
      <c r="U56"/>
      <c r="V56"/>
      <c r="W56"/>
      <c r="X56"/>
      <c r="Y56"/>
      <c r="Z56"/>
    </row>
    <row r="57" spans="1:26" ht="25" customHeight="1">
      <c r="A57" s="73"/>
      <c r="B57" s="102"/>
      <c r="C57" s="102"/>
      <c r="D57" s="125">
        <f>'Master Input'!B8</f>
        <v>15</v>
      </c>
      <c r="E57" s="184" t="s">
        <v>76</v>
      </c>
      <c r="F57" s="102"/>
      <c r="G57" s="126"/>
      <c r="H57" s="127"/>
      <c r="I57" s="127"/>
      <c r="J57" s="85"/>
    </row>
    <row r="58" spans="1:26" s="1" customFormat="1" ht="24" customHeight="1">
      <c r="A58" s="73"/>
      <c r="D58" s="150">
        <f>'Master Input'!B8</f>
        <v>15</v>
      </c>
      <c r="E58" s="185" t="s">
        <v>13</v>
      </c>
      <c r="G58" s="85"/>
      <c r="H58" s="85"/>
      <c r="I58" s="85"/>
      <c r="J58" s="85"/>
      <c r="K58"/>
      <c r="L58"/>
      <c r="M58" s="72"/>
      <c r="N58"/>
      <c r="O58"/>
      <c r="P58"/>
      <c r="Q58"/>
      <c r="R58"/>
      <c r="S58"/>
      <c r="T58"/>
      <c r="U58"/>
      <c r="V58"/>
      <c r="W58"/>
      <c r="X58"/>
      <c r="Y58"/>
      <c r="Z58"/>
    </row>
    <row r="59" spans="1:26" ht="24" customHeight="1">
      <c r="A59" s="73"/>
      <c r="B59" s="102"/>
      <c r="C59" s="102"/>
      <c r="D59" s="125">
        <f>'Master Input'!B16</f>
        <v>6.0750000000000002</v>
      </c>
      <c r="E59" s="128" t="s">
        <v>23</v>
      </c>
      <c r="F59" s="102"/>
      <c r="G59" s="127"/>
      <c r="H59" s="127"/>
      <c r="I59" s="127"/>
      <c r="J59" s="85"/>
    </row>
    <row r="60" spans="1:26" ht="24" customHeight="1">
      <c r="A60" s="73"/>
      <c r="B60" s="1"/>
      <c r="C60" s="1"/>
      <c r="D60" s="150">
        <f>'Master Input'!B16*'Master Input'!B13</f>
        <v>9112.5</v>
      </c>
      <c r="E60" s="93" t="s">
        <v>24</v>
      </c>
      <c r="F60" s="1"/>
      <c r="G60" s="93"/>
      <c r="H60" s="85"/>
      <c r="I60" s="85"/>
      <c r="J60" s="85"/>
    </row>
    <row r="61" spans="1:26" ht="15" customHeight="1" thickBot="1">
      <c r="A61" s="73"/>
      <c r="B61" s="152"/>
      <c r="C61" s="152"/>
      <c r="D61" s="153"/>
      <c r="E61" s="151"/>
      <c r="F61" s="151"/>
      <c r="G61" s="151"/>
      <c r="H61" s="151"/>
      <c r="I61" s="151"/>
      <c r="J61" s="84"/>
    </row>
    <row r="62" spans="1:26" ht="19" customHeight="1">
      <c r="A62" s="73"/>
      <c r="B62" s="313" t="s">
        <v>27</v>
      </c>
      <c r="C62" s="313"/>
      <c r="D62" s="313"/>
      <c r="E62" s="313"/>
      <c r="F62" s="313"/>
      <c r="G62" s="313"/>
      <c r="H62" s="313"/>
      <c r="I62" s="313"/>
      <c r="J62" s="93"/>
    </row>
    <row r="63" spans="1:26" ht="32.15" customHeight="1" thickBot="1">
      <c r="A63" s="73"/>
      <c r="B63" s="314"/>
      <c r="C63" s="314"/>
      <c r="D63" s="314"/>
      <c r="E63" s="314"/>
      <c r="F63" s="314"/>
      <c r="G63" s="314"/>
      <c r="H63" s="314"/>
      <c r="I63" s="314"/>
      <c r="J63" s="86"/>
    </row>
    <row r="64" spans="1:26" s="1" customFormat="1" ht="15" customHeight="1">
      <c r="A64" s="73"/>
      <c r="B64" s="93"/>
      <c r="C64" s="84"/>
      <c r="D64" s="84"/>
      <c r="E64" s="84"/>
      <c r="F64" s="84"/>
      <c r="G64" s="84"/>
      <c r="H64" s="84"/>
      <c r="I64" s="93"/>
      <c r="J64" s="86"/>
      <c r="K64"/>
      <c r="L64"/>
      <c r="M64" s="72"/>
      <c r="N64"/>
      <c r="O64"/>
      <c r="P64"/>
      <c r="Q64"/>
      <c r="R64"/>
      <c r="S64"/>
      <c r="T64"/>
      <c r="U64"/>
      <c r="V64"/>
      <c r="W64"/>
      <c r="X64"/>
      <c r="Y64"/>
      <c r="Z64"/>
    </row>
    <row r="65" spans="1:26" ht="24" customHeight="1">
      <c r="A65" s="73"/>
      <c r="B65" s="102"/>
      <c r="C65" s="129"/>
      <c r="D65" s="134">
        <f>'Master Input'!B17</f>
        <v>20776.5</v>
      </c>
      <c r="E65" s="131" t="s">
        <v>45</v>
      </c>
      <c r="F65" s="102"/>
      <c r="G65" s="131"/>
      <c r="H65" s="103"/>
      <c r="I65" s="103"/>
      <c r="J65" s="89"/>
    </row>
    <row r="66" spans="1:26" s="1" customFormat="1" ht="24" customHeight="1">
      <c r="A66" s="73"/>
      <c r="C66" s="74"/>
      <c r="D66" s="147">
        <f>'Master Input'!B18+'Master Input'!B39</f>
        <v>6232.95</v>
      </c>
      <c r="E66" s="93" t="s">
        <v>205</v>
      </c>
      <c r="G66" s="93"/>
      <c r="H66" s="79"/>
      <c r="I66" s="79"/>
      <c r="J66" s="89"/>
      <c r="K66"/>
      <c r="L66"/>
      <c r="M66" s="72"/>
      <c r="N66"/>
      <c r="O66"/>
      <c r="P66"/>
      <c r="Q66"/>
      <c r="R66"/>
      <c r="S66"/>
      <c r="T66"/>
      <c r="U66"/>
      <c r="V66"/>
      <c r="W66"/>
      <c r="X66"/>
      <c r="Y66"/>
      <c r="Z66"/>
    </row>
    <row r="67" spans="1:26" ht="24" customHeight="1">
      <c r="A67" s="73"/>
      <c r="B67" s="102"/>
      <c r="C67" s="108"/>
      <c r="D67" s="134">
        <f>'Master Input'!B41</f>
        <v>14543.55</v>
      </c>
      <c r="E67" s="131" t="s">
        <v>41</v>
      </c>
      <c r="F67" s="102"/>
      <c r="G67" s="132"/>
      <c r="H67" s="130"/>
      <c r="I67" s="130"/>
      <c r="J67" s="89"/>
    </row>
    <row r="68" spans="1:26" s="1" customFormat="1" ht="24" customHeight="1">
      <c r="A68" s="73"/>
      <c r="C68" s="74"/>
      <c r="D68" s="148">
        <f>'Master Input'!B31</f>
        <v>6.8285366206464744</v>
      </c>
      <c r="E68" s="93" t="s">
        <v>18</v>
      </c>
      <c r="G68" s="93"/>
      <c r="H68" s="74"/>
      <c r="I68" s="74"/>
      <c r="J68" s="89"/>
      <c r="K68"/>
      <c r="L68"/>
      <c r="M68" s="72"/>
      <c r="N68"/>
      <c r="O68"/>
      <c r="P68"/>
      <c r="Q68"/>
      <c r="R68"/>
      <c r="S68"/>
      <c r="T68"/>
      <c r="U68"/>
      <c r="V68"/>
      <c r="W68"/>
      <c r="X68"/>
      <c r="Y68"/>
      <c r="Z68"/>
    </row>
    <row r="69" spans="1:26" s="1" customFormat="1" ht="24" customHeight="1">
      <c r="A69" s="73"/>
      <c r="C69" s="89"/>
      <c r="D69" s="148">
        <f>'Master Input'!B20*0.11</f>
        <v>1002.375</v>
      </c>
      <c r="E69" s="93" t="s">
        <v>77</v>
      </c>
      <c r="G69" s="93"/>
      <c r="H69" s="74"/>
      <c r="I69" s="74"/>
      <c r="J69" s="89"/>
      <c r="K69"/>
      <c r="L69"/>
      <c r="M69" s="72"/>
      <c r="N69"/>
      <c r="O69"/>
      <c r="P69"/>
      <c r="Q69"/>
      <c r="R69"/>
      <c r="S69"/>
      <c r="T69"/>
      <c r="U69"/>
      <c r="V69"/>
      <c r="W69"/>
      <c r="X69"/>
      <c r="Y69"/>
      <c r="Z69"/>
    </row>
    <row r="70" spans="1:26" ht="24" customHeight="1">
      <c r="A70" s="73"/>
      <c r="B70" s="102"/>
      <c r="C70" s="107"/>
      <c r="D70" s="136">
        <f>'Master Input'!B23</f>
        <v>1607.5786881024005</v>
      </c>
      <c r="E70" s="128" t="s">
        <v>28</v>
      </c>
      <c r="F70" s="102"/>
      <c r="G70" s="128"/>
      <c r="H70" s="108"/>
      <c r="I70" s="108"/>
      <c r="J70" s="89"/>
    </row>
    <row r="71" spans="1:26" s="1" customFormat="1" ht="24" customHeight="1">
      <c r="A71" s="73"/>
      <c r="C71" s="74"/>
      <c r="D71" s="147">
        <f>'Master Input'!B29</f>
        <v>78391.270984174844</v>
      </c>
      <c r="E71" s="93" t="s">
        <v>75</v>
      </c>
      <c r="G71" s="93"/>
      <c r="H71" s="74"/>
      <c r="I71" s="74"/>
      <c r="J71" s="74"/>
      <c r="K71"/>
      <c r="L71"/>
      <c r="M71" s="72"/>
      <c r="N71"/>
      <c r="O71"/>
      <c r="P71"/>
      <c r="Q71"/>
      <c r="R71"/>
      <c r="S71"/>
      <c r="T71"/>
      <c r="U71"/>
      <c r="V71"/>
      <c r="W71"/>
      <c r="X71"/>
      <c r="Y71"/>
      <c r="Z71"/>
    </row>
    <row r="72" spans="1:26" ht="24" customHeight="1">
      <c r="A72" s="73"/>
      <c r="B72" s="102"/>
      <c r="C72" s="108"/>
      <c r="D72" s="136">
        <f>'Master Input'!B37</f>
        <v>17660.024999999998</v>
      </c>
      <c r="E72" s="133" t="s">
        <v>87</v>
      </c>
      <c r="F72" s="102"/>
      <c r="G72" s="133"/>
      <c r="H72" s="130"/>
      <c r="I72" s="108"/>
      <c r="J72" s="74"/>
    </row>
    <row r="73" spans="1:26" s="1" customFormat="1" ht="24" customHeight="1">
      <c r="A73" s="73"/>
      <c r="C73" s="74"/>
      <c r="D73" s="147">
        <f>'Master Input'!B34</f>
        <v>15187.5</v>
      </c>
      <c r="E73" s="149" t="s">
        <v>81</v>
      </c>
      <c r="G73" s="99"/>
      <c r="H73" s="87"/>
      <c r="I73" s="74"/>
      <c r="J73" s="74"/>
      <c r="K73"/>
      <c r="L73"/>
      <c r="M73" s="72"/>
      <c r="N73"/>
      <c r="O73"/>
      <c r="P73"/>
      <c r="Q73"/>
      <c r="R73"/>
      <c r="S73"/>
      <c r="T73"/>
      <c r="U73"/>
      <c r="V73"/>
      <c r="W73"/>
      <c r="X73"/>
      <c r="Y73"/>
      <c r="Z73"/>
    </row>
    <row r="74" spans="1:26" ht="25" customHeight="1">
      <c r="A74" s="73"/>
      <c r="B74" s="102"/>
      <c r="C74" s="108"/>
      <c r="D74" s="135">
        <f>'Master Input'!B46</f>
        <v>4.3392857142857144</v>
      </c>
      <c r="E74" s="133" t="s">
        <v>89</v>
      </c>
      <c r="F74" s="102"/>
      <c r="G74" s="132"/>
      <c r="H74" s="130"/>
      <c r="I74" s="108"/>
      <c r="J74" s="74"/>
    </row>
    <row r="75" spans="1:26" s="1" customFormat="1" ht="15.75" customHeight="1" thickBot="1">
      <c r="A75" s="73"/>
      <c r="B75" s="74"/>
      <c r="C75" s="96"/>
      <c r="D75" s="97"/>
      <c r="E75" s="98"/>
      <c r="F75" s="98"/>
      <c r="G75" s="98"/>
      <c r="H75" s="87"/>
      <c r="I75" s="96"/>
      <c r="J75" s="74"/>
      <c r="K75"/>
      <c r="L75"/>
      <c r="M75" s="72"/>
      <c r="N75"/>
      <c r="O75"/>
      <c r="P75"/>
      <c r="Q75"/>
      <c r="R75"/>
      <c r="S75"/>
      <c r="T75"/>
      <c r="U75"/>
      <c r="V75"/>
      <c r="W75"/>
      <c r="X75"/>
      <c r="Y75"/>
      <c r="Z75"/>
    </row>
    <row r="76" spans="1:26" ht="15.75" customHeight="1" thickTop="1">
      <c r="A76" s="109"/>
      <c r="B76" s="110"/>
      <c r="C76" s="105"/>
      <c r="D76" s="111"/>
      <c r="E76" s="112"/>
      <c r="F76" s="112"/>
      <c r="G76" s="112"/>
      <c r="H76" s="113"/>
      <c r="I76" s="105"/>
      <c r="J76" s="110"/>
    </row>
    <row r="77" spans="1:26" ht="15.75" customHeight="1">
      <c r="A77" s="114"/>
      <c r="B77" s="105"/>
      <c r="C77" s="105"/>
      <c r="D77" s="111"/>
      <c r="E77" s="112"/>
      <c r="F77" s="112"/>
      <c r="G77" s="310" t="s">
        <v>285</v>
      </c>
      <c r="H77" s="311"/>
      <c r="I77" s="311"/>
      <c r="J77" s="311"/>
    </row>
    <row r="78" spans="1:26" ht="15.75" customHeight="1">
      <c r="A78" s="114"/>
      <c r="B78" s="105"/>
      <c r="C78" s="105"/>
      <c r="D78" s="111"/>
      <c r="E78" s="112"/>
      <c r="F78" s="112"/>
      <c r="G78" s="311"/>
      <c r="H78" s="311"/>
      <c r="I78" s="311"/>
      <c r="J78" s="311"/>
    </row>
    <row r="79" spans="1:26" ht="15.75" customHeight="1">
      <c r="A79" s="114"/>
      <c r="B79" s="105"/>
      <c r="C79" s="105"/>
      <c r="D79" s="111"/>
      <c r="E79" s="112"/>
      <c r="F79" s="112"/>
      <c r="G79" s="311"/>
      <c r="H79" s="311"/>
      <c r="I79" s="311"/>
      <c r="J79" s="311"/>
    </row>
    <row r="80" spans="1:26" ht="15.75" customHeight="1">
      <c r="A80" s="114"/>
      <c r="B80" s="105"/>
      <c r="C80" s="105"/>
      <c r="D80" s="111"/>
      <c r="E80" s="112"/>
      <c r="F80" s="112"/>
      <c r="G80" s="311"/>
      <c r="H80" s="311"/>
      <c r="I80" s="311"/>
      <c r="J80" s="311"/>
    </row>
    <row r="81" spans="1:10" ht="14.5" customHeight="1">
      <c r="A81" s="114"/>
      <c r="B81" s="105"/>
      <c r="C81" s="105"/>
      <c r="D81" s="111"/>
      <c r="E81" s="112"/>
      <c r="F81" s="112"/>
      <c r="G81" s="311"/>
      <c r="H81" s="311"/>
      <c r="I81" s="311"/>
      <c r="J81" s="311"/>
    </row>
    <row r="82" spans="1:10" ht="15" customHeight="1">
      <c r="A82" s="114"/>
      <c r="B82" s="105"/>
      <c r="C82" s="105"/>
      <c r="D82" s="111"/>
      <c r="E82" s="112"/>
      <c r="F82" s="112"/>
      <c r="G82" s="311"/>
      <c r="H82" s="311"/>
      <c r="I82" s="311"/>
      <c r="J82" s="311"/>
    </row>
    <row r="83" spans="1:10" ht="17.600000000000001">
      <c r="A83" s="114"/>
      <c r="B83" s="105"/>
      <c r="C83" s="105"/>
      <c r="D83" s="111"/>
      <c r="E83" s="112"/>
      <c r="F83" s="112"/>
      <c r="G83" s="311"/>
      <c r="H83" s="311"/>
      <c r="I83" s="311"/>
      <c r="J83" s="311"/>
    </row>
    <row r="84" spans="1:10" ht="17.600000000000001">
      <c r="A84" s="114"/>
      <c r="B84" s="105"/>
      <c r="C84" s="105"/>
      <c r="D84" s="105"/>
      <c r="E84" s="105"/>
      <c r="F84" s="105"/>
      <c r="G84" s="311"/>
      <c r="H84" s="311"/>
      <c r="I84" s="311"/>
      <c r="J84" s="311"/>
    </row>
    <row r="85" spans="1:10" ht="17.600000000000001">
      <c r="A85" s="114"/>
      <c r="B85" s="115"/>
      <c r="C85" s="115"/>
      <c r="D85" s="115"/>
      <c r="E85" s="115"/>
      <c r="F85" s="115"/>
      <c r="G85" s="311"/>
      <c r="H85" s="311"/>
      <c r="I85" s="311"/>
      <c r="J85" s="311"/>
    </row>
    <row r="86" spans="1:10" ht="17.600000000000001">
      <c r="A86" s="114"/>
      <c r="B86" s="115"/>
      <c r="C86" s="115"/>
      <c r="D86" s="115"/>
      <c r="E86" s="115"/>
      <c r="F86" s="115"/>
      <c r="G86" s="311"/>
      <c r="H86" s="311"/>
      <c r="I86" s="311"/>
      <c r="J86" s="311"/>
    </row>
    <row r="87" spans="1:10" ht="15" customHeight="1">
      <c r="A87" s="114"/>
      <c r="B87" s="114"/>
      <c r="C87" s="114"/>
      <c r="D87" s="114"/>
      <c r="E87" s="114"/>
      <c r="F87" s="114"/>
      <c r="G87" s="311"/>
      <c r="H87" s="311"/>
      <c r="I87" s="311"/>
      <c r="J87" s="311"/>
    </row>
    <row r="88" spans="1:10">
      <c r="A88" s="114"/>
      <c r="B88" s="114"/>
      <c r="C88" s="114"/>
      <c r="D88" s="114"/>
      <c r="E88" s="114"/>
      <c r="F88" s="114"/>
      <c r="G88" s="311"/>
      <c r="H88" s="311"/>
      <c r="I88" s="311"/>
      <c r="J88" s="311"/>
    </row>
    <row r="89" spans="1:10" ht="15" customHeight="1" thickBot="1">
      <c r="A89" s="116"/>
      <c r="B89" s="116"/>
      <c r="C89" s="117"/>
      <c r="D89" s="117"/>
      <c r="E89" s="117"/>
      <c r="F89" s="116"/>
      <c r="G89" s="116"/>
      <c r="H89" s="116"/>
      <c r="I89" s="114"/>
      <c r="J89" s="114"/>
    </row>
    <row r="90" spans="1:10" ht="15" customHeight="1" thickTop="1">
      <c r="A90" s="73"/>
      <c r="B90" s="73"/>
      <c r="C90" s="74"/>
      <c r="D90" s="74"/>
      <c r="E90" s="155"/>
      <c r="F90" s="155"/>
      <c r="G90" s="73"/>
      <c r="H90" s="73"/>
      <c r="I90" s="94"/>
      <c r="J90" s="94"/>
    </row>
    <row r="91" spans="1:10" ht="19" customHeight="1">
      <c r="A91" s="73"/>
      <c r="B91" s="73"/>
      <c r="C91" s="315" t="s">
        <v>83</v>
      </c>
      <c r="D91" s="315"/>
      <c r="E91" s="315"/>
      <c r="F91" s="315"/>
      <c r="G91" s="315"/>
      <c r="H91" s="315"/>
      <c r="I91" s="73"/>
      <c r="J91" s="73"/>
    </row>
    <row r="92" spans="1:10" ht="17.600000000000001">
      <c r="A92" s="73"/>
      <c r="B92" s="73"/>
      <c r="C92" s="74"/>
      <c r="D92" s="74"/>
      <c r="E92" s="74"/>
      <c r="F92" s="73"/>
      <c r="G92" s="73"/>
      <c r="H92" s="73"/>
      <c r="I92" s="73"/>
      <c r="J92" s="73"/>
    </row>
    <row r="93" spans="1:10" ht="17.600000000000001">
      <c r="A93" s="73"/>
      <c r="B93" s="73"/>
      <c r="C93" s="88"/>
      <c r="D93" s="74"/>
      <c r="E93" s="74"/>
      <c r="F93" s="73"/>
      <c r="G93" s="73"/>
      <c r="H93" s="73"/>
      <c r="I93" s="73"/>
      <c r="J93" s="73"/>
    </row>
    <row r="94" spans="1:10">
      <c r="A94" s="73"/>
      <c r="B94" s="73"/>
      <c r="C94" s="73"/>
      <c r="D94" s="73"/>
      <c r="E94" s="73"/>
      <c r="F94" s="73"/>
      <c r="G94" s="73"/>
      <c r="H94" s="73"/>
      <c r="I94" s="73"/>
      <c r="J94" s="73"/>
    </row>
    <row r="95" spans="1:10">
      <c r="A95" s="73"/>
      <c r="B95" s="73"/>
      <c r="C95" s="73"/>
      <c r="D95" s="73"/>
      <c r="E95" s="73"/>
      <c r="F95" s="73"/>
      <c r="G95" s="73"/>
      <c r="H95" s="73"/>
      <c r="I95" s="73"/>
      <c r="J95" s="73"/>
    </row>
    <row r="96" spans="1:10">
      <c r="A96" s="73"/>
      <c r="B96" s="73"/>
      <c r="C96" s="73"/>
      <c r="D96" s="73"/>
      <c r="E96" s="89"/>
      <c r="F96" s="73"/>
      <c r="G96" s="73"/>
      <c r="H96" s="73"/>
      <c r="I96" s="73"/>
      <c r="J96" s="73"/>
    </row>
    <row r="97" spans="1:10">
      <c r="A97" s="73"/>
      <c r="B97" s="73"/>
      <c r="C97" s="73"/>
      <c r="D97" s="73"/>
      <c r="E97" s="73"/>
      <c r="F97" s="73"/>
      <c r="G97" s="73"/>
      <c r="H97" s="73"/>
      <c r="I97" s="73"/>
      <c r="J97" s="73"/>
    </row>
    <row r="98" spans="1:10">
      <c r="A98" s="73"/>
      <c r="B98" s="73"/>
      <c r="C98" s="73"/>
      <c r="D98" s="73"/>
      <c r="E98" s="73"/>
      <c r="F98" s="73"/>
      <c r="G98" s="73"/>
      <c r="H98" s="73"/>
      <c r="I98" s="73"/>
      <c r="J98" s="73"/>
    </row>
    <row r="99" spans="1:10">
      <c r="A99" s="89"/>
      <c r="B99" s="89"/>
      <c r="C99" s="89"/>
      <c r="D99" s="89"/>
      <c r="E99" s="89"/>
      <c r="F99" s="89"/>
      <c r="G99" s="89"/>
      <c r="H99" s="89"/>
      <c r="I99" s="89"/>
      <c r="J99" s="89"/>
    </row>
    <row r="100" spans="1:10" ht="157.30000000000001" customHeight="1">
      <c r="A100" s="89"/>
      <c r="B100" s="89"/>
      <c r="C100" s="89"/>
      <c r="D100" s="89"/>
      <c r="E100" s="89"/>
      <c r="F100" s="89"/>
      <c r="G100" s="89"/>
      <c r="H100" s="89"/>
      <c r="I100" s="89"/>
      <c r="J100" s="89"/>
    </row>
    <row r="101" spans="1:10">
      <c r="A101" s="89"/>
      <c r="B101" s="89"/>
      <c r="C101" s="89"/>
      <c r="D101" s="89"/>
      <c r="E101" s="89"/>
      <c r="F101" s="89"/>
      <c r="G101" s="89"/>
      <c r="H101" s="89"/>
      <c r="I101" s="89"/>
      <c r="J101" s="89"/>
    </row>
    <row r="102" spans="1:10" ht="23.6">
      <c r="A102" s="89"/>
      <c r="B102" s="89"/>
      <c r="C102" s="89"/>
      <c r="D102" s="89"/>
      <c r="E102" s="90"/>
      <c r="F102" s="89"/>
      <c r="G102" s="89"/>
      <c r="H102" s="89"/>
      <c r="I102" s="89"/>
      <c r="J102" s="89"/>
    </row>
    <row r="103" spans="1:10">
      <c r="A103" s="89"/>
      <c r="B103" s="89"/>
      <c r="C103" s="89"/>
      <c r="D103" s="89"/>
      <c r="E103" s="89"/>
      <c r="F103" s="89"/>
      <c r="G103" s="89"/>
      <c r="H103" s="89"/>
      <c r="I103" s="89"/>
      <c r="J103" s="89"/>
    </row>
    <row r="104" spans="1:10">
      <c r="A104" s="89"/>
      <c r="B104" s="89"/>
      <c r="C104" s="89"/>
      <c r="D104" s="89"/>
      <c r="E104" s="89"/>
      <c r="F104" s="89"/>
      <c r="G104" s="89"/>
      <c r="H104" s="89"/>
      <c r="I104" s="89"/>
      <c r="J104" s="89"/>
    </row>
    <row r="105" spans="1:10">
      <c r="A105" s="89"/>
      <c r="B105" s="89"/>
      <c r="C105" s="89"/>
      <c r="D105" s="89"/>
      <c r="E105" s="89"/>
      <c r="F105" s="89"/>
      <c r="G105" s="89"/>
      <c r="H105" s="89"/>
      <c r="I105" s="89"/>
      <c r="J105" s="89"/>
    </row>
    <row r="106" spans="1:10">
      <c r="A106" s="89"/>
      <c r="B106" s="89"/>
      <c r="C106" s="89"/>
      <c r="D106" s="89"/>
      <c r="E106" s="89"/>
      <c r="F106" s="89"/>
      <c r="G106" s="89"/>
      <c r="H106" s="89"/>
      <c r="I106" s="89"/>
      <c r="J106" s="89"/>
    </row>
    <row r="107" spans="1:10" ht="17.600000000000001">
      <c r="A107" s="89"/>
      <c r="B107" s="89"/>
      <c r="C107" s="89"/>
      <c r="D107" s="89"/>
      <c r="E107" s="312" t="s">
        <v>82</v>
      </c>
      <c r="F107" s="312"/>
      <c r="G107" s="89"/>
      <c r="H107" s="89"/>
      <c r="I107" s="89"/>
      <c r="J107" s="89"/>
    </row>
    <row r="108" spans="1:10">
      <c r="A108" s="89"/>
      <c r="B108" s="89"/>
      <c r="C108" s="89"/>
      <c r="D108" s="89"/>
      <c r="E108" s="89"/>
      <c r="F108" s="89"/>
      <c r="G108" s="89"/>
      <c r="H108" s="89"/>
      <c r="I108" s="89"/>
      <c r="J108" s="89"/>
    </row>
    <row r="109" spans="1:10">
      <c r="A109" s="89"/>
      <c r="B109" s="89"/>
      <c r="C109" s="89"/>
      <c r="D109" s="89"/>
      <c r="E109" s="89"/>
      <c r="F109" s="89"/>
      <c r="G109" s="89"/>
      <c r="H109" s="89"/>
      <c r="I109" s="89"/>
      <c r="J109" s="89"/>
    </row>
    <row r="110" spans="1:10">
      <c r="A110" s="89"/>
      <c r="B110" s="89"/>
      <c r="C110" s="89"/>
      <c r="D110" s="89"/>
      <c r="E110" s="89"/>
      <c r="F110" s="89"/>
      <c r="G110" s="89"/>
      <c r="H110" s="89"/>
      <c r="I110" s="89"/>
      <c r="J110" s="89"/>
    </row>
    <row r="111" spans="1:10">
      <c r="A111" s="89"/>
      <c r="B111" s="89"/>
      <c r="C111" s="89"/>
      <c r="D111" s="89"/>
      <c r="E111" s="89"/>
      <c r="F111" s="89"/>
      <c r="G111" s="89"/>
      <c r="H111" s="89"/>
      <c r="I111" s="89"/>
      <c r="J111" s="89"/>
    </row>
    <row r="112" spans="1:10">
      <c r="A112" s="89"/>
      <c r="B112" s="89"/>
      <c r="C112" s="89"/>
      <c r="D112" s="89"/>
      <c r="E112" s="89"/>
      <c r="F112" s="89"/>
      <c r="G112" s="89"/>
      <c r="H112" s="89"/>
      <c r="I112" s="89"/>
      <c r="J112" s="89"/>
    </row>
    <row r="113" spans="1:10">
      <c r="A113" s="89"/>
      <c r="B113" s="89"/>
      <c r="C113" s="89"/>
      <c r="D113" s="89"/>
      <c r="E113" s="89"/>
      <c r="F113" s="89"/>
      <c r="G113" s="89"/>
      <c r="H113" s="89"/>
      <c r="I113" s="89"/>
      <c r="J113" s="89"/>
    </row>
    <row r="114" spans="1:10">
      <c r="A114" s="89"/>
      <c r="B114" s="89"/>
      <c r="C114" s="89"/>
      <c r="D114" s="89"/>
      <c r="E114" s="89"/>
      <c r="F114" s="89"/>
      <c r="G114" s="89"/>
      <c r="H114" s="89"/>
      <c r="I114" s="89"/>
      <c r="J114" s="89"/>
    </row>
    <row r="115" spans="1:10">
      <c r="A115" s="89"/>
      <c r="B115" s="89"/>
      <c r="C115" s="89"/>
      <c r="D115" s="89"/>
      <c r="E115" s="89"/>
      <c r="F115" s="89"/>
      <c r="G115" s="89"/>
      <c r="H115" s="89"/>
      <c r="I115" s="89"/>
      <c r="J115" s="89"/>
    </row>
    <row r="116" spans="1:10">
      <c r="A116" s="89"/>
      <c r="B116" s="89"/>
      <c r="C116" s="89"/>
      <c r="D116" s="89"/>
      <c r="E116" s="89"/>
      <c r="F116" s="89"/>
      <c r="G116" s="89"/>
      <c r="H116" s="89"/>
      <c r="I116" s="89"/>
      <c r="J116" s="89"/>
    </row>
    <row r="117" spans="1:10">
      <c r="A117" s="89"/>
      <c r="B117" s="89"/>
      <c r="C117" s="89"/>
      <c r="D117" s="89"/>
      <c r="E117" s="89"/>
      <c r="F117" s="89"/>
      <c r="G117" s="89"/>
      <c r="H117" s="89"/>
      <c r="I117" s="89"/>
      <c r="J117" s="89"/>
    </row>
    <row r="118" spans="1:10">
      <c r="A118" s="89"/>
      <c r="B118" s="89"/>
      <c r="C118" s="89"/>
      <c r="D118" s="89"/>
      <c r="E118" s="89"/>
      <c r="F118" s="89"/>
      <c r="G118" s="89"/>
      <c r="H118" s="89"/>
      <c r="I118" s="89"/>
      <c r="J118" s="89"/>
    </row>
    <row r="119" spans="1:10">
      <c r="A119" s="89"/>
      <c r="B119" s="89"/>
      <c r="C119" s="89"/>
      <c r="D119" s="89"/>
      <c r="E119" s="89"/>
      <c r="F119" s="89"/>
      <c r="G119" s="89"/>
      <c r="H119" s="89"/>
      <c r="I119" s="89"/>
      <c r="J119" s="89"/>
    </row>
    <row r="120" spans="1:10" ht="15" customHeight="1">
      <c r="A120" s="89"/>
      <c r="B120" s="89"/>
      <c r="C120" s="89"/>
      <c r="D120" s="89"/>
      <c r="E120" s="89"/>
      <c r="F120" s="89"/>
      <c r="G120" s="89"/>
      <c r="H120" s="89"/>
      <c r="I120" s="89"/>
      <c r="J120" s="89"/>
    </row>
    <row r="121" spans="1:10">
      <c r="A121" s="89"/>
      <c r="B121" s="89"/>
      <c r="C121" s="89"/>
      <c r="D121" s="89"/>
      <c r="E121" s="89"/>
      <c r="F121" s="89"/>
      <c r="G121" s="89"/>
      <c r="H121" s="89"/>
      <c r="I121" s="89"/>
      <c r="J121" s="89"/>
    </row>
    <row r="122" spans="1:10">
      <c r="A122" s="89"/>
      <c r="B122" s="89"/>
      <c r="C122" s="89"/>
      <c r="D122" s="89"/>
      <c r="E122" s="89"/>
      <c r="F122" s="89"/>
      <c r="G122" s="89"/>
      <c r="H122" s="89"/>
      <c r="I122" s="89"/>
      <c r="J122" s="89"/>
    </row>
    <row r="123" spans="1:10">
      <c r="A123" s="89"/>
      <c r="B123" s="89"/>
      <c r="C123" s="89"/>
      <c r="D123" s="89"/>
      <c r="E123" s="89"/>
      <c r="F123" s="89"/>
      <c r="G123" s="89"/>
      <c r="H123" s="89"/>
      <c r="I123" s="89"/>
      <c r="J123" s="89"/>
    </row>
    <row r="124" spans="1:10">
      <c r="A124" s="89"/>
      <c r="B124" s="89"/>
      <c r="C124" s="89"/>
      <c r="D124" s="89"/>
      <c r="E124" s="89"/>
      <c r="F124" s="89"/>
      <c r="G124" s="89"/>
      <c r="H124" s="89"/>
      <c r="I124" s="89"/>
      <c r="J124" s="89"/>
    </row>
    <row r="125" spans="1:10">
      <c r="A125" s="89"/>
      <c r="B125" s="89"/>
      <c r="C125" s="89"/>
      <c r="D125" s="89"/>
      <c r="E125" s="89"/>
      <c r="F125" s="89"/>
      <c r="G125" s="89"/>
      <c r="H125" s="89"/>
      <c r="I125" s="89"/>
      <c r="J125" s="89"/>
    </row>
    <row r="126" spans="1:10">
      <c r="A126" s="89"/>
      <c r="B126" s="89"/>
      <c r="C126" s="89"/>
      <c r="D126" s="89"/>
      <c r="E126" s="89"/>
      <c r="F126" s="89"/>
      <c r="G126" s="89"/>
      <c r="H126" s="89"/>
      <c r="I126" s="89"/>
      <c r="J126" s="89"/>
    </row>
    <row r="127" spans="1:10">
      <c r="A127" s="89"/>
      <c r="B127" s="89"/>
      <c r="C127" s="89"/>
      <c r="D127" s="89"/>
      <c r="E127" s="89"/>
      <c r="F127" s="89"/>
      <c r="G127" s="89"/>
      <c r="H127" s="89"/>
      <c r="I127" s="89"/>
      <c r="J127" s="89"/>
    </row>
    <row r="128" spans="1:10">
      <c r="A128" s="89"/>
      <c r="B128" s="89"/>
      <c r="C128" s="89"/>
      <c r="D128" s="89"/>
      <c r="E128" s="89"/>
      <c r="F128" s="89"/>
      <c r="G128" s="89"/>
      <c r="H128" s="89"/>
      <c r="I128" s="89"/>
      <c r="J128" s="89"/>
    </row>
    <row r="129" spans="1:26" ht="22" customHeight="1">
      <c r="A129" s="89"/>
      <c r="B129" s="89"/>
      <c r="C129" s="89"/>
      <c r="D129" s="89"/>
      <c r="E129" s="89"/>
      <c r="F129" s="89"/>
      <c r="G129" s="89"/>
      <c r="H129" s="89"/>
      <c r="I129" s="89"/>
      <c r="J129" s="89"/>
    </row>
    <row r="130" spans="1:26" ht="17.149999999999999" customHeight="1">
      <c r="A130" s="89"/>
      <c r="B130" s="89"/>
      <c r="C130" s="299" t="s">
        <v>98</v>
      </c>
      <c r="D130" s="299"/>
      <c r="E130" s="299"/>
      <c r="F130" s="299"/>
      <c r="G130" s="299"/>
      <c r="H130" s="299"/>
      <c r="I130" s="89"/>
      <c r="J130" s="89"/>
    </row>
    <row r="131" spans="1:26">
      <c r="A131" s="89"/>
      <c r="B131" s="89"/>
      <c r="C131" s="89"/>
      <c r="D131" s="89"/>
      <c r="E131" s="89"/>
      <c r="F131" s="89"/>
      <c r="G131" s="89"/>
      <c r="H131" s="89"/>
      <c r="I131" s="89"/>
      <c r="J131" s="89"/>
    </row>
    <row r="132" spans="1:26">
      <c r="A132" s="101"/>
      <c r="B132" s="101"/>
      <c r="C132" s="101"/>
      <c r="D132" s="101"/>
      <c r="E132" s="101"/>
      <c r="F132" s="101"/>
      <c r="G132" s="101"/>
      <c r="H132" s="101"/>
      <c r="I132" s="101"/>
      <c r="J132" s="101"/>
    </row>
    <row r="133" spans="1:26">
      <c r="A133" s="101"/>
      <c r="B133" s="101"/>
      <c r="C133" s="101"/>
      <c r="D133" s="101"/>
      <c r="E133" s="101"/>
      <c r="F133" s="101"/>
      <c r="G133" s="101"/>
      <c r="H133" s="101"/>
      <c r="I133" s="101"/>
      <c r="J133" s="101"/>
    </row>
    <row r="134" spans="1:26" ht="20.6">
      <c r="A134" s="101"/>
      <c r="B134" s="101"/>
      <c r="C134" s="101"/>
      <c r="D134" s="194"/>
      <c r="F134" s="194"/>
      <c r="G134" s="101"/>
      <c r="H134" s="101"/>
      <c r="I134" s="101"/>
      <c r="J134" s="101"/>
    </row>
    <row r="135" spans="1:26">
      <c r="A135" s="101"/>
      <c r="B135" s="101"/>
      <c r="C135" s="101"/>
      <c r="D135" s="101"/>
      <c r="E135" s="101"/>
      <c r="F135" s="101"/>
      <c r="G135" s="101"/>
      <c r="H135" s="101"/>
      <c r="I135" s="101"/>
      <c r="J135" s="101"/>
    </row>
    <row r="136" spans="1:26">
      <c r="A136" s="101"/>
      <c r="B136" s="101"/>
      <c r="C136" s="101"/>
      <c r="D136" s="101"/>
      <c r="E136" s="101"/>
      <c r="F136" s="101"/>
      <c r="G136" s="101"/>
      <c r="H136" s="101"/>
      <c r="I136" s="101"/>
      <c r="J136" s="101"/>
    </row>
    <row r="137" spans="1:26">
      <c r="A137" s="101"/>
      <c r="B137" s="101"/>
      <c r="C137" s="101"/>
      <c r="D137" s="101"/>
      <c r="E137" s="101"/>
      <c r="F137" s="101"/>
      <c r="G137" s="101"/>
      <c r="H137" s="101"/>
      <c r="I137" s="101"/>
      <c r="J137" s="101"/>
    </row>
    <row r="138" spans="1:26" s="1" customFormat="1">
      <c r="A138" s="101"/>
      <c r="B138" s="101"/>
      <c r="C138" s="101"/>
      <c r="D138" s="101"/>
      <c r="E138" s="101"/>
      <c r="F138" s="101"/>
      <c r="G138" s="101"/>
      <c r="H138" s="101"/>
      <c r="I138" s="101"/>
      <c r="J138" s="101"/>
      <c r="K138"/>
      <c r="L138"/>
      <c r="M138" s="72"/>
      <c r="N138"/>
      <c r="O138"/>
      <c r="P138"/>
      <c r="Q138"/>
      <c r="R138"/>
      <c r="S138"/>
      <c r="T138"/>
      <c r="U138"/>
      <c r="V138"/>
      <c r="W138"/>
      <c r="X138"/>
      <c r="Y138"/>
      <c r="Z138"/>
    </row>
    <row r="139" spans="1:26">
      <c r="A139" s="101"/>
      <c r="B139" s="101"/>
      <c r="C139" s="101"/>
      <c r="D139" s="101"/>
      <c r="E139" s="101"/>
      <c r="F139" s="101"/>
      <c r="G139" s="101"/>
      <c r="H139" s="101"/>
      <c r="I139" s="101"/>
      <c r="J139" s="101"/>
    </row>
    <row r="140" spans="1:26">
      <c r="A140" s="101"/>
      <c r="B140" s="101"/>
      <c r="C140" s="101"/>
      <c r="D140" s="101"/>
      <c r="E140" s="101"/>
      <c r="F140" s="101"/>
      <c r="G140" s="101"/>
      <c r="H140" s="101"/>
      <c r="I140" s="101"/>
      <c r="J140" s="101"/>
    </row>
    <row r="141" spans="1:26">
      <c r="A141" s="101"/>
      <c r="B141" s="101"/>
      <c r="C141" s="101"/>
      <c r="D141" s="101"/>
      <c r="E141" s="101"/>
      <c r="F141" s="101"/>
      <c r="G141" s="101"/>
      <c r="H141" s="101"/>
      <c r="I141" s="101"/>
      <c r="J141" s="101"/>
    </row>
    <row r="142" spans="1:26">
      <c r="A142" s="101"/>
      <c r="B142" s="101"/>
      <c r="C142" s="101"/>
      <c r="D142" s="101"/>
      <c r="E142" s="101"/>
      <c r="F142" s="101"/>
      <c r="G142" s="101"/>
      <c r="H142" s="101"/>
      <c r="I142" s="101"/>
      <c r="J142" s="101"/>
    </row>
    <row r="143" spans="1:26">
      <c r="A143" s="101"/>
      <c r="B143" s="101"/>
      <c r="C143" s="101"/>
      <c r="D143" s="101"/>
      <c r="E143" s="101"/>
      <c r="F143" s="101"/>
      <c r="G143" s="101"/>
      <c r="H143" s="101"/>
      <c r="I143" s="101"/>
      <c r="J143" s="101"/>
    </row>
    <row r="144" spans="1:26">
      <c r="A144" s="101"/>
      <c r="B144" s="101"/>
      <c r="C144" s="101"/>
      <c r="D144" s="101"/>
      <c r="E144" s="101"/>
      <c r="F144" s="101"/>
      <c r="G144" s="101"/>
      <c r="H144" s="101"/>
      <c r="I144" s="101"/>
      <c r="J144" s="101"/>
    </row>
    <row r="145" spans="1:10">
      <c r="A145" s="101"/>
      <c r="B145" s="101"/>
      <c r="C145" s="101"/>
      <c r="D145" s="101"/>
      <c r="E145" s="101"/>
      <c r="F145" s="101"/>
      <c r="G145" s="101"/>
      <c r="H145" s="101"/>
      <c r="I145" s="101"/>
      <c r="J145" s="101"/>
    </row>
  </sheetData>
  <sheetProtection algorithmName="SHA-512" hashValue="H5NXDEol8x29RoO9ZNT9aYXhGq1EaHuGsHD6uKGwqhI0tTuuvqoVOaVEJHDtl0fFMU+VbSw7NrW1/BY5i9krcA==" saltValue="TqDCTnT1fgZ5yeABzo/Zsw==" spinCount="100000" sheet="1" selectLockedCells="1"/>
  <mergeCells count="7">
    <mergeCell ref="C130:H130"/>
    <mergeCell ref="B40:I48"/>
    <mergeCell ref="B55:I55"/>
    <mergeCell ref="G77:J88"/>
    <mergeCell ref="E107:F107"/>
    <mergeCell ref="B62:I63"/>
    <mergeCell ref="C91:H91"/>
  </mergeCells>
  <hyperlinks>
    <hyperlink ref="C130" r:id="rId1" xr:uid="{BAAA4745-8C2A-4BFD-AAEC-7A7987E86EED}"/>
  </hyperlinks>
  <pageMargins left="0.25" right="0.25" top="0.75" bottom="0.75" header="0.3" footer="0.3"/>
  <pageSetup scale="99" fitToHeight="6"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M D A A B Q S w M E F A A C A A g A q x A r U 4 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q x A r 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s Q K 1 P Q F V k 8 n Q A A A N Y A A A A T A B w A R m 9 y b X V s Y X M v U 2 V j d G l v b j E u b S C i G A A o o B Q A A A A A A A A A A A A A A A A A A A A A A A A A A A B t j T 0 L g z A Q h v d A / k N I F w s i S E d x C l 2 7 K H Q Q h 2 i v V Y y 5 c o l g E f 9 7 Y 7 P 2 X Q 7 e j + c c 9 H 5 E K 6 p 4 8 4 I z z t y g C R 6 i 1 p 2 B i y i F A c + Z C K p w o R 6 C c 1 1 7 M J l a i M D 6 O 9 L U I U 7 J e W t u e o Z S x q V s 9 0 a h 9 a H S p h F w k m r Q 9 n X A P 2 + Q g f S r Z j V p 6 5 5 I s 0 K z z P Y I X R K / p d s m o 5 v L V P i Q C A + r 3 / c z Z 6 P 9 i y 2 + U E s B A i 0 A F A A C A A g A q x A r U 4 c g v y S k A A A A 9 Q A A A B I A A A A A A A A A A A A A A A A A A A A A A E N v b m Z p Z y 9 Q Y W N r Y W d l L n h t b F B L A Q I t A B Q A A g A I A K s Q K 1 M P y u m r p A A A A O k A A A A T A A A A A A A A A A A A A A A A A P A A A A B b Q 2 9 u d G V u d F 9 U e X B l c 1 0 u e G 1 s U E s B A i 0 A F A A C A A g A q x A r U 9 A V W T y d A A A A 1 g A A A B M A A A A A A A A A A A A A A A A A 4 Q E A A E Z v c m 1 1 b G F z L 1 N l Y 3 R p b 2 4 x L m 1 Q S w U G A A A A A A M A A w D C A A A A y 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Q g A A A A A A A D j B 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x L T A 4 L T I 5 V D A x O j U 3 O j A 4 L j Y 3 N z M y M z B 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z L 0 F 1 d G 9 S Z W 1 v d m V k Q 2 9 s d W 1 u c z E u e 0 N v b H V t b j E s M H 0 m c X V v d D t d L C Z x d W 9 0 O 0 N v b H V t b k N v d W 5 0 J n F 1 b 3 Q 7 O j E s J n F 1 b 3 Q 7 S 2 V 5 Q 2 9 s d W 1 u T m F t Z X M m c X V v d D s 6 W 1 0 s J n F 1 b 3 Q 7 Q 2 9 s d W 1 u S W R l b n R p d G l l c y Z x d W 9 0 O z p b J n F 1 b 3 Q 7 U 2 V j d G l v b j E v V G F i b G U z L 0 F 1 d G 9 S Z W 1 v d m V k Q 2 9 s d W 1 u c z E u e 0 N v b H V t b j E s M H 0 m c X V v d D t d L C Z x d W 9 0 O 1 J l b G F 0 a W 9 u c 2 h p c E l u Z m 8 m c X V v d D s 6 W 1 1 9 I i A v P j w v U 3 R h Y m x l R W 5 0 c m l l c z 4 8 L 0 l 0 Z W 0 + P E l 0 Z W 0 + P E l 0 Z W 1 M b 2 N h d G l v b j 4 8 S X R l b V R 5 c G U + R m 9 y b X V s Y T w v S X R l b V R 5 c G U + P E l 0 Z W 1 Q Y X R o P l N l Y 3 R p b 2 4 x L 1 R h Y m x l M y 9 T b 3 V y Y 2 U 8 L 0 l 0 Z W 1 Q Y X R o P j w v S X R l b U x v Y 2 F 0 a W 9 u P j x T d G F i b G V F b n R y a W V z I C 8 + P C 9 J d G V t P j x J d G V t P j x J d G V t T G 9 j Y X R p b 2 4 + P E l 0 Z W 1 U e X B l P k Z v c m 1 1 b G E 8 L 0 l 0 Z W 1 U e X B l P j x J d G V t U G F 0 a D 5 T Z W N 0 a W 9 u M S 9 U Y W J s Z T M v Q 2 h h b m d l Z C U y M F R 5 c G U 8 L 0 l 0 Z W 1 Q Y X R o P j w v S X R l b U x v Y 2 F 0 a W 9 u P j x T d G F i b G V F b n R y a W V z I C 8 + P C 9 J d G V t P j w v S X R l b X M + P C 9 M b 2 N h b F B h Y 2 t h Z 2 V N Z X R h Z G F 0 Y U Z p b G U + F g A A A F B L B Q Y A A A A A A A A A A A A A A A A A A A A A A A A m A Q A A A Q A A A N C M n d 8 B F d E R j H o A w E / C l + s B A A A A 8 P q i a c H d 9 0 S X D s t r l F F r / g A A A A A C A A A A A A A Q Z g A A A A E A A C A A A A A 3 O g C h 1 m C y 9 X a O 3 + n W 3 U V 5 v 6 V a z a C E s Z S b D a C O g p P L h g A A A A A O g A A A A A I A A C A A A A D 3 t x O U N d D 0 h B A J Y A 3 F 9 A 7 0 O e y D A z s C 1 / i O w E C o O 4 g Y G l A A A A A q K J z M 8 d j h u c / v 9 Q B 7 o 1 l j d 4 n J G s C 9 T p P z V 2 A C V t C 3 v D k + 0 v 5 k x P O p K 5 v f x K n b s 8 h H F r p k 1 K 1 m b 4 b 3 m I 3 Y r K v B L B 1 v 7 / z f H s 5 B + G O l F B w 3 8 0 A A A A A 9 J B T 7 I Q 0 V w n Q I J G Z A x 8 Q u 4 w f M u e W A i s B x O 3 W I F d Q g b 4 y F 8 + W Y v C O w b J Y 1 n 7 B G 2 W M 7 B / a 7 S 3 k t a J Y D 9 o X f 6 d K b < / D a t a M a s h u p > 
</file>

<file path=customXml/itemProps1.xml><?xml version="1.0" encoding="utf-8"?>
<ds:datastoreItem xmlns:ds="http://schemas.openxmlformats.org/officeDocument/2006/customXml" ds:itemID="{74FD3B23-E4A1-421D-BF15-88F060C83BD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Master Input</vt:lpstr>
      <vt:lpstr>EV Input</vt:lpstr>
      <vt:lpstr>EV Charging Stations</vt:lpstr>
      <vt:lpstr>Solar Input</vt:lpstr>
      <vt:lpstr>Residential Solar</vt:lpstr>
      <vt:lpstr>Commercial Solar</vt:lpstr>
      <vt:lpstr>'Commercial Solar'!Print_Area</vt:lpstr>
      <vt:lpstr>'EV Charging Stations'!Print_Area</vt:lpstr>
      <vt:lpstr>'Residential Solar'!Print_Area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Antheil</dc:creator>
  <cp:lastModifiedBy>Mike Antheil</cp:lastModifiedBy>
  <cp:lastPrinted>2024-07-31T17:39:32Z</cp:lastPrinted>
  <dcterms:created xsi:type="dcterms:W3CDTF">2020-12-11T03:29:00Z</dcterms:created>
  <dcterms:modified xsi:type="dcterms:W3CDTF">2024-07-31T17:40:22Z</dcterms:modified>
</cp:coreProperties>
</file>