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a99f81886292ca9/Documents/"/>
    </mc:Choice>
  </mc:AlternateContent>
  <xr:revisionPtr revIDLastSave="123" documentId="8_{1708FEF4-C300-438D-BD76-444C790C0520}" xr6:coauthVersionLast="47" xr6:coauthVersionMax="47" xr10:uidLastSave="{E4E1E42D-4B0B-4DB0-A8B1-0425FA321C0F}"/>
  <bookViews>
    <workbookView xWindow="-103" yWindow="-103" windowWidth="22149" windowHeight="13200" tabRatio="854" firstSheet="1" activeTab="2" xr2:uid="{702E4412-FA78-4E02-9E3C-B03417276F62}"/>
  </bookViews>
  <sheets>
    <sheet name="Master Input" sheetId="1" state="hidden" r:id="rId1"/>
    <sheet name="EV Input" sheetId="34" r:id="rId2"/>
    <sheet name="EV Charging Stations" sheetId="35" r:id="rId3"/>
  </sheets>
  <externalReferences>
    <externalReference r:id="rId4"/>
  </externalReferences>
  <definedNames>
    <definedName name="ActualNumberOfPayments">IFERROR(IF(LoanIsGood,IF(PaymentsPerYear=1,1,MATCH(0.01,End_Bal,-1)+1)),"")</definedName>
    <definedName name="actualnumberofpayments2">IFERROR(IF(LoanisGood2,IF(paymentsperyear2=1,1,MATCH(0.01,endbal2,-1)+1)),"")</definedName>
    <definedName name="End_Bal">[1]!PaymentSchedule[ENDING BALANCE]</definedName>
    <definedName name="endbal2">[1]!PaymentSchedule[ENDING BALANCE]</definedName>
    <definedName name="extrapaymenst2">#REF!</definedName>
    <definedName name="ExtraPayments">#REF!</definedName>
    <definedName name="InterestRate">#REF!</definedName>
    <definedName name="interestrate2">#REF!</definedName>
    <definedName name="LoanAmount">#REF!</definedName>
    <definedName name="loanamount2">#REF!</definedName>
    <definedName name="LoanIsGood">(#REF!*#REF!*#REF!*#REF!)&gt;0</definedName>
    <definedName name="LoanisGood2">(#REF!*#REF!*#REF!*#REF!)&gt;0</definedName>
    <definedName name="LoanPeriod">#REF!</definedName>
    <definedName name="loanperiod2">#REF!</definedName>
    <definedName name="LoanStartDate">#REF!</definedName>
    <definedName name="loanstartdate2">#REF!</definedName>
    <definedName name="PaymentsPerYear">#REF!</definedName>
    <definedName name="paymentsperyear2">#REF!</definedName>
    <definedName name="_xlnm.Print_Area" localSheetId="2">'EV Charging Stations'!$B$1:$J$91</definedName>
    <definedName name="ScheduledNumberOfPayments">#REF!</definedName>
    <definedName name="schedulednumberofpayments2">#REF!</definedName>
    <definedName name="ScheduledPayment">#REF!</definedName>
    <definedName name="scheduledpayment2">#REF!</definedName>
    <definedName name="TotalEarlyPayments">SUM([1]!PaymentSchedule[EXTRA PAYMENT])</definedName>
    <definedName name="totalearlypayments2">SUM([1]!PaymentSchedule[EXTRA PAYMENT])</definedName>
    <definedName name="TotalInterest">SUM([1]!PaymentSchedule[INTEREST])</definedName>
    <definedName name="totalinterest2">SUM([1]!PaymentSchedule[INTEREST])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9" i="35" l="1"/>
  <c r="B78" i="35"/>
  <c r="B160" i="1"/>
  <c r="B159" i="1"/>
  <c r="B155" i="1"/>
  <c r="B156" i="1"/>
  <c r="I15" i="35"/>
  <c r="C16" i="35"/>
  <c r="C15" i="35"/>
  <c r="C13" i="35"/>
  <c r="B158" i="1" l="1"/>
  <c r="B59" i="35" s="1"/>
  <c r="B180" i="1"/>
  <c r="B179" i="1"/>
  <c r="B178" i="1"/>
  <c r="B161" i="1"/>
  <c r="B57" i="35" s="1"/>
  <c r="B154" i="1"/>
  <c r="B157" i="1"/>
  <c r="B14" i="1"/>
  <c r="D152" i="34"/>
  <c r="E152" i="34" s="1"/>
  <c r="D156" i="35"/>
  <c r="E156" i="35" s="1"/>
  <c r="D2" i="1"/>
  <c r="B15" i="1"/>
  <c r="B12" i="1"/>
  <c r="B11" i="1"/>
  <c r="B10" i="1"/>
  <c r="B9" i="1"/>
  <c r="B8" i="1"/>
  <c r="B7" i="1"/>
  <c r="B6" i="1"/>
  <c r="B5" i="1"/>
  <c r="B4" i="1"/>
  <c r="B3" i="1"/>
  <c r="B2" i="1"/>
  <c r="B1" i="1"/>
  <c r="B55" i="35" l="1"/>
  <c r="D155" i="1"/>
  <c r="E155" i="1" s="1"/>
  <c r="B172" i="1"/>
  <c r="D154" i="1"/>
  <c r="E154" i="1" s="1"/>
  <c r="B56" i="35"/>
  <c r="C161" i="1"/>
  <c r="B173" i="1"/>
  <c r="B58" i="35"/>
  <c r="B54" i="35"/>
  <c r="B174" i="1" l="1"/>
  <c r="B177" i="1" s="1"/>
  <c r="F154" i="1"/>
  <c r="D159" i="1"/>
  <c r="B170" i="1" s="1"/>
  <c r="B84" i="35" s="1"/>
  <c r="B175" i="1" l="1"/>
  <c r="B176" i="1"/>
  <c r="H154" i="1"/>
  <c r="I154" i="1" s="1"/>
  <c r="B38" i="1"/>
  <c r="B16" i="1"/>
  <c r="B181" i="1" l="1"/>
  <c r="B163" i="1" s="1"/>
  <c r="E4" i="34" s="1"/>
  <c r="E12" i="34" s="1"/>
  <c r="H155" i="1"/>
  <c r="E10" i="34" s="1"/>
  <c r="B169" i="1"/>
  <c r="B83" i="35" s="1"/>
  <c r="B74" i="35"/>
  <c r="J154" i="1"/>
  <c r="I155" i="1"/>
  <c r="C138" i="1"/>
  <c r="C137" i="1"/>
  <c r="C139" i="1"/>
  <c r="C136" i="1"/>
  <c r="C135" i="1"/>
  <c r="B164" i="1" l="1"/>
  <c r="B75" i="35"/>
  <c r="E5" i="34"/>
  <c r="B165" i="1"/>
  <c r="E6" i="34" s="1"/>
  <c r="K154" i="1"/>
  <c r="J155" i="1"/>
  <c r="M158" i="1"/>
  <c r="B76" i="35" l="1"/>
  <c r="B168" i="1"/>
  <c r="L154" i="1"/>
  <c r="K155" i="1"/>
  <c r="B57" i="1"/>
  <c r="B82" i="35" l="1"/>
  <c r="E7" i="34"/>
  <c r="L155" i="1"/>
  <c r="M154" i="1"/>
  <c r="N154" i="1" s="1"/>
  <c r="H57" i="1"/>
  <c r="H61" i="1" s="1"/>
  <c r="G57" i="1"/>
  <c r="G61" i="1" s="1"/>
  <c r="F57" i="1"/>
  <c r="F61" i="1" s="1"/>
  <c r="E57" i="1"/>
  <c r="E61" i="1" s="1"/>
  <c r="D57" i="1"/>
  <c r="D61" i="1" s="1"/>
  <c r="C57" i="1"/>
  <c r="C61" i="1" s="1"/>
  <c r="J57" i="1"/>
  <c r="J61" i="1" s="1"/>
  <c r="N57" i="1"/>
  <c r="N61" i="1" s="1"/>
  <c r="M57" i="1"/>
  <c r="M61" i="1" s="1"/>
  <c r="L57" i="1"/>
  <c r="L61" i="1" s="1"/>
  <c r="K57" i="1"/>
  <c r="K61" i="1" s="1"/>
  <c r="I57" i="1"/>
  <c r="I61" i="1" s="1"/>
  <c r="D22" i="1"/>
  <c r="H23" i="1" s="1"/>
  <c r="B34" i="1" l="1"/>
  <c r="D23" i="1"/>
  <c r="D24" i="1" s="1"/>
  <c r="H24" i="1" s="1"/>
  <c r="F24" i="1" s="1"/>
  <c r="B20" i="1"/>
  <c r="B39" i="1"/>
  <c r="B17" i="1"/>
  <c r="E16" i="1" l="1"/>
  <c r="D16" i="1"/>
  <c r="B145" i="1"/>
  <c r="C146" i="1" s="1"/>
  <c r="B144" i="1"/>
  <c r="B46" i="1"/>
  <c r="B37" i="1"/>
  <c r="B40" i="1"/>
  <c r="B22" i="1"/>
  <c r="D25" i="1"/>
  <c r="D26" i="1" s="1"/>
  <c r="B18" i="1"/>
  <c r="D5" i="1" l="1"/>
  <c r="H54" i="1"/>
  <c r="B23" i="1"/>
  <c r="A70" i="1"/>
  <c r="B24" i="1"/>
  <c r="C24" i="1" s="1"/>
  <c r="J54" i="1"/>
  <c r="I54" i="1"/>
  <c r="G54" i="1"/>
  <c r="F54" i="1"/>
  <c r="M54" i="1"/>
  <c r="E54" i="1"/>
  <c r="C54" i="1"/>
  <c r="L54" i="1"/>
  <c r="D54" i="1"/>
  <c r="K54" i="1"/>
  <c r="B28" i="1"/>
  <c r="C28" i="1" s="1"/>
  <c r="B27" i="1"/>
  <c r="C27" i="1" s="1"/>
  <c r="H25" i="1"/>
  <c r="F25" i="1" s="1"/>
  <c r="B33" i="1"/>
  <c r="B26" i="1"/>
  <c r="C26" i="1" s="1"/>
  <c r="B21" i="1"/>
  <c r="B25" i="1"/>
  <c r="C25" i="1" s="1"/>
  <c r="E22" i="1"/>
  <c r="B19" i="1"/>
  <c r="H26" i="1"/>
  <c r="D27" i="1"/>
  <c r="B54" i="1" l="1"/>
  <c r="N54" i="1" s="1"/>
  <c r="N56" i="1" s="1"/>
  <c r="N60" i="1" s="1"/>
  <c r="A71" i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M56" i="1"/>
  <c r="M60" i="1" s="1"/>
  <c r="C23" i="1"/>
  <c r="E24" i="1" s="1"/>
  <c r="B35" i="1"/>
  <c r="K56" i="1"/>
  <c r="K60" i="1" s="1"/>
  <c r="G56" i="1"/>
  <c r="G60" i="1" s="1"/>
  <c r="I56" i="1"/>
  <c r="I60" i="1" s="1"/>
  <c r="C56" i="1"/>
  <c r="F26" i="1"/>
  <c r="D56" i="1"/>
  <c r="D60" i="1" s="1"/>
  <c r="L56" i="1"/>
  <c r="L60" i="1" s="1"/>
  <c r="F56" i="1"/>
  <c r="F60" i="1" s="1"/>
  <c r="B56" i="1"/>
  <c r="E56" i="1"/>
  <c r="B58" i="1"/>
  <c r="H56" i="1"/>
  <c r="H60" i="1" s="1"/>
  <c r="J56" i="1"/>
  <c r="J60" i="1" s="1"/>
  <c r="D28" i="1"/>
  <c r="H28" i="1" s="1"/>
  <c r="H27" i="1"/>
  <c r="F27" i="1" s="1"/>
  <c r="B32" i="1"/>
  <c r="B36" i="1"/>
  <c r="B41" i="1"/>
  <c r="B30" i="1"/>
  <c r="E60" i="1" l="1"/>
  <c r="P57" i="1"/>
  <c r="O57" i="1"/>
  <c r="B80" i="1"/>
  <c r="D75" i="1"/>
  <c r="B90" i="1"/>
  <c r="B95" i="1"/>
  <c r="B100" i="1"/>
  <c r="B29" i="1" s="1"/>
  <c r="B85" i="1"/>
  <c r="C60" i="1"/>
  <c r="O56" i="1"/>
  <c r="P54" i="1"/>
  <c r="E28" i="1"/>
  <c r="E25" i="1"/>
  <c r="C29" i="1"/>
  <c r="E26" i="1"/>
  <c r="E23" i="1"/>
  <c r="E27" i="1"/>
  <c r="O54" i="1"/>
  <c r="F28" i="1"/>
  <c r="B31" i="1" l="1"/>
  <c r="G154" i="1"/>
  <c r="B80" i="35" s="1"/>
  <c r="P154" i="1"/>
  <c r="G155" i="1" l="1"/>
  <c r="O155" i="1" s="1"/>
  <c r="G159" i="1"/>
  <c r="E11" i="34" l="1"/>
  <c r="N158" i="1"/>
  <c r="B167" i="1" s="1"/>
  <c r="B81" i="35"/>
  <c r="B77" i="35" l="1"/>
  <c r="E8" i="3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47AEB7-9D0A-4E15-B37B-DC2BF07CDBD5}" keepAlive="1" name="Query - Table3" description="Connection to the 'Table3' query in the workbook." type="5" refreshedVersion="0" background="1">
    <dbPr connection="Provider=Microsoft.Mashup.OleDb.1;Data Source=$Workbook$;Location=Table3;Extended Properties=&quot;&quot;" command="SELECT * FROM [Table3]"/>
  </connection>
</connections>
</file>

<file path=xl/sharedStrings.xml><?xml version="1.0" encoding="utf-8"?>
<sst xmlns="http://schemas.openxmlformats.org/spreadsheetml/2006/main" count="271" uniqueCount="219">
  <si>
    <t># panels</t>
  </si>
  <si>
    <t>cost per watt</t>
  </si>
  <si>
    <t>total solar offset</t>
  </si>
  <si>
    <t>Name</t>
  </si>
  <si>
    <t>Address</t>
  </si>
  <si>
    <t>Phone</t>
  </si>
  <si>
    <t>Email</t>
  </si>
  <si>
    <t>City ST Zip</t>
  </si>
  <si>
    <t>Customer:</t>
  </si>
  <si>
    <t>Phone:</t>
  </si>
  <si>
    <t>Email:</t>
  </si>
  <si>
    <t>total kW</t>
  </si>
  <si>
    <t>total cost</t>
  </si>
  <si>
    <t>tax credit</t>
  </si>
  <si>
    <t>net cost</t>
  </si>
  <si>
    <t xml:space="preserve">Address: </t>
  </si>
  <si>
    <t>panel wattage</t>
  </si>
  <si>
    <t>KWH per year</t>
  </si>
  <si>
    <t>pv watts</t>
  </si>
  <si>
    <t>year 1</t>
  </si>
  <si>
    <t>ROR</t>
  </si>
  <si>
    <t xml:space="preserve">year 5 </t>
  </si>
  <si>
    <t>ROI with Prop Value</t>
  </si>
  <si>
    <t>lifetime estimate</t>
  </si>
  <si>
    <t>current bill</t>
  </si>
  <si>
    <t>utility rate</t>
  </si>
  <si>
    <t>year 10</t>
  </si>
  <si>
    <t>year 15</t>
  </si>
  <si>
    <t>ROI without prop value</t>
  </si>
  <si>
    <t>Secondary ROI calc</t>
  </si>
  <si>
    <t xml:space="preserve">  </t>
  </si>
  <si>
    <t>monthly savings year 1</t>
  </si>
  <si>
    <t>Cash value of MACRS</t>
  </si>
  <si>
    <t>Tesla Powerwalls</t>
  </si>
  <si>
    <t>Net Battery cost</t>
  </si>
  <si>
    <t>Net system cost with battery</t>
  </si>
  <si>
    <t>Generator cost</t>
  </si>
  <si>
    <t>Current bill</t>
  </si>
  <si>
    <t>Solar savings</t>
  </si>
  <si>
    <t>Offset amount</t>
  </si>
  <si>
    <t>Offset percent</t>
  </si>
  <si>
    <t>avg</t>
  </si>
  <si>
    <t>Jan.</t>
  </si>
  <si>
    <t>Mar.</t>
  </si>
  <si>
    <t>May</t>
  </si>
  <si>
    <t>June</t>
  </si>
  <si>
    <t>July</t>
  </si>
  <si>
    <t>Aug.</t>
  </si>
  <si>
    <t>Sep.</t>
  </si>
  <si>
    <t>Oct.</t>
  </si>
  <si>
    <t>Nov.</t>
  </si>
  <si>
    <t>Dec.</t>
  </si>
  <si>
    <t>Year 20</t>
  </si>
  <si>
    <t>Year 25</t>
  </si>
  <si>
    <t>Benchmark savings</t>
  </si>
  <si>
    <t>Year 30</t>
  </si>
  <si>
    <t>Cumulative Savings</t>
  </si>
  <si>
    <t>Benchmark Projected Bill</t>
  </si>
  <si>
    <t>5 year Cumulative Projected Bill</t>
  </si>
  <si>
    <t>Cumulative projeted bill</t>
  </si>
  <si>
    <t>Utility company</t>
  </si>
  <si>
    <t>Trees</t>
  </si>
  <si>
    <t>Cars</t>
  </si>
  <si>
    <t>Property Value</t>
  </si>
  <si>
    <t>Qcells 340 Watt Modules</t>
  </si>
  <si>
    <t>Projected bill</t>
  </si>
  <si>
    <t>solar savings</t>
  </si>
  <si>
    <t>Estimated Property Value Increase</t>
  </si>
  <si>
    <t>Total possible MACRS</t>
  </si>
  <si>
    <t>Apr</t>
  </si>
  <si>
    <t>property value increase</t>
  </si>
  <si>
    <t>Tons of Carbon Offset</t>
  </si>
  <si>
    <t>monthly kWH production estimate</t>
  </si>
  <si>
    <t>monthly kWH consumption</t>
  </si>
  <si>
    <t>year 20</t>
  </si>
  <si>
    <t>year 25</t>
  </si>
  <si>
    <t>year 30</t>
  </si>
  <si>
    <t>cumulative</t>
  </si>
  <si>
    <t>average</t>
  </si>
  <si>
    <t>roof plus solar</t>
  </si>
  <si>
    <t>Qcells 350 Watt Modules</t>
  </si>
  <si>
    <t>Mission Solar 345 Watt Modules</t>
  </si>
  <si>
    <t>LG Solar 335 Watt Modules</t>
  </si>
  <si>
    <t>Jinko Solar 405 Watt Modules</t>
  </si>
  <si>
    <t xml:space="preserve">Candian Solar 400 Watt Modules </t>
  </si>
  <si>
    <t xml:space="preserve">Canadian Solar 400 Watt Modules </t>
  </si>
  <si>
    <t>Panel Type</t>
  </si>
  <si>
    <t>20Yr 6.99%</t>
  </si>
  <si>
    <t>25 yr 1.99</t>
  </si>
  <si>
    <t>loanpal</t>
  </si>
  <si>
    <t>mosaic 25 yr 1.99%</t>
  </si>
  <si>
    <t>mosaic 20 yr 6.99%</t>
  </si>
  <si>
    <t>mosaic 10yr 3.99%</t>
  </si>
  <si>
    <t>mosaic 20 yr 1.49%</t>
  </si>
  <si>
    <t>25 yr 1.99%</t>
  </si>
  <si>
    <t>20 yr 1.49%</t>
  </si>
  <si>
    <t>10 Yr 3.99%</t>
  </si>
  <si>
    <t>Payment</t>
  </si>
  <si>
    <t>Total Project Amount</t>
  </si>
  <si>
    <t>15Yr 3.49%</t>
  </si>
  <si>
    <t>mosaic 15 yr 3.49%</t>
  </si>
  <si>
    <t>Origination fees</t>
  </si>
  <si>
    <t>carbon</t>
  </si>
  <si>
    <t>trees</t>
  </si>
  <si>
    <t>miles</t>
  </si>
  <si>
    <t>pounds of coal</t>
  </si>
  <si>
    <t>factor</t>
  </si>
  <si>
    <t>Feb.</t>
  </si>
  <si>
    <t>battery cost</t>
  </si>
  <si>
    <t>roof/additional cost</t>
  </si>
  <si>
    <t>roof plus battey plus solar</t>
  </si>
  <si>
    <t>Aptos 440 Watt Modules</t>
  </si>
  <si>
    <t>LG Solar 375 Watt Modules</t>
  </si>
  <si>
    <t>Qcells 400 Watt Modules</t>
  </si>
  <si>
    <t>Mission Solar 370 Watt Modules</t>
  </si>
  <si>
    <t>Panasonic 360 Watt Modules</t>
  </si>
  <si>
    <t>Utility rate</t>
  </si>
  <si>
    <t>Input Data</t>
  </si>
  <si>
    <t>Shingle</t>
  </si>
  <si>
    <t>Tile</t>
  </si>
  <si>
    <t>Standing seam metal</t>
  </si>
  <si>
    <t>5V Metal</t>
  </si>
  <si>
    <t>Flat</t>
  </si>
  <si>
    <t>Unkown</t>
  </si>
  <si>
    <t>Roof type</t>
  </si>
  <si>
    <t>Total Cost</t>
  </si>
  <si>
    <t>Tax Credit</t>
  </si>
  <si>
    <t>Net Cost</t>
  </si>
  <si>
    <t>Additional cost</t>
  </si>
  <si>
    <t>The total cost of your EV Charging Station(s), inclusive of design, engineering, permit preperation and filing, and installation is:</t>
  </si>
  <si>
    <t>30% Federal Tax Credit</t>
  </si>
  <si>
    <t>Total Charging Station Cost</t>
  </si>
  <si>
    <t>Net Charging Station Cost</t>
  </si>
  <si>
    <t>Level 2 Chargers</t>
  </si>
  <si>
    <t>Level 3 Chargers</t>
  </si>
  <si>
    <t># of Level 2</t>
  </si>
  <si>
    <t># of Level 3</t>
  </si>
  <si>
    <t>Chargepoint</t>
  </si>
  <si>
    <t>Tesla</t>
  </si>
  <si>
    <t>Enphase</t>
  </si>
  <si>
    <t>Maintenance and Operations</t>
  </si>
  <si>
    <t>Year 1 Net Revenue Estimate</t>
  </si>
  <si>
    <t>Revenue and Expense Calculations Below based on the following assumptions:</t>
  </si>
  <si>
    <t>Cost per kWH premium</t>
  </si>
  <si>
    <t>Sedan</t>
  </si>
  <si>
    <t>Cross/SUV</t>
  </si>
  <si>
    <t>Pickup</t>
  </si>
  <si>
    <t>Van</t>
  </si>
  <si>
    <t>Annual Inrease in EV adoption</t>
  </si>
  <si>
    <t>EV Inputs</t>
  </si>
  <si>
    <t>Level 2</t>
  </si>
  <si>
    <t>Level 3</t>
  </si>
  <si>
    <t>Utilization</t>
  </si>
  <si>
    <t>Cost per kWH</t>
  </si>
  <si>
    <t>Premium</t>
  </si>
  <si>
    <t>Annual increase</t>
  </si>
  <si>
    <t>Kwh per day</t>
  </si>
  <si>
    <t>kW Capacity</t>
  </si>
  <si>
    <t>Premium per day</t>
  </si>
  <si>
    <t>O&amp;M</t>
  </si>
  <si>
    <t>EV Growth Rate</t>
  </si>
  <si>
    <t>kWH per day</t>
  </si>
  <si>
    <t>cost</t>
  </si>
  <si>
    <t>net</t>
  </si>
  <si>
    <t>payback</t>
  </si>
  <si>
    <t>y2</t>
  </si>
  <si>
    <t>y3</t>
  </si>
  <si>
    <t>y4</t>
  </si>
  <si>
    <t>y5</t>
  </si>
  <si>
    <t>Level 2 cost</t>
  </si>
  <si>
    <t>Level 3 cost</t>
  </si>
  <si>
    <t>permitting</t>
  </si>
  <si>
    <t>engineering</t>
  </si>
  <si>
    <t>admin</t>
  </si>
  <si>
    <t>subtotal</t>
  </si>
  <si>
    <t>Total</t>
  </si>
  <si>
    <t>annual total</t>
  </si>
  <si>
    <t>daily total</t>
  </si>
  <si>
    <t>Commission</t>
  </si>
  <si>
    <t>Payback Period in Years</t>
  </si>
  <si>
    <t>5 year total</t>
  </si>
  <si>
    <t>5 year avg</t>
  </si>
  <si>
    <t>Year 5 Net Revenue Estimate Total</t>
  </si>
  <si>
    <t>Estimated 5 Year Depreciation Value</t>
  </si>
  <si>
    <t>depreciation</t>
  </si>
  <si>
    <t>property value</t>
  </si>
  <si>
    <t>kWH per year</t>
  </si>
  <si>
    <t>carbon emissions</t>
  </si>
  <si>
    <t>Tons of Carbon Emissions Offset vs. Conventional Fuel</t>
  </si>
  <si>
    <t>Cost of Electricity</t>
  </si>
  <si>
    <t>Construction adder</t>
  </si>
  <si>
    <t>Projected Customer Type</t>
  </si>
  <si>
    <t>Payback in years</t>
  </si>
  <si>
    <t>Depreciation Available</t>
  </si>
  <si>
    <t>Year 1 Revenue</t>
  </si>
  <si>
    <t>Year 5 Cumulative Revenue</t>
  </si>
  <si>
    <t>Market Growth Rate</t>
  </si>
  <si>
    <t>Non Standard Construction cost</t>
  </si>
  <si>
    <t>adder</t>
  </si>
  <si>
    <t>0&amp;M</t>
  </si>
  <si>
    <t>after o$m total</t>
  </si>
  <si>
    <t>5 yr o&amp;m</t>
  </si>
  <si>
    <t>Net 5 yr avg</t>
  </si>
  <si>
    <t>3 yr avg dly rev</t>
  </si>
  <si>
    <t>www.SailfishConstruction.com</t>
  </si>
  <si>
    <t>Premium Charged</t>
  </si>
  <si>
    <r>
      <rPr>
        <b/>
        <sz val="18"/>
        <color theme="1"/>
        <rFont val="Open Sans Regular"/>
      </rPr>
      <t>The demand for Electric Vehicle Charging Stations is on the rise.</t>
    </r>
    <r>
      <rPr>
        <sz val="18"/>
        <color theme="1"/>
        <rFont val="Open Sans Regular"/>
      </rPr>
      <t xml:space="preserve"> An investment in charging stations is proven to be a profitable investment for companies that are willing to invest in them. By providing a convenient and affordable way for EV drivers to charge their vehicles, companies can benefit from </t>
    </r>
    <r>
      <rPr>
        <b/>
        <sz val="18"/>
        <color theme="1"/>
        <rFont val="Open Sans Regular"/>
      </rPr>
      <t xml:space="preserve">increased sales, customer loyalty, revenue generation, and improved brand image. </t>
    </r>
  </si>
  <si>
    <t>Electric Vehicle Charging Station Proposal for:</t>
  </si>
  <si>
    <t>Sailfish Construction is a Division of Sailfish Solar LLC</t>
  </si>
  <si>
    <t>Monthly Hours of Utilization</t>
  </si>
  <si>
    <t>Monthly Utilization Hours</t>
  </si>
  <si>
    <t>-</t>
  </si>
  <si>
    <t>1243 W March Lane</t>
  </si>
  <si>
    <t>Stockton CA 95207</t>
  </si>
  <si>
    <t>PG&amp;E</t>
  </si>
  <si>
    <t>Finance Rate</t>
  </si>
  <si>
    <t>Estimated Annual Payment</t>
  </si>
  <si>
    <t>Finance Costs</t>
  </si>
  <si>
    <t>Annual Finance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</si>
</sst>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sterama"/>
      <family val="2"/>
    </font>
    <font>
      <b/>
      <sz val="11"/>
      <name val="Posterama"/>
      <family val="2"/>
    </font>
    <font>
      <sz val="11"/>
      <name val="Aharoni"/>
      <charset val="177"/>
    </font>
    <font>
      <b/>
      <sz val="11"/>
      <color theme="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i/>
      <sz val="14"/>
      <color rgb="FF082A75"/>
      <name val="Open Sans Regular"/>
    </font>
    <font>
      <b/>
      <sz val="16"/>
      <color rgb="FF0A88BC"/>
      <name val="Playfair Display"/>
    </font>
    <font>
      <sz val="11"/>
      <name val="Open Sans Regular"/>
    </font>
    <font>
      <sz val="11"/>
      <color theme="1"/>
      <name val="Open Sans Regular"/>
    </font>
    <font>
      <b/>
      <sz val="11"/>
      <color rgb="FFC00000"/>
      <name val="Open Sans Regular"/>
    </font>
    <font>
      <sz val="12"/>
      <name val="Open Sans Regular"/>
    </font>
    <font>
      <b/>
      <sz val="12"/>
      <name val="Open Sans Regular"/>
    </font>
    <font>
      <b/>
      <sz val="11"/>
      <name val="Open Sans Regular"/>
    </font>
    <font>
      <b/>
      <sz val="12"/>
      <color rgb="FFC00000"/>
      <name val="Open Sans Regular"/>
    </font>
    <font>
      <b/>
      <sz val="12"/>
      <color rgb="FF00B050"/>
      <name val="Open Sans Regular"/>
    </font>
    <font>
      <b/>
      <sz val="12"/>
      <color theme="1"/>
      <name val="Open Sans Regular"/>
    </font>
    <font>
      <b/>
      <sz val="14"/>
      <name val="Open Sans Regular"/>
    </font>
    <font>
      <b/>
      <i/>
      <sz val="12"/>
      <color theme="1"/>
      <name val="Open Sans Regular"/>
    </font>
    <font>
      <sz val="14"/>
      <name val="Open Sans Regular"/>
    </font>
    <font>
      <b/>
      <sz val="16"/>
      <name val="Open Sans Regular"/>
    </font>
    <font>
      <b/>
      <sz val="18"/>
      <color theme="1"/>
      <name val="Open Sans Regular"/>
    </font>
    <font>
      <sz val="18"/>
      <color theme="1"/>
      <name val="Open Sans Regular"/>
    </font>
    <font>
      <b/>
      <u/>
      <sz val="14"/>
      <color theme="10"/>
      <name val="Open Sans Regular"/>
    </font>
    <font>
      <b/>
      <sz val="14"/>
      <color theme="4"/>
      <name val="Open Sans Regular"/>
    </font>
    <font>
      <b/>
      <sz val="14"/>
      <color theme="9"/>
      <name val="Open Sans Regular"/>
    </font>
    <font>
      <b/>
      <u/>
      <sz val="16"/>
      <color theme="10"/>
      <name val="Open Sans Regular"/>
    </font>
    <font>
      <b/>
      <u/>
      <sz val="16"/>
      <color theme="10"/>
      <name val="Calibri"/>
      <family val="2"/>
      <scheme val="minor"/>
    </font>
    <font>
      <b/>
      <sz val="9"/>
      <name val="Open Sans Regular"/>
    </font>
    <font>
      <sz val="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2FAF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D64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A88BC"/>
      </top>
      <bottom/>
      <diagonal/>
    </border>
    <border>
      <left/>
      <right/>
      <top/>
      <bottom style="thick">
        <color rgb="FF0A88BC"/>
      </bottom>
      <diagonal/>
    </border>
    <border>
      <left style="thick">
        <color rgb="FF0A88BC"/>
      </left>
      <right/>
      <top/>
      <bottom/>
      <diagonal/>
    </border>
    <border>
      <left/>
      <right style="thick">
        <color rgb="FF0A88BC"/>
      </right>
      <top/>
      <bottom/>
      <diagonal/>
    </border>
    <border>
      <left style="thick">
        <color rgb="FF0A88BC"/>
      </left>
      <right/>
      <top style="thick">
        <color rgb="FF0A88BC"/>
      </top>
      <bottom/>
      <diagonal/>
    </border>
    <border>
      <left/>
      <right style="thick">
        <color rgb="FF0A88BC"/>
      </right>
      <top style="thick">
        <color rgb="FF0A88BC"/>
      </top>
      <bottom/>
      <diagonal/>
    </border>
    <border>
      <left style="thick">
        <color rgb="FF0A88BC"/>
      </left>
      <right/>
      <top/>
      <bottom style="thick">
        <color rgb="FF0A88BC"/>
      </bottom>
      <diagonal/>
    </border>
    <border>
      <left/>
      <right style="thick">
        <color rgb="FF0A88BC"/>
      </right>
      <top/>
      <bottom style="thick">
        <color rgb="FF0A88BC"/>
      </bottom>
      <diagonal/>
    </border>
    <border>
      <left/>
      <right/>
      <top style="thin">
        <color theme="1" tint="0.249977111117893"/>
      </top>
      <bottom/>
      <diagonal/>
    </border>
    <border>
      <left/>
      <right/>
      <top/>
      <bottom style="thin">
        <color theme="1" tint="0.249977111117893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5" fontId="10" fillId="6" borderId="0" applyFont="0" applyFill="0" applyBorder="0" applyAlignment="0" applyProtection="0"/>
    <xf numFmtId="0" fontId="10" fillId="5" borderId="0" applyNumberFormat="0" applyFont="0" applyAlignment="0">
      <alignment horizontal="center" vertical="center" wrapText="1"/>
    </xf>
    <xf numFmtId="1" fontId="10" fillId="5" borderId="0" applyFont="0" applyFill="0" applyBorder="0" applyAlignment="0"/>
    <xf numFmtId="14" fontId="10" fillId="0" borderId="0" applyFont="0" applyFill="0" applyBorder="0" applyAlignment="0"/>
    <xf numFmtId="0" fontId="9" fillId="7" borderId="0" applyBorder="0" applyProtection="0">
      <alignment horizontal="right" vertical="center" wrapText="1" indent="2"/>
    </xf>
    <xf numFmtId="165" fontId="10" fillId="6" borderId="0" applyFont="0" applyFill="0" applyBorder="0" applyProtection="0">
      <alignment horizontal="right" indent="2"/>
    </xf>
  </cellStyleXfs>
  <cellXfs count="195">
    <xf numFmtId="0" fontId="0" fillId="0" borderId="0" xfId="0"/>
    <xf numFmtId="0" fontId="0" fillId="2" borderId="0" xfId="0" applyFill="1"/>
    <xf numFmtId="0" fontId="0" fillId="2" borderId="1" xfId="0" applyFill="1" applyBorder="1"/>
    <xf numFmtId="9" fontId="0" fillId="2" borderId="1" xfId="3" applyFont="1" applyFill="1" applyBorder="1"/>
    <xf numFmtId="0" fontId="0" fillId="3" borderId="1" xfId="0" applyFill="1" applyBorder="1"/>
    <xf numFmtId="2" fontId="0" fillId="2" borderId="1" xfId="3" applyNumberFormat="1" applyFont="1" applyFill="1" applyBorder="1"/>
    <xf numFmtId="0" fontId="4" fillId="2" borderId="0" xfId="0" applyFont="1" applyFill="1"/>
    <xf numFmtId="0" fontId="5" fillId="2" borderId="0" xfId="0" applyFont="1" applyFill="1"/>
    <xf numFmtId="44" fontId="0" fillId="2" borderId="1" xfId="0" applyNumberFormat="1" applyFill="1" applyBorder="1"/>
    <xf numFmtId="2" fontId="0" fillId="2" borderId="1" xfId="0" applyNumberFormat="1" applyFill="1" applyBorder="1"/>
    <xf numFmtId="164" fontId="0" fillId="4" borderId="1" xfId="1" applyNumberFormat="1" applyFont="1" applyFill="1" applyBorder="1"/>
    <xf numFmtId="44" fontId="0" fillId="2" borderId="1" xfId="1" applyFont="1" applyFill="1" applyBorder="1"/>
    <xf numFmtId="0" fontId="0" fillId="2" borderId="1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164" fontId="12" fillId="2" borderId="0" xfId="0" applyNumberFormat="1" applyFont="1" applyFill="1"/>
    <xf numFmtId="165" fontId="13" fillId="2" borderId="0" xfId="0" applyNumberFormat="1" applyFont="1" applyFill="1"/>
    <xf numFmtId="165" fontId="0" fillId="2" borderId="1" xfId="1" applyNumberFormat="1" applyFont="1" applyFill="1" applyBorder="1"/>
    <xf numFmtId="165" fontId="0" fillId="3" borderId="1" xfId="1" applyNumberFormat="1" applyFont="1" applyFill="1" applyBorder="1"/>
    <xf numFmtId="44" fontId="0" fillId="2" borderId="1" xfId="1" applyFont="1" applyFill="1" applyBorder="1" applyProtection="1"/>
    <xf numFmtId="165" fontId="0" fillId="2" borderId="1" xfId="0" applyNumberFormat="1" applyFill="1" applyBorder="1"/>
    <xf numFmtId="1" fontId="0" fillId="2" borderId="1" xfId="0" applyNumberFormat="1" applyFill="1" applyBorder="1"/>
    <xf numFmtId="1" fontId="0" fillId="2" borderId="1" xfId="1" applyNumberFormat="1" applyFont="1" applyFill="1" applyBorder="1"/>
    <xf numFmtId="44" fontId="0" fillId="2" borderId="1" xfId="1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3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165" fontId="0" fillId="2" borderId="1" xfId="1" applyNumberFormat="1" applyFont="1" applyFill="1" applyBorder="1" applyAlignment="1">
      <alignment horizontal="center"/>
    </xf>
    <xf numFmtId="0" fontId="16" fillId="0" borderId="0" xfId="0" applyFont="1"/>
    <xf numFmtId="3" fontId="0" fillId="2" borderId="1" xfId="0" applyNumberFormat="1" applyFill="1" applyBorder="1"/>
    <xf numFmtId="0" fontId="0" fillId="2" borderId="1" xfId="1" applyNumberFormat="1" applyFont="1" applyFill="1" applyBorder="1"/>
    <xf numFmtId="165" fontId="0" fillId="3" borderId="1" xfId="1" applyNumberFormat="1" applyFont="1" applyFill="1" applyBorder="1" applyAlignment="1">
      <alignment horizontal="right"/>
    </xf>
    <xf numFmtId="9" fontId="0" fillId="8" borderId="1" xfId="3" applyFont="1" applyFill="1" applyBorder="1"/>
    <xf numFmtId="9" fontId="0" fillId="9" borderId="1" xfId="3" applyFont="1" applyFill="1" applyBorder="1"/>
    <xf numFmtId="0" fontId="0" fillId="3" borderId="1" xfId="0" applyFill="1" applyBorder="1" applyAlignment="1">
      <alignment horizontal="left"/>
    </xf>
    <xf numFmtId="0" fontId="2" fillId="3" borderId="1" xfId="2" applyFill="1" applyBorder="1"/>
    <xf numFmtId="0" fontId="16" fillId="3" borderId="1" xfId="2" applyFont="1" applyFill="1" applyBorder="1" applyAlignment="1">
      <alignment horizontal="center"/>
    </xf>
    <xf numFmtId="0" fontId="15" fillId="10" borderId="0" xfId="0" applyFont="1" applyFill="1"/>
    <xf numFmtId="0" fontId="15" fillId="10" borderId="1" xfId="0" applyFont="1" applyFill="1" applyBorder="1"/>
    <xf numFmtId="0" fontId="15" fillId="10" borderId="0" xfId="0" applyFont="1" applyFill="1" applyProtection="1">
      <protection hidden="1"/>
    </xf>
    <xf numFmtId="0" fontId="17" fillId="10" borderId="0" xfId="0" applyFont="1" applyFill="1"/>
    <xf numFmtId="165" fontId="17" fillId="10" borderId="0" xfId="1" applyNumberFormat="1" applyFont="1" applyFill="1" applyBorder="1" applyProtection="1"/>
    <xf numFmtId="9" fontId="17" fillId="10" borderId="0" xfId="0" applyNumberFormat="1" applyFont="1" applyFill="1"/>
    <xf numFmtId="165" fontId="18" fillId="10" borderId="0" xfId="0" applyNumberFormat="1" applyFont="1" applyFill="1"/>
    <xf numFmtId="9" fontId="15" fillId="10" borderId="0" xfId="0" applyNumberFormat="1" applyFont="1" applyFill="1"/>
    <xf numFmtId="9" fontId="0" fillId="2" borderId="1" xfId="0" applyNumberFormat="1" applyFill="1" applyBorder="1" applyAlignment="1">
      <alignment horizontal="right"/>
    </xf>
    <xf numFmtId="9" fontId="0" fillId="2" borderId="1" xfId="0" applyNumberFormat="1" applyFill="1" applyBorder="1"/>
    <xf numFmtId="0" fontId="0" fillId="11" borderId="1" xfId="0" applyFill="1" applyBorder="1"/>
    <xf numFmtId="44" fontId="0" fillId="11" borderId="1" xfId="1" applyFont="1" applyFill="1" applyBorder="1"/>
    <xf numFmtId="0" fontId="0" fillId="11" borderId="0" xfId="0" applyFill="1"/>
    <xf numFmtId="0" fontId="15" fillId="11" borderId="0" xfId="0" applyFont="1" applyFill="1"/>
    <xf numFmtId="9" fontId="0" fillId="0" borderId="0" xfId="3" applyFont="1"/>
    <xf numFmtId="9" fontId="15" fillId="10" borderId="0" xfId="3" applyFont="1" applyFill="1"/>
    <xf numFmtId="165" fontId="0" fillId="0" borderId="0" xfId="1" applyNumberFormat="1" applyFont="1"/>
    <xf numFmtId="165" fontId="15" fillId="10" borderId="0" xfId="1" applyNumberFormat="1" applyFont="1" applyFill="1"/>
    <xf numFmtId="0" fontId="0" fillId="2" borderId="2" xfId="0" applyFill="1" applyBorder="1" applyAlignment="1">
      <alignment horizontal="center"/>
    </xf>
    <xf numFmtId="44" fontId="17" fillId="10" borderId="0" xfId="1" applyFont="1" applyFill="1"/>
    <xf numFmtId="44" fontId="15" fillId="10" borderId="0" xfId="1" applyFont="1" applyFill="1"/>
    <xf numFmtId="2" fontId="15" fillId="10" borderId="0" xfId="0" applyNumberFormat="1" applyFont="1" applyFill="1"/>
    <xf numFmtId="0" fontId="0" fillId="12" borderId="0" xfId="0" applyFill="1"/>
    <xf numFmtId="0" fontId="0" fillId="13" borderId="0" xfId="0" applyFill="1"/>
    <xf numFmtId="0" fontId="4" fillId="0" borderId="0" xfId="0" applyFont="1"/>
    <xf numFmtId="0" fontId="6" fillId="0" borderId="0" xfId="0" applyFont="1"/>
    <xf numFmtId="0" fontId="8" fillId="0" borderId="0" xfId="0" applyFont="1"/>
    <xf numFmtId="0" fontId="21" fillId="0" borderId="0" xfId="0" applyFont="1"/>
    <xf numFmtId="0" fontId="22" fillId="0" borderId="0" xfId="0" applyFont="1"/>
    <xf numFmtId="0" fontId="24" fillId="0" borderId="0" xfId="0" applyFont="1"/>
    <xf numFmtId="0" fontId="25" fillId="0" borderId="0" xfId="0" applyFont="1"/>
    <xf numFmtId="0" fontId="21" fillId="2" borderId="0" xfId="0" applyFont="1" applyFill="1"/>
    <xf numFmtId="0" fontId="24" fillId="2" borderId="0" xfId="0" applyFont="1" applyFill="1"/>
    <xf numFmtId="0" fontId="30" fillId="2" borderId="0" xfId="0" applyFont="1" applyFill="1"/>
    <xf numFmtId="0" fontId="24" fillId="2" borderId="0" xfId="0" applyFont="1" applyFill="1" applyAlignment="1">
      <alignment horizontal="left"/>
    </xf>
    <xf numFmtId="165" fontId="23" fillId="2" borderId="0" xfId="1" applyNumberFormat="1" applyFont="1" applyFill="1" applyAlignment="1">
      <alignment horizontal="left"/>
    </xf>
    <xf numFmtId="0" fontId="21" fillId="2" borderId="0" xfId="0" applyFont="1" applyFill="1" applyAlignment="1">
      <alignment horizontal="left"/>
    </xf>
    <xf numFmtId="0" fontId="32" fillId="2" borderId="0" xfId="0" applyFont="1" applyFill="1" applyAlignment="1">
      <alignment horizontal="left" vertical="center"/>
    </xf>
    <xf numFmtId="0" fontId="33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right" vertical="center"/>
    </xf>
    <xf numFmtId="0" fontId="24" fillId="2" borderId="0" xfId="0" applyFont="1" applyFill="1" applyAlignment="1">
      <alignment vertical="center"/>
    </xf>
    <xf numFmtId="0" fontId="33" fillId="2" borderId="0" xfId="0" applyFont="1" applyFill="1" applyAlignment="1">
      <alignment horizontal="right" vertical="center"/>
    </xf>
    <xf numFmtId="0" fontId="33" fillId="2" borderId="0" xfId="0" applyFont="1" applyFill="1" applyAlignment="1">
      <alignment vertical="center"/>
    </xf>
    <xf numFmtId="0" fontId="24" fillId="2" borderId="0" xfId="0" applyFont="1" applyFill="1" applyAlignment="1">
      <alignment horizontal="left" vertical="center"/>
    </xf>
    <xf numFmtId="0" fontId="24" fillId="12" borderId="0" xfId="0" applyFont="1" applyFill="1"/>
    <xf numFmtId="0" fontId="24" fillId="12" borderId="0" xfId="0" applyFont="1" applyFill="1" applyAlignment="1">
      <alignment horizontal="left"/>
    </xf>
    <xf numFmtId="0" fontId="24" fillId="12" borderId="0" xfId="0" applyFont="1" applyFill="1" applyAlignment="1">
      <alignment vertical="center"/>
    </xf>
    <xf numFmtId="0" fontId="25" fillId="12" borderId="0" xfId="0" applyFont="1" applyFill="1" applyAlignment="1">
      <alignment horizontal="center"/>
    </xf>
    <xf numFmtId="0" fontId="19" fillId="0" borderId="0" xfId="0" applyFont="1" applyAlignment="1">
      <alignment vertical="center"/>
    </xf>
    <xf numFmtId="0" fontId="25" fillId="2" borderId="0" xfId="0" applyFont="1" applyFill="1" applyAlignment="1">
      <alignment vertical="center"/>
    </xf>
    <xf numFmtId="0" fontId="22" fillId="2" borderId="0" xfId="0" applyFont="1" applyFill="1"/>
    <xf numFmtId="0" fontId="24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0" fontId="24" fillId="2" borderId="0" xfId="0" applyFont="1" applyFill="1" applyAlignment="1">
      <alignment horizont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4" fillId="2" borderId="0" xfId="0" applyFont="1" applyFill="1" applyAlignment="1">
      <alignment horizontal="left" vertical="center" wrapText="1"/>
    </xf>
    <xf numFmtId="0" fontId="24" fillId="2" borderId="0" xfId="0" applyFont="1" applyFill="1" applyAlignment="1">
      <alignment vertical="center" wrapText="1"/>
    </xf>
    <xf numFmtId="9" fontId="33" fillId="2" borderId="0" xfId="0" applyNumberFormat="1" applyFont="1" applyFill="1" applyAlignment="1">
      <alignment horizontal="left" vertical="center"/>
    </xf>
    <xf numFmtId="0" fontId="20" fillId="2" borderId="7" xfId="0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/>
    <xf numFmtId="0" fontId="14" fillId="0" borderId="0" xfId="2" applyFont="1" applyFill="1"/>
    <xf numFmtId="0" fontId="33" fillId="0" borderId="0" xfId="0" applyFont="1"/>
    <xf numFmtId="0" fontId="5" fillId="13" borderId="0" xfId="0" applyFont="1" applyFill="1" applyAlignment="1">
      <alignment horizontal="right"/>
    </xf>
    <xf numFmtId="164" fontId="5" fillId="13" borderId="0" xfId="0" applyNumberFormat="1" applyFont="1" applyFill="1" applyAlignment="1">
      <alignment horizontal="center"/>
    </xf>
    <xf numFmtId="0" fontId="5" fillId="13" borderId="0" xfId="0" applyFont="1" applyFill="1"/>
    <xf numFmtId="165" fontId="13" fillId="13" borderId="0" xfId="0" applyNumberFormat="1" applyFont="1" applyFill="1"/>
    <xf numFmtId="0" fontId="36" fillId="0" borderId="0" xfId="2" applyFont="1" applyFill="1" applyAlignment="1"/>
    <xf numFmtId="0" fontId="33" fillId="12" borderId="0" xfId="0" applyFont="1" applyFill="1" applyAlignment="1">
      <alignment horizontal="right" wrapText="1"/>
    </xf>
    <xf numFmtId="0" fontId="22" fillId="12" borderId="0" xfId="0" applyFont="1" applyFill="1" applyAlignment="1">
      <alignment horizontal="left"/>
    </xf>
    <xf numFmtId="165" fontId="33" fillId="12" borderId="0" xfId="1" applyNumberFormat="1" applyFont="1" applyFill="1" applyAlignment="1">
      <alignment horizontal="right" wrapText="1"/>
    </xf>
    <xf numFmtId="0" fontId="25" fillId="0" borderId="15" xfId="0" applyFont="1" applyBorder="1"/>
    <xf numFmtId="9" fontId="33" fillId="12" borderId="0" xfId="0" applyNumberFormat="1" applyFont="1" applyFill="1" applyAlignment="1">
      <alignment horizontal="left"/>
    </xf>
    <xf numFmtId="9" fontId="33" fillId="12" borderId="0" xfId="0" applyNumberFormat="1" applyFont="1" applyFill="1" applyAlignment="1">
      <alignment horizontal="left" vertical="center"/>
    </xf>
    <xf numFmtId="0" fontId="21" fillId="13" borderId="0" xfId="0" applyFont="1" applyFill="1"/>
    <xf numFmtId="0" fontId="19" fillId="2" borderId="0" xfId="0" applyFont="1" applyFill="1" applyAlignment="1">
      <alignment vertical="center"/>
    </xf>
    <xf numFmtId="0" fontId="31" fillId="2" borderId="0" xfId="0" applyFont="1" applyFill="1"/>
    <xf numFmtId="164" fontId="27" fillId="2" borderId="0" xfId="0" applyNumberFormat="1" applyFont="1" applyFill="1"/>
    <xf numFmtId="44" fontId="25" fillId="2" borderId="0" xfId="1" applyFont="1" applyFill="1"/>
    <xf numFmtId="0" fontId="25" fillId="2" borderId="0" xfId="0" applyFont="1" applyFill="1" applyAlignment="1">
      <alignment horizontal="center"/>
    </xf>
    <xf numFmtId="9" fontId="33" fillId="2" borderId="0" xfId="0" applyNumberFormat="1" applyFont="1" applyFill="1" applyAlignment="1">
      <alignment horizontal="right" wrapText="1"/>
    </xf>
    <xf numFmtId="0" fontId="25" fillId="2" borderId="0" xfId="0" applyFont="1" applyFill="1" applyAlignment="1">
      <alignment horizontal="left"/>
    </xf>
    <xf numFmtId="44" fontId="25" fillId="2" borderId="0" xfId="1" applyFont="1" applyFill="1" applyBorder="1"/>
    <xf numFmtId="0" fontId="25" fillId="0" borderId="15" xfId="0" applyFont="1" applyBorder="1" applyAlignment="1">
      <alignment horizontal="left" vertical="center"/>
    </xf>
    <xf numFmtId="0" fontId="24" fillId="2" borderId="0" xfId="0" applyFont="1" applyFill="1" applyAlignment="1">
      <alignment horizontal="right"/>
    </xf>
    <xf numFmtId="165" fontId="28" fillId="2" borderId="0" xfId="0" applyNumberFormat="1" applyFont="1" applyFill="1"/>
    <xf numFmtId="0" fontId="22" fillId="2" borderId="7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7" xfId="0" applyFill="1" applyBorder="1"/>
    <xf numFmtId="0" fontId="24" fillId="2" borderId="7" xfId="0" applyFont="1" applyFill="1" applyBorder="1" applyAlignment="1">
      <alignment vertical="center"/>
    </xf>
    <xf numFmtId="0" fontId="22" fillId="2" borderId="6" xfId="0" applyFont="1" applyFill="1" applyBorder="1" applyAlignment="1">
      <alignment vertical="center"/>
    </xf>
    <xf numFmtId="0" fontId="33" fillId="2" borderId="0" xfId="0" applyFont="1" applyFill="1" applyAlignment="1">
      <alignment horizontal="right" wrapText="1"/>
    </xf>
    <xf numFmtId="9" fontId="33" fillId="2" borderId="0" xfId="3" applyFont="1" applyFill="1" applyAlignment="1">
      <alignment horizontal="right" wrapText="1"/>
    </xf>
    <xf numFmtId="0" fontId="11" fillId="0" borderId="0" xfId="0" applyFont="1"/>
    <xf numFmtId="165" fontId="30" fillId="12" borderId="14" xfId="1" applyNumberFormat="1" applyFont="1" applyFill="1" applyBorder="1" applyAlignment="1">
      <alignment vertical="center"/>
    </xf>
    <xf numFmtId="0" fontId="32" fillId="12" borderId="0" xfId="0" applyFont="1" applyFill="1" applyAlignment="1">
      <alignment horizontal="left" vertical="center"/>
    </xf>
    <xf numFmtId="0" fontId="15" fillId="12" borderId="0" xfId="0" applyFont="1" applyFill="1"/>
    <xf numFmtId="0" fontId="30" fillId="12" borderId="0" xfId="0" applyFont="1" applyFill="1" applyAlignment="1">
      <alignment horizontal="left"/>
    </xf>
    <xf numFmtId="165" fontId="37" fillId="2" borderId="0" xfId="1" applyNumberFormat="1" applyFont="1" applyFill="1" applyAlignment="1">
      <alignment vertical="center"/>
    </xf>
    <xf numFmtId="0" fontId="15" fillId="2" borderId="0" xfId="0" applyFont="1" applyFill="1"/>
    <xf numFmtId="0" fontId="32" fillId="2" borderId="0" xfId="0" applyFont="1" applyFill="1" applyAlignment="1">
      <alignment horizontal="left"/>
    </xf>
    <xf numFmtId="165" fontId="38" fillId="12" borderId="0" xfId="1" applyNumberFormat="1" applyFont="1" applyFill="1" applyAlignment="1">
      <alignment vertical="center"/>
    </xf>
    <xf numFmtId="2" fontId="30" fillId="2" borderId="0" xfId="0" applyNumberFormat="1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/>
    <xf numFmtId="165" fontId="30" fillId="12" borderId="0" xfId="1" applyNumberFormat="1" applyFont="1" applyFill="1" applyAlignment="1">
      <alignment vertical="center"/>
    </xf>
    <xf numFmtId="0" fontId="32" fillId="12" borderId="0" xfId="0" applyFont="1" applyFill="1" applyAlignment="1">
      <alignment vertical="center"/>
    </xf>
    <xf numFmtId="0" fontId="32" fillId="12" borderId="0" xfId="0" applyFont="1" applyFill="1"/>
    <xf numFmtId="165" fontId="30" fillId="2" borderId="0" xfId="0" applyNumberFormat="1" applyFont="1" applyFill="1" applyAlignment="1">
      <alignment vertical="center"/>
    </xf>
    <xf numFmtId="44" fontId="32" fillId="2" borderId="0" xfId="1" applyFont="1" applyFill="1" applyAlignment="1">
      <alignment horizontal="left" vertical="center"/>
    </xf>
    <xf numFmtId="44" fontId="32" fillId="2" borderId="0" xfId="1" applyFont="1" applyFill="1" applyAlignment="1">
      <alignment horizontal="left"/>
    </xf>
    <xf numFmtId="165" fontId="37" fillId="12" borderId="0" xfId="1" applyNumberFormat="1" applyFont="1" applyFill="1" applyAlignment="1">
      <alignment vertical="center"/>
    </xf>
    <xf numFmtId="44" fontId="32" fillId="12" borderId="0" xfId="1" applyFont="1" applyFill="1" applyAlignment="1">
      <alignment vertical="center"/>
    </xf>
    <xf numFmtId="0" fontId="30" fillId="12" borderId="0" xfId="0" applyFont="1" applyFill="1" applyAlignment="1">
      <alignment horizontal="center"/>
    </xf>
    <xf numFmtId="0" fontId="11" fillId="2" borderId="0" xfId="0" applyFont="1" applyFill="1"/>
    <xf numFmtId="0" fontId="26" fillId="13" borderId="0" xfId="0" applyFont="1" applyFill="1"/>
    <xf numFmtId="0" fontId="41" fillId="2" borderId="0" xfId="0" applyFont="1" applyFill="1" applyAlignment="1">
      <alignment horizontal="right" vertical="center"/>
    </xf>
    <xf numFmtId="2" fontId="33" fillId="12" borderId="0" xfId="3" applyNumberFormat="1" applyFont="1" applyFill="1" applyAlignment="1">
      <alignment horizontal="right" wrapText="1"/>
    </xf>
    <xf numFmtId="0" fontId="42" fillId="2" borderId="0" xfId="0" applyFont="1" applyFill="1"/>
    <xf numFmtId="0" fontId="15" fillId="14" borderId="0" xfId="0" applyFont="1" applyFill="1" applyAlignment="1" applyProtection="1">
      <alignment horizontal="left"/>
      <protection locked="0"/>
    </xf>
    <xf numFmtId="0" fontId="2" fillId="14" borderId="0" xfId="2" applyFill="1" applyAlignment="1" applyProtection="1">
      <alignment horizontal="left"/>
      <protection locked="0"/>
    </xf>
    <xf numFmtId="0" fontId="15" fillId="14" borderId="0" xfId="3" applyNumberFormat="1" applyFont="1" applyFill="1" applyAlignment="1" applyProtection="1">
      <alignment horizontal="left"/>
      <protection locked="0"/>
    </xf>
    <xf numFmtId="165" fontId="15" fillId="14" borderId="0" xfId="1" applyNumberFormat="1" applyFont="1" applyFill="1" applyAlignment="1" applyProtection="1">
      <alignment horizontal="left"/>
      <protection locked="0"/>
    </xf>
    <xf numFmtId="9" fontId="15" fillId="14" borderId="0" xfId="3" applyFont="1" applyFill="1" applyAlignment="1" applyProtection="1">
      <alignment horizontal="left"/>
      <protection locked="0"/>
    </xf>
    <xf numFmtId="165" fontId="15" fillId="14" borderId="0" xfId="1" applyNumberFormat="1" applyFont="1" applyFill="1" applyBorder="1" applyAlignment="1" applyProtection="1">
      <alignment horizontal="left"/>
      <protection locked="0"/>
    </xf>
    <xf numFmtId="165" fontId="15" fillId="14" borderId="0" xfId="1" applyNumberFormat="1" applyFont="1" applyFill="1" applyAlignment="1">
      <alignment horizontal="left"/>
    </xf>
    <xf numFmtId="44" fontId="15" fillId="10" borderId="0" xfId="0" applyNumberFormat="1" applyFont="1" applyFill="1"/>
    <xf numFmtId="9" fontId="15" fillId="14" borderId="0" xfId="3" applyFont="1" applyFill="1" applyAlignment="1">
      <alignment horizontal="left"/>
    </xf>
    <xf numFmtId="44" fontId="0" fillId="2" borderId="1" xfId="3" applyNumberFormat="1" applyFont="1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44" fontId="0" fillId="2" borderId="4" xfId="1" applyFont="1" applyFill="1" applyBorder="1" applyProtection="1"/>
    <xf numFmtId="44" fontId="0" fillId="2" borderId="2" xfId="1" applyFont="1" applyFill="1" applyBorder="1" applyProtection="1"/>
    <xf numFmtId="44" fontId="0" fillId="2" borderId="5" xfId="1" applyFont="1" applyFill="1" applyBorder="1" applyProtection="1"/>
    <xf numFmtId="0" fontId="17" fillId="10" borderId="0" xfId="0" applyFont="1" applyFill="1" applyAlignment="1">
      <alignment horizontal="center"/>
    </xf>
    <xf numFmtId="0" fontId="15" fillId="10" borderId="0" xfId="0" applyFont="1" applyFill="1" applyAlignment="1">
      <alignment horizontal="center"/>
    </xf>
    <xf numFmtId="0" fontId="15" fillId="10" borderId="0" xfId="0" applyFont="1" applyFill="1"/>
    <xf numFmtId="0" fontId="29" fillId="0" borderId="0" xfId="0" applyFont="1" applyAlignment="1">
      <alignment horizontal="center"/>
    </xf>
    <xf numFmtId="0" fontId="24" fillId="2" borderId="0" xfId="0" applyFont="1" applyFill="1" applyAlignment="1">
      <alignment horizontal="center" vertical="center" wrapText="1"/>
    </xf>
    <xf numFmtId="0" fontId="40" fillId="13" borderId="0" xfId="2" applyFont="1" applyFill="1" applyAlignment="1">
      <alignment horizontal="center" vertical="center" wrapText="1"/>
    </xf>
    <xf numFmtId="0" fontId="39" fillId="13" borderId="0" xfId="2" applyFont="1" applyFill="1" applyAlignment="1">
      <alignment horizontal="center" vertical="center" wrapText="1"/>
    </xf>
    <xf numFmtId="0" fontId="35" fillId="2" borderId="10" xfId="0" applyFont="1" applyFill="1" applyBorder="1" applyAlignment="1">
      <alignment horizontal="left" vertical="center" wrapText="1" indent="1"/>
    </xf>
    <xf numFmtId="0" fontId="35" fillId="2" borderId="6" xfId="0" applyFont="1" applyFill="1" applyBorder="1" applyAlignment="1">
      <alignment horizontal="left" vertical="center" wrapText="1" indent="1"/>
    </xf>
    <xf numFmtId="0" fontId="35" fillId="2" borderId="11" xfId="0" applyFont="1" applyFill="1" applyBorder="1" applyAlignment="1">
      <alignment horizontal="left" vertical="center" wrapText="1" indent="1"/>
    </xf>
    <xf numFmtId="0" fontId="35" fillId="2" borderId="8" xfId="0" applyFont="1" applyFill="1" applyBorder="1" applyAlignment="1">
      <alignment horizontal="left" vertical="center" wrapText="1" indent="1"/>
    </xf>
    <xf numFmtId="0" fontId="35" fillId="2" borderId="0" xfId="0" applyFont="1" applyFill="1" applyAlignment="1">
      <alignment horizontal="left" vertical="center" wrapText="1" indent="1"/>
    </xf>
    <xf numFmtId="0" fontId="35" fillId="2" borderId="9" xfId="0" applyFont="1" applyFill="1" applyBorder="1" applyAlignment="1">
      <alignment horizontal="left" vertical="center" wrapText="1" indent="1"/>
    </xf>
    <xf numFmtId="0" fontId="35" fillId="2" borderId="12" xfId="0" applyFont="1" applyFill="1" applyBorder="1" applyAlignment="1">
      <alignment horizontal="left" vertical="center" wrapText="1" indent="1"/>
    </xf>
    <xf numFmtId="0" fontId="35" fillId="2" borderId="7" xfId="0" applyFont="1" applyFill="1" applyBorder="1" applyAlignment="1">
      <alignment horizontal="left" vertical="center" wrapText="1" indent="1"/>
    </xf>
    <xf numFmtId="0" fontId="35" fillId="2" borderId="13" xfId="0" applyFont="1" applyFill="1" applyBorder="1" applyAlignment="1">
      <alignment horizontal="left" vertical="center" wrapText="1" indent="1"/>
    </xf>
    <xf numFmtId="0" fontId="25" fillId="2" borderId="0" xfId="0" applyFont="1" applyFill="1" applyAlignment="1">
      <alignment horizontal="left" vertical="center" wrapText="1"/>
    </xf>
    <xf numFmtId="0" fontId="25" fillId="2" borderId="15" xfId="0" applyFont="1" applyFill="1" applyBorder="1" applyAlignment="1">
      <alignment horizontal="left" vertical="center" wrapText="1"/>
    </xf>
    <xf numFmtId="0" fontId="30" fillId="2" borderId="0" xfId="0" applyFont="1" applyFill="1" applyAlignment="1">
      <alignment horizontal="left" vertical="center" wrapText="1"/>
    </xf>
    <xf numFmtId="0" fontId="30" fillId="2" borderId="15" xfId="0" applyFont="1" applyFill="1" applyBorder="1" applyAlignment="1">
      <alignment horizontal="left" vertical="center" wrapText="1"/>
    </xf>
    <xf numFmtId="44" fontId="32" fillId="2" borderId="0" xfId="1" applyFont="1" applyFill="1" applyAlignment="1">
      <alignment horizontal="right" vertical="center" wrapText="1"/>
    </xf>
    <xf numFmtId="0" fontId="25" fillId="13" borderId="0" xfId="0" applyFont="1" applyFill="1" applyAlignment="1">
      <alignment horizontal="center" wrapText="1"/>
    </xf>
    <xf numFmtId="0" fontId="25" fillId="0" borderId="0" xfId="0" applyFont="1" applyAlignment="1">
      <alignment horizontal="center"/>
    </xf>
  </cellXfs>
  <cellStyles count="10">
    <cellStyle name="Amount" xfId="4" xr:uid="{92F8587F-CDD9-4B42-8BBB-E1C7476CC662}"/>
    <cellStyle name="Currency" xfId="1" builtinId="4"/>
    <cellStyle name="Date" xfId="7" xr:uid="{A59427F1-7C26-48AB-B372-A4D191EBADB3}"/>
    <cellStyle name="Heading 4 Right aligned" xfId="8" xr:uid="{1BADE0AF-5FD5-4183-B753-B1985ED76177}"/>
    <cellStyle name="Hyperlink" xfId="2" builtinId="8"/>
    <cellStyle name="Loan Summary" xfId="5" xr:uid="{28FEF202-6254-495E-98D2-DAE0D0B680B0}"/>
    <cellStyle name="Normal" xfId="0" builtinId="0"/>
    <cellStyle name="Number" xfId="6" xr:uid="{843AD5F6-7E54-445B-B1E9-DBF80F4D0C7F}"/>
    <cellStyle name="Percent" xfId="3" builtinId="5"/>
    <cellStyle name="Table Amount" xfId="9" xr:uid="{B997A02B-FD12-46EA-96E4-A39687F54AC7}"/>
  </cellStyles>
  <dxfs count="7"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Medium2" defaultPivotStyle="PivotStyleLight16">
    <tableStyle name="Loan Amortization Schedule" pivot="0" count="7" xr9:uid="{43457A08-AB41-4011-8CF8-13BA587B324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F2D640"/>
      <color rgb="FF0A88BC"/>
      <color rgb="FF1A406F"/>
      <color rgb="FFD2FAF4"/>
      <color rgb="FFF6AC38"/>
      <color rgb="FF7AD2F7"/>
      <color rgb="FF4472C4"/>
      <color rgb="FFCCFFFF"/>
      <color rgb="FF11B5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effectLst>
                  <a:outerShdw blurRad="50800" dist="50800" dir="5400000" algn="ctr" rotWithShape="0">
                    <a:schemeClr val="bg1"/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effectLst>
                  <a:outerShdw blurRad="50800" dist="50800" dir="5400000" algn="ctr" rotWithShape="0">
                    <a:schemeClr val="bg1"/>
                  </a:outerShdw>
                </a:effectLst>
              </a:rPr>
              <a:t>Solar</a:t>
            </a:r>
            <a:r>
              <a:rPr lang="en-US" baseline="0">
                <a:effectLst>
                  <a:outerShdw blurRad="50800" dist="50800" dir="5400000" algn="ctr" rotWithShape="0">
                    <a:schemeClr val="bg1"/>
                  </a:outerShdw>
                </a:effectLst>
              </a:rPr>
              <a:t> Production</a:t>
            </a:r>
            <a:r>
              <a:rPr lang="en-US">
                <a:effectLst>
                  <a:outerShdw blurRad="50800" dist="50800" dir="5400000" algn="ctr" rotWithShape="0">
                    <a:schemeClr val="bg1"/>
                  </a:outerShdw>
                </a:effectLst>
              </a:rPr>
              <a:t> Offset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Solar Production</c:v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'Master Input'!$C$53:$N$53</c:f>
              <c:strCache>
                <c:ptCount val="12"/>
                <c:pt idx="0">
                  <c:v>Jan.</c:v>
                </c:pt>
                <c:pt idx="1">
                  <c:v> Feb. </c:v>
                </c:pt>
                <c:pt idx="2">
                  <c:v>Mar.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'Master Input'!$C$54:$N$54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44-44FE-9160-F70706EDBB03}"/>
            </c:ext>
          </c:extLst>
        </c:ser>
        <c:ser>
          <c:idx val="1"/>
          <c:order val="1"/>
          <c:tx>
            <c:v>Remaining Bill</c:v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'Master Input'!$C$53:$N$53</c:f>
              <c:strCache>
                <c:ptCount val="12"/>
                <c:pt idx="0">
                  <c:v>Jan.</c:v>
                </c:pt>
                <c:pt idx="1">
                  <c:v> Feb. </c:v>
                </c:pt>
                <c:pt idx="2">
                  <c:v>Mar.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'Master Input'!$C$56:$N$56</c:f>
              <c:numCache>
                <c:formatCode>"$"#,##0.00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44-44FE-9160-F70706EDB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04201824"/>
        <c:axId val="804197560"/>
        <c:axId val="0"/>
      </c:bar3DChart>
      <c:catAx>
        <c:axId val="8042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197560"/>
        <c:crosses val="autoZero"/>
        <c:auto val="1"/>
        <c:lblAlgn val="ctr"/>
        <c:lblOffset val="100"/>
        <c:noMultiLvlLbl val="0"/>
      </c:catAx>
      <c:valAx>
        <c:axId val="804197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2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ck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  <a:sp3d/>
          </c:spPr>
          <c:cat>
            <c:strRef>
              <c:f>'Master Input'!$C$53:$N$53</c:f>
              <c:strCache>
                <c:ptCount val="12"/>
                <c:pt idx="0">
                  <c:v>Jan.</c:v>
                </c:pt>
                <c:pt idx="1">
                  <c:v> Feb. </c:v>
                </c:pt>
                <c:pt idx="2">
                  <c:v>Mar.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'Master Input'!$C$54:$N$54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35-4AA8-AF55-560DC4B01C55}"/>
            </c:ext>
          </c:extLst>
        </c:ser>
        <c:ser>
          <c:idx val="1"/>
          <c:order val="1"/>
          <c:spPr>
            <a:solidFill>
              <a:schemeClr val="accent5"/>
            </a:solidFill>
            <a:ln>
              <a:noFill/>
            </a:ln>
            <a:effectLst/>
            <a:sp3d/>
          </c:spPr>
          <c:cat>
            <c:strRef>
              <c:f>'Master Input'!$C$53:$N$53</c:f>
              <c:strCache>
                <c:ptCount val="12"/>
                <c:pt idx="0">
                  <c:v>Jan.</c:v>
                </c:pt>
                <c:pt idx="1">
                  <c:v> Feb. </c:v>
                </c:pt>
                <c:pt idx="2">
                  <c:v>Mar.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'Master Input'!$C$56:$N$56</c:f>
              <c:numCache>
                <c:formatCode>"$"#,##0.00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35-4AA8-AF55-560DC4B01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3303784"/>
        <c:axId val="843299848"/>
        <c:axId val="0"/>
      </c:area3DChart>
      <c:catAx>
        <c:axId val="843303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299848"/>
        <c:crosses val="autoZero"/>
        <c:auto val="1"/>
        <c:lblAlgn val="ctr"/>
        <c:lblOffset val="100"/>
        <c:noMultiLvlLbl val="0"/>
      </c:catAx>
      <c:valAx>
        <c:axId val="843299848"/>
        <c:scaling>
          <c:orientation val="minMax"/>
        </c:scaling>
        <c:delete val="0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303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chart" Target="../charts/chart2.xml"/><Relationship Id="rId7" Type="http://schemas.openxmlformats.org/officeDocument/2006/relationships/image" Target="../media/image5.jpeg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jpg"/><Relationship Id="rId9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552450</xdr:colOff>
      <xdr:row>94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4E5D734-AF98-4288-9B64-C48FF33F205F}"/>
            </a:ext>
          </a:extLst>
        </xdr:cNvPr>
        <xdr:cNvSpPr txBox="1"/>
      </xdr:nvSpPr>
      <xdr:spPr>
        <a:xfrm>
          <a:off x="17545050" y="185982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19415</xdr:colOff>
      <xdr:row>18</xdr:row>
      <xdr:rowOff>91947</xdr:rowOff>
    </xdr:from>
    <xdr:to>
      <xdr:col>3</xdr:col>
      <xdr:colOff>99746</xdr:colOff>
      <xdr:row>32</xdr:row>
      <xdr:rowOff>49340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818A6A-FF05-4119-9FC2-E297CE662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1558" y="4523987"/>
          <a:ext cx="2281389" cy="3049193"/>
        </a:xfrm>
        <a:prstGeom prst="rect">
          <a:avLst/>
        </a:prstGeom>
        <a:solidFill>
          <a:srgbClr val="FFFFFF">
            <a:shade val="85000"/>
          </a:srgbClr>
        </a:solidFill>
        <a:ln w="25400" cap="sq">
          <a:solidFill>
            <a:srgbClr val="0A88BC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 fLocksWithSheet="0"/>
  </xdr:twoCellAnchor>
  <xdr:twoCellAnchor>
    <xdr:from>
      <xdr:col>1</xdr:col>
      <xdr:colOff>19050</xdr:colOff>
      <xdr:row>185</xdr:row>
      <xdr:rowOff>139064</xdr:rowOff>
    </xdr:from>
    <xdr:to>
      <xdr:col>11</xdr:col>
      <xdr:colOff>361950</xdr:colOff>
      <xdr:row>211</xdr:row>
      <xdr:rowOff>102870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DE3FD49-59C0-470C-94BA-1E90361C50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609600</xdr:colOff>
      <xdr:row>213</xdr:row>
      <xdr:rowOff>137160</xdr:rowOff>
    </xdr:from>
    <xdr:to>
      <xdr:col>10</xdr:col>
      <xdr:colOff>628650</xdr:colOff>
      <xdr:row>234</xdr:row>
      <xdr:rowOff>60959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09EEA46-8576-4BAB-BD37-3BB452FCF9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75625</xdr:colOff>
      <xdr:row>0</xdr:row>
      <xdr:rowOff>0</xdr:rowOff>
    </xdr:from>
    <xdr:to>
      <xdr:col>9</xdr:col>
      <xdr:colOff>187291</xdr:colOff>
      <xdr:row>9</xdr:row>
      <xdr:rowOff>138075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1ECE0BF-28A9-CB4B-B7D9-2F8154966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7768" y="0"/>
          <a:ext cx="6934677" cy="2241939"/>
        </a:xfrm>
        <a:prstGeom prst="rect">
          <a:avLst/>
        </a:prstGeom>
      </xdr:spPr>
    </xdr:pic>
    <xdr:clientData/>
  </xdr:twoCellAnchor>
  <xdr:twoCellAnchor editAs="oneCell">
    <xdr:from>
      <xdr:col>6</xdr:col>
      <xdr:colOff>564525</xdr:colOff>
      <xdr:row>51</xdr:row>
      <xdr:rowOff>13511</xdr:rowOff>
    </xdr:from>
    <xdr:to>
      <xdr:col>9</xdr:col>
      <xdr:colOff>44995</xdr:colOff>
      <xdr:row>66</xdr:row>
      <xdr:rowOff>187908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C77BB28-4A3A-6EA1-3E8B-5F32ABEB5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59423" y="12370093"/>
          <a:ext cx="1780726" cy="4418530"/>
        </a:xfrm>
        <a:prstGeom prst="rect">
          <a:avLst/>
        </a:prstGeom>
        <a:solidFill>
          <a:srgbClr val="FFFFFF">
            <a:shade val="85000"/>
          </a:srgbClr>
        </a:solidFill>
        <a:ln w="25400" cap="sq">
          <a:solidFill>
            <a:srgbClr val="0A88BC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6</xdr:col>
      <xdr:colOff>589643</xdr:colOff>
      <xdr:row>69</xdr:row>
      <xdr:rowOff>124214</xdr:rowOff>
    </xdr:from>
    <xdr:to>
      <xdr:col>9</xdr:col>
      <xdr:colOff>214606</xdr:colOff>
      <xdr:row>78</xdr:row>
      <xdr:rowOff>289798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1B7ED83-8BD7-F4C8-0134-014A52733F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84541" y="17949571"/>
          <a:ext cx="1915703" cy="2827728"/>
        </a:xfrm>
        <a:prstGeom prst="rect">
          <a:avLst/>
        </a:prstGeom>
        <a:solidFill>
          <a:srgbClr val="FFFFFF">
            <a:shade val="85000"/>
          </a:srgbClr>
        </a:solidFill>
        <a:ln w="25400" cap="sq">
          <a:solidFill>
            <a:srgbClr val="0A88BC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3</xdr:col>
      <xdr:colOff>707932</xdr:colOff>
      <xdr:row>18</xdr:row>
      <xdr:rowOff>163093</xdr:rowOff>
    </xdr:from>
    <xdr:to>
      <xdr:col>9</xdr:col>
      <xdr:colOff>137861</xdr:colOff>
      <xdr:row>32</xdr:row>
      <xdr:rowOff>38880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02388D3-2D37-65D2-2E2A-ECF535B3A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095" y="4595133"/>
          <a:ext cx="4026042" cy="2973031"/>
        </a:xfrm>
        <a:prstGeom prst="rect">
          <a:avLst/>
        </a:prstGeom>
        <a:solidFill>
          <a:srgbClr val="FFFFFF">
            <a:shade val="85000"/>
          </a:srgbClr>
        </a:solidFill>
        <a:ln w="25400" cap="sq">
          <a:solidFill>
            <a:srgbClr val="0A88BC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2</xdr:col>
      <xdr:colOff>85640</xdr:colOff>
      <xdr:row>44</xdr:row>
      <xdr:rowOff>179030</xdr:rowOff>
    </xdr:from>
    <xdr:to>
      <xdr:col>7</xdr:col>
      <xdr:colOff>116673</xdr:colOff>
      <xdr:row>49</xdr:row>
      <xdr:rowOff>10389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F67C092-9BC3-0F4F-9368-BBFB01F28D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4888" t="29786" r="7497" b="14087"/>
        <a:stretch/>
      </xdr:blipFill>
      <xdr:spPr>
        <a:xfrm>
          <a:off x="1647222" y="11291530"/>
          <a:ext cx="3594808" cy="861612"/>
        </a:xfrm>
        <a:prstGeom prst="rect">
          <a:avLst/>
        </a:prstGeom>
        <a:ln w="12700">
          <a:solidFill>
            <a:schemeClr val="tx1">
              <a:lumMod val="75000"/>
              <a:lumOff val="25000"/>
            </a:schemeClr>
          </a:solidFill>
        </a:ln>
      </xdr:spPr>
    </xdr:pic>
    <xdr:clientData/>
  </xdr:twoCellAnchor>
  <xdr:twoCellAnchor editAs="oneCell">
    <xdr:from>
      <xdr:col>1</xdr:col>
      <xdr:colOff>259184</xdr:colOff>
      <xdr:row>86</xdr:row>
      <xdr:rowOff>25916</xdr:rowOff>
    </xdr:from>
    <xdr:to>
      <xdr:col>8</xdr:col>
      <xdr:colOff>710026</xdr:colOff>
      <xdr:row>87</xdr:row>
      <xdr:rowOff>2003891</xdr:rowOff>
    </xdr:to>
    <xdr:pic>
      <xdr:nvPicPr>
        <xdr:cNvPr id="8" name="Picture 7" descr="A cartoon of a fish wearing a hat&#10;&#10;Description automatically generated">
          <a:extLst>
            <a:ext uri="{FF2B5EF4-FFF2-40B4-BE49-F238E27FC236}">
              <a16:creationId xmlns:a16="http://schemas.microsoft.com/office/drawing/2014/main" id="{19F4F2BB-B6E4-4AFB-2BF4-D66B5726E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327" y="21836222"/>
          <a:ext cx="6440715" cy="22010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nth\Documents\Loan%20amortization%20schedule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Schedule"/>
      <sheetName val="Loan amortization schedule1"/>
    </sheetNames>
    <sheetDataSet>
      <sheetData sheetId="0"/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y@webb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ailfishconstructi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A23D4-F778-4A84-AAA2-3ECF64B70599}">
  <dimension ref="A1:P181"/>
  <sheetViews>
    <sheetView topLeftCell="A148" zoomScale="106" zoomScaleNormal="106" workbookViewId="0">
      <selection activeCell="B161" sqref="B161"/>
    </sheetView>
  </sheetViews>
  <sheetFormatPr defaultColWidth="8.84375" defaultRowHeight="14.6"/>
  <cols>
    <col min="1" max="1" width="20.3828125" style="2" customWidth="1"/>
    <col min="2" max="2" width="29" style="2" customWidth="1"/>
    <col min="3" max="3" width="17.84375" style="2" customWidth="1"/>
    <col min="4" max="4" width="18.15234375" style="11" customWidth="1"/>
    <col min="5" max="5" width="20.3828125" style="2" customWidth="1"/>
    <col min="6" max="7" width="13.84375" style="2" customWidth="1"/>
    <col min="8" max="8" width="14.3046875" style="2" customWidth="1"/>
    <col min="9" max="12" width="11" style="2" bestFit="1" customWidth="1"/>
    <col min="13" max="13" width="12.84375" style="2" customWidth="1"/>
    <col min="14" max="14" width="10.69140625" style="2" customWidth="1"/>
    <col min="15" max="15" width="9.84375" style="2" bestFit="1" customWidth="1"/>
    <col min="16" max="16" width="10.15234375" style="2" customWidth="1"/>
    <col min="17" max="17" width="10.84375" style="2" bestFit="1" customWidth="1"/>
    <col min="18" max="16384" width="8.84375" style="2"/>
  </cols>
  <sheetData>
    <row r="1" spans="1:9">
      <c r="A1" s="2" t="s">
        <v>3</v>
      </c>
      <c r="B1" s="4" t="e">
        <f>#REF!</f>
        <v>#REF!</v>
      </c>
      <c r="D1" s="11" t="s">
        <v>124</v>
      </c>
    </row>
    <row r="2" spans="1:9">
      <c r="A2" s="2" t="s">
        <v>4</v>
      </c>
      <c r="B2" s="4" t="e">
        <f>#REF!</f>
        <v>#REF!</v>
      </c>
      <c r="D2" s="11" t="e">
        <f>#REF!</f>
        <v>#REF!</v>
      </c>
    </row>
    <row r="3" spans="1:9">
      <c r="A3" s="2" t="s">
        <v>7</v>
      </c>
      <c r="B3" s="4" t="e">
        <f>#REF!</f>
        <v>#REF!</v>
      </c>
      <c r="C3" s="2" t="s">
        <v>30</v>
      </c>
    </row>
    <row r="4" spans="1:9">
      <c r="A4" s="2" t="s">
        <v>5</v>
      </c>
      <c r="B4" s="34" t="e">
        <f>#REF!</f>
        <v>#REF!</v>
      </c>
    </row>
    <row r="5" spans="1:9">
      <c r="A5" s="2" t="s">
        <v>6</v>
      </c>
      <c r="B5" s="35" t="e">
        <f>#REF!</f>
        <v>#REF!</v>
      </c>
      <c r="D5" s="33" t="e">
        <f>(B22/12)/B12</f>
        <v>#REF!</v>
      </c>
      <c r="E5" s="2" t="s">
        <v>84</v>
      </c>
    </row>
    <row r="6" spans="1:9">
      <c r="A6" s="2" t="s">
        <v>86</v>
      </c>
      <c r="B6" s="36" t="e">
        <f>#REF!</f>
        <v>#REF!</v>
      </c>
    </row>
    <row r="7" spans="1:9" ht="15.9">
      <c r="A7" s="2" t="s">
        <v>1</v>
      </c>
      <c r="B7" s="31" t="e">
        <f>#REF!</f>
        <v>#REF!</v>
      </c>
      <c r="C7" s="24"/>
    </row>
    <row r="8" spans="1:9">
      <c r="A8" s="2" t="s">
        <v>0</v>
      </c>
      <c r="B8" s="4" t="e">
        <f>#REF!</f>
        <v>#REF!</v>
      </c>
    </row>
    <row r="9" spans="1:9">
      <c r="A9" s="2" t="s">
        <v>16</v>
      </c>
      <c r="B9" s="4" t="e">
        <f>#REF!</f>
        <v>#REF!</v>
      </c>
    </row>
    <row r="10" spans="1:9">
      <c r="A10" s="2" t="s">
        <v>25</v>
      </c>
      <c r="B10" s="4" t="e">
        <f>#REF!</f>
        <v>#REF!</v>
      </c>
    </row>
    <row r="11" spans="1:9">
      <c r="A11" s="2" t="s">
        <v>60</v>
      </c>
      <c r="B11" s="13" t="e">
        <f>#REF!</f>
        <v>#REF!</v>
      </c>
      <c r="I11" s="25"/>
    </row>
    <row r="12" spans="1:9">
      <c r="A12" s="2" t="s">
        <v>24</v>
      </c>
      <c r="B12" s="17" t="e">
        <f>#REF!</f>
        <v>#REF!</v>
      </c>
      <c r="I12" s="25"/>
    </row>
    <row r="13" spans="1:9">
      <c r="A13" s="2" t="s">
        <v>18</v>
      </c>
      <c r="B13" s="4">
        <v>1500</v>
      </c>
      <c r="I13" s="25"/>
    </row>
    <row r="14" spans="1:9">
      <c r="A14" s="2" t="s">
        <v>108</v>
      </c>
      <c r="B14" s="4" t="e">
        <f>#REF!</f>
        <v>#REF!</v>
      </c>
      <c r="I14" s="26"/>
    </row>
    <row r="15" spans="1:9">
      <c r="A15" s="2" t="s">
        <v>109</v>
      </c>
      <c r="B15" s="4" t="e">
        <f>#REF!</f>
        <v>#REF!</v>
      </c>
      <c r="D15" s="11" t="s">
        <v>79</v>
      </c>
      <c r="E15" s="2" t="s">
        <v>110</v>
      </c>
    </row>
    <row r="16" spans="1:9">
      <c r="A16" s="2" t="s">
        <v>11</v>
      </c>
      <c r="B16" s="2" t="e">
        <f>B9*B8/1000</f>
        <v>#REF!</v>
      </c>
      <c r="D16" s="11" t="e">
        <f>B15+B17</f>
        <v>#REF!</v>
      </c>
      <c r="E16" s="11" t="e">
        <f>B15+B17+B14</f>
        <v>#REF!</v>
      </c>
    </row>
    <row r="17" spans="1:8">
      <c r="A17" s="2" t="s">
        <v>12</v>
      </c>
      <c r="B17" s="2" t="e">
        <f>B7*B16*1000</f>
        <v>#REF!</v>
      </c>
      <c r="H17" s="8"/>
    </row>
    <row r="18" spans="1:8">
      <c r="A18" s="2" t="s">
        <v>13</v>
      </c>
      <c r="B18" s="2" t="e">
        <f>B17*0.26</f>
        <v>#REF!</v>
      </c>
    </row>
    <row r="19" spans="1:8">
      <c r="A19" s="2" t="s">
        <v>14</v>
      </c>
      <c r="B19" s="2" t="e">
        <f>B17-B18</f>
        <v>#REF!</v>
      </c>
    </row>
    <row r="20" spans="1:8">
      <c r="A20" s="2" t="s">
        <v>17</v>
      </c>
      <c r="B20" s="2" t="e">
        <f>B16*B13</f>
        <v>#REF!</v>
      </c>
    </row>
    <row r="21" spans="1:8">
      <c r="A21" s="2" t="s">
        <v>31</v>
      </c>
      <c r="B21" s="8" t="e">
        <f>B22/12</f>
        <v>#REF!</v>
      </c>
      <c r="C21" s="12" t="s">
        <v>54</v>
      </c>
      <c r="D21" s="11" t="s">
        <v>57</v>
      </c>
      <c r="E21" s="2" t="s">
        <v>56</v>
      </c>
      <c r="F21" s="2" t="s">
        <v>59</v>
      </c>
      <c r="H21" s="2" t="s">
        <v>58</v>
      </c>
    </row>
    <row r="22" spans="1:8">
      <c r="A22" s="2" t="s">
        <v>19</v>
      </c>
      <c r="B22" s="10" t="e">
        <f>B20*B10</f>
        <v>#REF!</v>
      </c>
      <c r="C22" s="8">
        <v>0</v>
      </c>
      <c r="D22" s="11" t="e">
        <f>B12*12</f>
        <v>#REF!</v>
      </c>
      <c r="E22" s="8">
        <f>C22</f>
        <v>0</v>
      </c>
    </row>
    <row r="23" spans="1:8">
      <c r="A23" s="2" t="s">
        <v>21</v>
      </c>
      <c r="B23" s="10" t="e">
        <f>B22*(1.04^5)</f>
        <v>#REF!</v>
      </c>
      <c r="C23" s="8" t="e">
        <f t="shared" ref="C23:C28" si="0">B23*5</f>
        <v>#REF!</v>
      </c>
      <c r="D23" s="11" t="e">
        <f t="shared" ref="D23:D28" si="1">D22*(1.04^5)</f>
        <v>#REF!</v>
      </c>
      <c r="E23" s="8" t="e">
        <f>C22+C23</f>
        <v>#REF!</v>
      </c>
      <c r="F23" s="8"/>
      <c r="G23" s="8"/>
      <c r="H23" s="8" t="e">
        <f>D22*5</f>
        <v>#REF!</v>
      </c>
    </row>
    <row r="24" spans="1:8">
      <c r="A24" s="2" t="s">
        <v>26</v>
      </c>
      <c r="B24" s="10" t="e">
        <f>B22*(1.04^10)</f>
        <v>#REF!</v>
      </c>
      <c r="C24" s="8" t="e">
        <f t="shared" si="0"/>
        <v>#REF!</v>
      </c>
      <c r="D24" s="11" t="e">
        <f t="shared" si="1"/>
        <v>#REF!</v>
      </c>
      <c r="E24" s="8" t="e">
        <f>C22+C23+C24</f>
        <v>#REF!</v>
      </c>
      <c r="F24" s="8" t="e">
        <f>H23+H24</f>
        <v>#REF!</v>
      </c>
      <c r="G24" s="8"/>
      <c r="H24" s="8" t="e">
        <f>D24*5</f>
        <v>#REF!</v>
      </c>
    </row>
    <row r="25" spans="1:8">
      <c r="A25" s="2" t="s">
        <v>27</v>
      </c>
      <c r="B25" s="10" t="e">
        <f>B22*(1.04^15)</f>
        <v>#REF!</v>
      </c>
      <c r="C25" s="8" t="e">
        <f t="shared" si="0"/>
        <v>#REF!</v>
      </c>
      <c r="D25" s="11" t="e">
        <f t="shared" si="1"/>
        <v>#REF!</v>
      </c>
      <c r="E25" s="8" t="e">
        <f>C22+C23+C24+C25</f>
        <v>#REF!</v>
      </c>
      <c r="F25" s="8" t="e">
        <f>H23+H24+H25</f>
        <v>#REF!</v>
      </c>
      <c r="G25" s="8"/>
      <c r="H25" s="8" t="e">
        <f>D25*5</f>
        <v>#REF!</v>
      </c>
    </row>
    <row r="26" spans="1:8">
      <c r="A26" s="2" t="s">
        <v>52</v>
      </c>
      <c r="B26" s="10" t="e">
        <f>B22*(1.04^20)</f>
        <v>#REF!</v>
      </c>
      <c r="C26" s="8" t="e">
        <f t="shared" si="0"/>
        <v>#REF!</v>
      </c>
      <c r="D26" s="11" t="e">
        <f t="shared" si="1"/>
        <v>#REF!</v>
      </c>
      <c r="E26" s="8" t="e">
        <f>C22+C23+C24+C25+C26</f>
        <v>#REF!</v>
      </c>
      <c r="F26" s="11" t="e">
        <f>H23+H24+H25+H26</f>
        <v>#REF!</v>
      </c>
      <c r="G26" s="11"/>
      <c r="H26" s="8" t="e">
        <f>D26*5</f>
        <v>#REF!</v>
      </c>
    </row>
    <row r="27" spans="1:8">
      <c r="A27" s="2" t="s">
        <v>53</v>
      </c>
      <c r="B27" s="10" t="e">
        <f>B22*(1.04^25)</f>
        <v>#REF!</v>
      </c>
      <c r="C27" s="8" t="e">
        <f t="shared" si="0"/>
        <v>#REF!</v>
      </c>
      <c r="D27" s="11" t="e">
        <f t="shared" si="1"/>
        <v>#REF!</v>
      </c>
      <c r="E27" s="8" t="e">
        <f>C22+C23+C24+C25+C26+C27</f>
        <v>#REF!</v>
      </c>
      <c r="F27" s="11" t="e">
        <f>H23+H24+H25+H26+H27</f>
        <v>#REF!</v>
      </c>
      <c r="G27" s="11"/>
      <c r="H27" s="8" t="e">
        <f>D27*5</f>
        <v>#REF!</v>
      </c>
    </row>
    <row r="28" spans="1:8">
      <c r="A28" s="2" t="s">
        <v>55</v>
      </c>
      <c r="B28" s="10" t="e">
        <f>B22*(1.04^30)</f>
        <v>#REF!</v>
      </c>
      <c r="C28" s="8" t="e">
        <f t="shared" si="0"/>
        <v>#REF!</v>
      </c>
      <c r="D28" s="11" t="e">
        <f t="shared" si="1"/>
        <v>#REF!</v>
      </c>
      <c r="E28" s="8" t="e">
        <f>C22+C23+C24+C25+C26+C27+C28</f>
        <v>#REF!</v>
      </c>
      <c r="F28" s="11" t="e">
        <f>H23+H24+H25+H26+H27+H28</f>
        <v>#REF!</v>
      </c>
      <c r="G28" s="11"/>
      <c r="H28" s="8" t="e">
        <f>D28*5</f>
        <v>#REF!</v>
      </c>
    </row>
    <row r="29" spans="1:8">
      <c r="A29" s="2" t="s">
        <v>23</v>
      </c>
      <c r="B29" s="10" t="e">
        <f>B100</f>
        <v>#REF!</v>
      </c>
      <c r="C29" s="8" t="e">
        <f>SUM(C22:C28)</f>
        <v>#REF!</v>
      </c>
    </row>
    <row r="30" spans="1:8">
      <c r="A30" s="2" t="s">
        <v>20</v>
      </c>
      <c r="B30" s="3" t="e">
        <f>B22*1.04^4.5/B19</f>
        <v>#REF!</v>
      </c>
    </row>
    <row r="31" spans="1:8">
      <c r="A31" s="2" t="s">
        <v>22</v>
      </c>
      <c r="B31" s="9" t="e">
        <f>(B19*0.7)/D75</f>
        <v>#REF!</v>
      </c>
      <c r="C31" s="8"/>
    </row>
    <row r="32" spans="1:8">
      <c r="A32" s="2" t="s">
        <v>28</v>
      </c>
      <c r="B32" s="5" t="e">
        <f>B19/B23</f>
        <v>#REF!</v>
      </c>
    </row>
    <row r="33" spans="1:2">
      <c r="A33" s="2" t="s">
        <v>2</v>
      </c>
      <c r="B33" s="32" t="e">
        <f>(B22/12)/B12</f>
        <v>#REF!</v>
      </c>
    </row>
    <row r="34" spans="1:2">
      <c r="A34" s="2" t="s">
        <v>70</v>
      </c>
      <c r="B34" s="16" t="e">
        <f>B16*2500</f>
        <v>#REF!</v>
      </c>
    </row>
    <row r="35" spans="1:2">
      <c r="A35" s="2" t="s">
        <v>29</v>
      </c>
      <c r="B35" s="5" t="e">
        <f>(B19-0.25*B17)/B23</f>
        <v>#REF!</v>
      </c>
    </row>
    <row r="36" spans="1:2">
      <c r="A36" s="2" t="s">
        <v>32</v>
      </c>
      <c r="B36" s="19" t="e">
        <f>(B19*0.5)*0.2</f>
        <v>#REF!</v>
      </c>
    </row>
    <row r="37" spans="1:2">
      <c r="A37" s="2" t="s">
        <v>68</v>
      </c>
      <c r="B37" s="16" t="e">
        <f>B17*0.85</f>
        <v>#REF!</v>
      </c>
    </row>
    <row r="38" spans="1:2">
      <c r="A38" s="2" t="s">
        <v>33</v>
      </c>
      <c r="B38" s="2" t="e">
        <f>B14</f>
        <v>#REF!</v>
      </c>
    </row>
    <row r="39" spans="1:2">
      <c r="A39" s="2" t="s">
        <v>13</v>
      </c>
      <c r="B39" s="2" t="e">
        <f>B38*0.26</f>
        <v>#REF!</v>
      </c>
    </row>
    <row r="40" spans="1:2">
      <c r="A40" s="2" t="s">
        <v>34</v>
      </c>
      <c r="B40" s="2" t="e">
        <f>B38-B39</f>
        <v>#REF!</v>
      </c>
    </row>
    <row r="41" spans="1:2">
      <c r="A41" s="2" t="s">
        <v>35</v>
      </c>
      <c r="B41" s="2" t="e">
        <f>B40+B19</f>
        <v>#REF!</v>
      </c>
    </row>
    <row r="44" spans="1:2">
      <c r="A44" s="2" t="s">
        <v>36</v>
      </c>
      <c r="B44" s="2">
        <v>17000</v>
      </c>
    </row>
    <row r="46" spans="1:2">
      <c r="A46" s="2" t="s">
        <v>71</v>
      </c>
      <c r="B46" s="9" t="e">
        <f>B20/2100</f>
        <v>#REF!</v>
      </c>
    </row>
    <row r="47" spans="1:2">
      <c r="A47" s="2" t="s">
        <v>61</v>
      </c>
    </row>
    <row r="48" spans="1:2">
      <c r="A48" s="2" t="s">
        <v>62</v>
      </c>
    </row>
    <row r="49" spans="1:16">
      <c r="A49" s="2" t="s">
        <v>63</v>
      </c>
    </row>
    <row r="53" spans="1:16">
      <c r="C53" s="2" t="s">
        <v>42</v>
      </c>
      <c r="D53" s="11" t="s">
        <v>107</v>
      </c>
      <c r="E53" s="2" t="s">
        <v>43</v>
      </c>
      <c r="F53" s="2" t="s">
        <v>69</v>
      </c>
      <c r="G53" s="2" t="s">
        <v>44</v>
      </c>
      <c r="H53" s="2" t="s">
        <v>45</v>
      </c>
      <c r="I53" s="2" t="s">
        <v>46</v>
      </c>
      <c r="J53" s="2" t="s">
        <v>47</v>
      </c>
      <c r="K53" s="2" t="s">
        <v>48</v>
      </c>
      <c r="L53" s="2" t="s">
        <v>49</v>
      </c>
      <c r="M53" s="2" t="s">
        <v>50</v>
      </c>
      <c r="N53" s="2" t="s">
        <v>51</v>
      </c>
      <c r="O53" s="2" t="s">
        <v>41</v>
      </c>
    </row>
    <row r="54" spans="1:16" s="18" customFormat="1" ht="13.75" customHeight="1">
      <c r="A54" s="18" t="s">
        <v>38</v>
      </c>
      <c r="B54" s="18" t="e">
        <f>B21</f>
        <v>#REF!</v>
      </c>
      <c r="C54" s="18" t="e">
        <f>B22*0.0718</f>
        <v>#REF!</v>
      </c>
      <c r="D54" s="18" t="e">
        <f>B22*0.059</f>
        <v>#REF!</v>
      </c>
      <c r="E54" s="18" t="e">
        <f>B22*0.096</f>
        <v>#REF!</v>
      </c>
      <c r="F54" s="18" t="e">
        <f>B22*0.083</f>
        <v>#REF!</v>
      </c>
      <c r="G54" s="18" t="e">
        <f>B22*0.106</f>
        <v>#REF!</v>
      </c>
      <c r="H54" s="18" t="e">
        <f>B22*0.09</f>
        <v>#REF!</v>
      </c>
      <c r="I54" s="18" t="e">
        <f>B22*0.103</f>
        <v>#REF!</v>
      </c>
      <c r="J54" s="18" t="e">
        <f>B22*0.106</f>
        <v>#REF!</v>
      </c>
      <c r="K54" s="18" t="e">
        <f>B22*0.097</f>
        <v>#REF!</v>
      </c>
      <c r="L54" s="18" t="e">
        <f>B22*0.0656</f>
        <v>#REF!</v>
      </c>
      <c r="M54" s="18" t="e">
        <f>B22*0.0752</f>
        <v>#REF!</v>
      </c>
      <c r="N54" s="18" t="e">
        <f>B54*0.9</f>
        <v>#REF!</v>
      </c>
      <c r="O54" s="18" t="e">
        <f>AVERAGE(C54:N54)</f>
        <v>#REF!</v>
      </c>
      <c r="P54" s="18" t="e">
        <f>SUM(C54:N54)</f>
        <v>#REF!</v>
      </c>
    </row>
    <row r="55" spans="1:16" s="18" customFormat="1" ht="13.75" customHeight="1">
      <c r="D55" s="169" t="s">
        <v>148</v>
      </c>
      <c r="E55" s="170"/>
      <c r="F55" s="171"/>
    </row>
    <row r="56" spans="1:16" s="16" customFormat="1">
      <c r="A56" s="16" t="s">
        <v>39</v>
      </c>
      <c r="B56" s="16" t="e">
        <f>B12-B21</f>
        <v>#REF!</v>
      </c>
      <c r="C56" s="16" t="e">
        <f t="shared" ref="C56:D56" si="2">C57-C54</f>
        <v>#REF!</v>
      </c>
      <c r="D56" s="16" t="e">
        <f t="shared" si="2"/>
        <v>#REF!</v>
      </c>
      <c r="E56" s="16" t="e">
        <f t="shared" ref="E56:N56" si="3">E57-E54</f>
        <v>#REF!</v>
      </c>
      <c r="F56" s="16" t="e">
        <f t="shared" si="3"/>
        <v>#REF!</v>
      </c>
      <c r="G56" s="16" t="e">
        <f t="shared" si="3"/>
        <v>#REF!</v>
      </c>
      <c r="H56" s="16" t="e">
        <f t="shared" si="3"/>
        <v>#REF!</v>
      </c>
      <c r="I56" s="16" t="e">
        <f t="shared" si="3"/>
        <v>#REF!</v>
      </c>
      <c r="J56" s="16" t="e">
        <f t="shared" si="3"/>
        <v>#REF!</v>
      </c>
      <c r="K56" s="16" t="e">
        <f t="shared" si="3"/>
        <v>#REF!</v>
      </c>
      <c r="L56" s="16" t="e">
        <f t="shared" si="3"/>
        <v>#REF!</v>
      </c>
      <c r="M56" s="16" t="e">
        <f t="shared" si="3"/>
        <v>#REF!</v>
      </c>
      <c r="N56" s="16" t="e">
        <f t="shared" si="3"/>
        <v>#REF!</v>
      </c>
      <c r="O56" s="16" t="e">
        <f>AVERAGE(C56:N56)</f>
        <v>#REF!</v>
      </c>
    </row>
    <row r="57" spans="1:16" s="11" customFormat="1">
      <c r="A57" s="11" t="s">
        <v>37</v>
      </c>
      <c r="B57" s="11" t="e">
        <f>B12</f>
        <v>#REF!</v>
      </c>
      <c r="C57" s="11" t="e">
        <f>B57*1.001</f>
        <v>#REF!</v>
      </c>
      <c r="D57" s="11" t="e">
        <f>B57*0.88</f>
        <v>#REF!</v>
      </c>
      <c r="E57" s="11" t="e">
        <f>B57*0.935</f>
        <v>#REF!</v>
      </c>
      <c r="F57" s="11" t="e">
        <f>B57*0.858</f>
        <v>#REF!</v>
      </c>
      <c r="G57" s="11" t="e">
        <f>B57*0.94</f>
        <v>#REF!</v>
      </c>
      <c r="H57" s="11" t="e">
        <f>B57*0.953</f>
        <v>#REF!</v>
      </c>
      <c r="I57" s="11" t="e">
        <f>B57*1.292</f>
        <v>#REF!</v>
      </c>
      <c r="J57" s="11" t="e">
        <f>B57*1.115</f>
        <v>#REF!</v>
      </c>
      <c r="K57" s="11" t="e">
        <f>B57*1.02</f>
        <v>#REF!</v>
      </c>
      <c r="L57" s="11" t="e">
        <f>B57*0.94</f>
        <v>#REF!</v>
      </c>
      <c r="M57" s="11" t="e">
        <f>B57*0.92</f>
        <v>#REF!</v>
      </c>
      <c r="N57" s="11" t="e">
        <f>B57*1.01</f>
        <v>#REF!</v>
      </c>
      <c r="O57" s="11" t="e">
        <f>AVERAGE(B57:N57)</f>
        <v>#REF!</v>
      </c>
      <c r="P57" s="11" t="e">
        <f>SUM(C57:N57)</f>
        <v>#REF!</v>
      </c>
    </row>
    <row r="58" spans="1:16">
      <c r="A58" s="2" t="s">
        <v>40</v>
      </c>
      <c r="B58" s="3" t="e">
        <f>B21/B12</f>
        <v>#REF!</v>
      </c>
    </row>
    <row r="60" spans="1:16">
      <c r="A60" s="2" t="s">
        <v>72</v>
      </c>
      <c r="C60" s="20" t="e">
        <f>C56/0.11</f>
        <v>#REF!</v>
      </c>
      <c r="D60" s="21" t="e">
        <f t="shared" ref="D60:F60" si="4">D56/0.11</f>
        <v>#REF!</v>
      </c>
      <c r="E60" s="20" t="e">
        <f t="shared" si="4"/>
        <v>#REF!</v>
      </c>
      <c r="F60" s="20" t="e">
        <f t="shared" si="4"/>
        <v>#REF!</v>
      </c>
      <c r="G60" s="20" t="e">
        <f t="shared" ref="G60:N61" si="5">G56/0.11</f>
        <v>#REF!</v>
      </c>
      <c r="H60" s="20" t="e">
        <f t="shared" si="5"/>
        <v>#REF!</v>
      </c>
      <c r="I60" s="20" t="e">
        <f t="shared" si="5"/>
        <v>#REF!</v>
      </c>
      <c r="J60" s="20" t="e">
        <f t="shared" si="5"/>
        <v>#REF!</v>
      </c>
      <c r="K60" s="20" t="e">
        <f t="shared" si="5"/>
        <v>#REF!</v>
      </c>
      <c r="L60" s="20" t="e">
        <f t="shared" si="5"/>
        <v>#REF!</v>
      </c>
      <c r="M60" s="20" t="e">
        <f t="shared" si="5"/>
        <v>#REF!</v>
      </c>
      <c r="N60" s="20" t="e">
        <f t="shared" si="5"/>
        <v>#REF!</v>
      </c>
    </row>
    <row r="61" spans="1:16">
      <c r="A61" s="2" t="s">
        <v>73</v>
      </c>
      <c r="C61" s="2" t="e">
        <f>C57/0.11</f>
        <v>#REF!</v>
      </c>
      <c r="D61" s="21" t="e">
        <f t="shared" ref="D61:F61" si="6">D57/0.11</f>
        <v>#REF!</v>
      </c>
      <c r="E61" s="20" t="e">
        <f t="shared" si="6"/>
        <v>#REF!</v>
      </c>
      <c r="F61" s="20" t="e">
        <f t="shared" si="6"/>
        <v>#REF!</v>
      </c>
      <c r="G61" s="20" t="e">
        <f t="shared" si="5"/>
        <v>#REF!</v>
      </c>
      <c r="H61" s="20" t="e">
        <f t="shared" si="5"/>
        <v>#REF!</v>
      </c>
      <c r="I61" s="20" t="e">
        <f t="shared" si="5"/>
        <v>#REF!</v>
      </c>
      <c r="J61" s="20" t="e">
        <f t="shared" si="5"/>
        <v>#REF!</v>
      </c>
      <c r="K61" s="20" t="e">
        <f t="shared" si="5"/>
        <v>#REF!</v>
      </c>
      <c r="L61" s="20" t="e">
        <f t="shared" si="5"/>
        <v>#REF!</v>
      </c>
      <c r="M61" s="20" t="e">
        <f t="shared" si="5"/>
        <v>#REF!</v>
      </c>
      <c r="N61" s="20" t="e">
        <f t="shared" si="5"/>
        <v>#REF!</v>
      </c>
    </row>
    <row r="63" spans="1:16">
      <c r="A63" s="2" t="s">
        <v>65</v>
      </c>
    </row>
    <row r="64" spans="1:16">
      <c r="A64" s="2" t="s">
        <v>66</v>
      </c>
    </row>
    <row r="70" spans="1:4">
      <c r="A70" s="19" t="e">
        <f>B22</f>
        <v>#REF!</v>
      </c>
    </row>
    <row r="71" spans="1:4">
      <c r="A71" s="19" t="e">
        <f>A70*1.04</f>
        <v>#REF!</v>
      </c>
    </row>
    <row r="72" spans="1:4">
      <c r="A72" s="19" t="e">
        <f t="shared" ref="A72:A100" si="7">A71*1.04</f>
        <v>#REF!</v>
      </c>
    </row>
    <row r="73" spans="1:4">
      <c r="A73" s="19" t="e">
        <f t="shared" si="7"/>
        <v>#REF!</v>
      </c>
    </row>
    <row r="74" spans="1:4">
      <c r="A74" s="19" t="e">
        <f t="shared" si="7"/>
        <v>#REF!</v>
      </c>
      <c r="B74" s="12" t="s">
        <v>77</v>
      </c>
      <c r="C74" s="45">
        <v>0.24</v>
      </c>
      <c r="D74" s="22" t="s">
        <v>78</v>
      </c>
    </row>
    <row r="75" spans="1:4">
      <c r="A75" s="19" t="e">
        <f t="shared" si="7"/>
        <v>#REF!</v>
      </c>
      <c r="B75" s="19" t="s">
        <v>145</v>
      </c>
      <c r="C75" s="46">
        <v>0.56000000000000005</v>
      </c>
      <c r="D75" s="16" t="e">
        <f>AVERAGE(A70:A76)</f>
        <v>#REF!</v>
      </c>
    </row>
    <row r="76" spans="1:4">
      <c r="A76" s="19" t="e">
        <f t="shared" si="7"/>
        <v>#REF!</v>
      </c>
      <c r="B76" s="2" t="s">
        <v>146</v>
      </c>
      <c r="C76" s="46">
        <v>0.17</v>
      </c>
    </row>
    <row r="77" spans="1:4">
      <c r="A77" s="19" t="e">
        <f t="shared" si="7"/>
        <v>#REF!</v>
      </c>
      <c r="B77" s="2" t="s">
        <v>147</v>
      </c>
      <c r="C77" s="46">
        <v>0.03</v>
      </c>
    </row>
    <row r="78" spans="1:4">
      <c r="A78" s="19" t="e">
        <f t="shared" si="7"/>
        <v>#REF!</v>
      </c>
    </row>
    <row r="79" spans="1:4">
      <c r="A79" s="19" t="e">
        <f t="shared" si="7"/>
        <v>#REF!</v>
      </c>
    </row>
    <row r="80" spans="1:4">
      <c r="A80" s="19" t="e">
        <f t="shared" si="7"/>
        <v>#REF!</v>
      </c>
      <c r="B80" s="19" t="e">
        <f>SUM(A70:A80)</f>
        <v>#REF!</v>
      </c>
      <c r="C80" s="2" t="s">
        <v>26</v>
      </c>
    </row>
    <row r="81" spans="1:3">
      <c r="A81" s="19" t="e">
        <f t="shared" si="7"/>
        <v>#REF!</v>
      </c>
    </row>
    <row r="82" spans="1:3">
      <c r="A82" s="19" t="e">
        <f t="shared" si="7"/>
        <v>#REF!</v>
      </c>
    </row>
    <row r="83" spans="1:3">
      <c r="A83" s="19" t="e">
        <f t="shared" si="7"/>
        <v>#REF!</v>
      </c>
    </row>
    <row r="84" spans="1:3">
      <c r="A84" s="19" t="e">
        <f t="shared" si="7"/>
        <v>#REF!</v>
      </c>
    </row>
    <row r="85" spans="1:3">
      <c r="A85" s="19" t="e">
        <f t="shared" si="7"/>
        <v>#REF!</v>
      </c>
      <c r="B85" s="19" t="e">
        <f>SUM(A70:A85)</f>
        <v>#REF!</v>
      </c>
      <c r="C85" s="2" t="s">
        <v>27</v>
      </c>
    </row>
    <row r="86" spans="1:3">
      <c r="A86" s="19" t="e">
        <f t="shared" si="7"/>
        <v>#REF!</v>
      </c>
    </row>
    <row r="87" spans="1:3">
      <c r="A87" s="19" t="e">
        <f t="shared" si="7"/>
        <v>#REF!</v>
      </c>
    </row>
    <row r="88" spans="1:3">
      <c r="A88" s="19" t="e">
        <f t="shared" si="7"/>
        <v>#REF!</v>
      </c>
    </row>
    <row r="89" spans="1:3">
      <c r="A89" s="19" t="e">
        <f t="shared" si="7"/>
        <v>#REF!</v>
      </c>
    </row>
    <row r="90" spans="1:3">
      <c r="A90" s="19" t="e">
        <f t="shared" si="7"/>
        <v>#REF!</v>
      </c>
      <c r="B90" s="19" t="e">
        <f>SUM(A70:A90)</f>
        <v>#REF!</v>
      </c>
      <c r="C90" s="2" t="s">
        <v>74</v>
      </c>
    </row>
    <row r="91" spans="1:3">
      <c r="A91" s="19" t="e">
        <f t="shared" si="7"/>
        <v>#REF!</v>
      </c>
    </row>
    <row r="92" spans="1:3">
      <c r="A92" s="19" t="e">
        <f t="shared" si="7"/>
        <v>#REF!</v>
      </c>
    </row>
    <row r="93" spans="1:3">
      <c r="A93" s="19" t="e">
        <f t="shared" si="7"/>
        <v>#REF!</v>
      </c>
    </row>
    <row r="94" spans="1:3">
      <c r="A94" s="19" t="e">
        <f t="shared" si="7"/>
        <v>#REF!</v>
      </c>
    </row>
    <row r="95" spans="1:3">
      <c r="A95" s="19" t="e">
        <f t="shared" si="7"/>
        <v>#REF!</v>
      </c>
      <c r="B95" s="19" t="e">
        <f>SUM(A70:A94)</f>
        <v>#REF!</v>
      </c>
      <c r="C95" s="2" t="s">
        <v>75</v>
      </c>
    </row>
    <row r="96" spans="1:3">
      <c r="A96" s="19" t="e">
        <f t="shared" si="7"/>
        <v>#REF!</v>
      </c>
    </row>
    <row r="97" spans="1:3">
      <c r="A97" s="19" t="e">
        <f t="shared" si="7"/>
        <v>#REF!</v>
      </c>
    </row>
    <row r="98" spans="1:3">
      <c r="A98" s="19" t="e">
        <f t="shared" si="7"/>
        <v>#REF!</v>
      </c>
    </row>
    <row r="99" spans="1:3">
      <c r="A99" s="19" t="e">
        <f t="shared" si="7"/>
        <v>#REF!</v>
      </c>
    </row>
    <row r="100" spans="1:3">
      <c r="A100" s="19" t="e">
        <f t="shared" si="7"/>
        <v>#REF!</v>
      </c>
      <c r="B100" s="19" t="e">
        <f>SUM(A70:A100)</f>
        <v>#REF!</v>
      </c>
      <c r="C100" s="2" t="s">
        <v>76</v>
      </c>
    </row>
    <row r="105" spans="1:3">
      <c r="A105" t="s">
        <v>64</v>
      </c>
      <c r="C105" s="2" t="s">
        <v>137</v>
      </c>
    </row>
    <row r="106" spans="1:3">
      <c r="A106" t="s">
        <v>80</v>
      </c>
      <c r="C106" s="2" t="s">
        <v>138</v>
      </c>
    </row>
    <row r="107" spans="1:3">
      <c r="A107" t="s">
        <v>113</v>
      </c>
      <c r="C107" s="2" t="s">
        <v>139</v>
      </c>
    </row>
    <row r="108" spans="1:3">
      <c r="A108" t="s">
        <v>81</v>
      </c>
    </row>
    <row r="109" spans="1:3">
      <c r="A109" t="s">
        <v>114</v>
      </c>
    </row>
    <row r="110" spans="1:3" ht="13.75" customHeight="1">
      <c r="A110" t="s">
        <v>82</v>
      </c>
    </row>
    <row r="111" spans="1:3">
      <c r="A111" s="2" t="s">
        <v>112</v>
      </c>
    </row>
    <row r="112" spans="1:3">
      <c r="A112" t="s">
        <v>83</v>
      </c>
    </row>
    <row r="113" spans="1:13">
      <c r="A113" t="s">
        <v>85</v>
      </c>
    </row>
    <row r="114" spans="1:13">
      <c r="A114" s="2" t="s">
        <v>111</v>
      </c>
    </row>
    <row r="115" spans="1:13">
      <c r="A115" s="2" t="s">
        <v>115</v>
      </c>
    </row>
    <row r="123" spans="1:13">
      <c r="A123" s="2" t="s">
        <v>88</v>
      </c>
      <c r="B123" s="2" t="s">
        <v>89</v>
      </c>
      <c r="C123" s="167" t="s">
        <v>90</v>
      </c>
      <c r="D123" s="168"/>
      <c r="E123" s="167" t="s">
        <v>91</v>
      </c>
      <c r="F123" s="168"/>
      <c r="G123" s="55"/>
      <c r="H123" s="167" t="s">
        <v>92</v>
      </c>
      <c r="I123" s="168"/>
      <c r="J123" s="167" t="s">
        <v>93</v>
      </c>
      <c r="K123" s="168"/>
      <c r="L123" s="167" t="s">
        <v>100</v>
      </c>
      <c r="M123" s="168"/>
    </row>
    <row r="124" spans="1:13">
      <c r="A124" s="2">
        <v>25000</v>
      </c>
      <c r="B124" s="2">
        <v>3.16E-3</v>
      </c>
    </row>
    <row r="125" spans="1:13">
      <c r="A125" s="2">
        <v>30000</v>
      </c>
      <c r="B125" s="2">
        <v>3.1700000000000001E-3</v>
      </c>
      <c r="C125" s="2">
        <v>4.2329999999999998E-3</v>
      </c>
      <c r="D125" s="11">
        <v>9845</v>
      </c>
      <c r="E125" s="2">
        <v>6.1999999999999998E-3</v>
      </c>
      <c r="F125" s="2">
        <v>1263</v>
      </c>
      <c r="H125" s="2">
        <v>8.6999999999999994E-3</v>
      </c>
      <c r="I125" s="2">
        <v>3500</v>
      </c>
    </row>
    <row r="126" spans="1:13">
      <c r="A126" s="2">
        <v>35000</v>
      </c>
      <c r="B126" s="2">
        <v>3.1714E-3</v>
      </c>
      <c r="C126" s="2">
        <v>4.1999999999999997E-3</v>
      </c>
      <c r="D126" s="11">
        <v>11200</v>
      </c>
      <c r="E126" s="2">
        <v>6.1700000000000001E-3</v>
      </c>
      <c r="F126" s="2">
        <v>6200</v>
      </c>
      <c r="H126" s="2">
        <v>8.6199999999999992E-3</v>
      </c>
      <c r="I126" s="2">
        <v>3900</v>
      </c>
    </row>
    <row r="127" spans="1:13">
      <c r="A127" s="2">
        <v>40000</v>
      </c>
      <c r="B127" s="2">
        <v>3.1749999999999999E-3</v>
      </c>
    </row>
    <row r="128" spans="1:13">
      <c r="A128" s="2">
        <v>50000</v>
      </c>
      <c r="C128" s="2">
        <v>4.2199999999999998E-3</v>
      </c>
      <c r="D128" s="11">
        <v>16200</v>
      </c>
      <c r="E128" s="2">
        <v>6.1999999999999998E-3</v>
      </c>
      <c r="F128" s="2">
        <v>2000</v>
      </c>
      <c r="H128" s="2">
        <v>8.5000000000000006E-3</v>
      </c>
      <c r="I128" s="2">
        <v>5550</v>
      </c>
      <c r="J128" s="2">
        <v>4.8199999999999996E-3</v>
      </c>
      <c r="K128" s="2">
        <v>16000</v>
      </c>
      <c r="L128" s="2">
        <v>6.5799999999999999E-3</v>
      </c>
      <c r="M128" s="2">
        <v>8900</v>
      </c>
    </row>
    <row r="132" spans="2:6">
      <c r="B132" s="2" t="s">
        <v>98</v>
      </c>
    </row>
    <row r="133" spans="2:6">
      <c r="B133" s="27">
        <v>32700</v>
      </c>
    </row>
    <row r="134" spans="2:6">
      <c r="C134" s="2" t="s">
        <v>97</v>
      </c>
      <c r="D134" s="11" t="s">
        <v>101</v>
      </c>
    </row>
    <row r="135" spans="2:6">
      <c r="B135" s="2" t="s">
        <v>94</v>
      </c>
      <c r="C135" s="19">
        <f>B133*0.00422</f>
        <v>137.994</v>
      </c>
    </row>
    <row r="136" spans="2:6">
      <c r="B136" s="2" t="s">
        <v>95</v>
      </c>
      <c r="C136" s="19">
        <f>B133*0.00482</f>
        <v>157.61399999999998</v>
      </c>
    </row>
    <row r="137" spans="2:6">
      <c r="B137" s="2" t="s">
        <v>87</v>
      </c>
      <c r="C137" s="19">
        <f>B133*0.0062</f>
        <v>202.73999999999998</v>
      </c>
    </row>
    <row r="138" spans="2:6">
      <c r="B138" s="2" t="s">
        <v>99</v>
      </c>
      <c r="C138" s="19">
        <f>B133*0.00658</f>
        <v>215.166</v>
      </c>
    </row>
    <row r="139" spans="2:6">
      <c r="B139" s="2" t="s">
        <v>96</v>
      </c>
      <c r="C139" s="19">
        <f>B133*0.0085</f>
        <v>277.95000000000005</v>
      </c>
    </row>
    <row r="144" spans="2:6">
      <c r="B144" s="11" t="e">
        <f>B17</f>
        <v>#REF!</v>
      </c>
      <c r="C144" s="2" t="s">
        <v>102</v>
      </c>
      <c r="D144" s="11" t="s">
        <v>103</v>
      </c>
      <c r="E144" s="2" t="s">
        <v>104</v>
      </c>
      <c r="F144" s="2" t="s">
        <v>105</v>
      </c>
    </row>
    <row r="145" spans="1:16">
      <c r="B145" s="2" t="e">
        <f>B20</f>
        <v>#REF!</v>
      </c>
      <c r="C145" s="2">
        <v>12.2</v>
      </c>
      <c r="D145" s="11">
        <v>201</v>
      </c>
      <c r="E145" s="2">
        <v>30450</v>
      </c>
      <c r="F145" s="29">
        <v>13431</v>
      </c>
      <c r="G145" s="29"/>
    </row>
    <row r="146" spans="1:16">
      <c r="B146" s="2" t="s">
        <v>106</v>
      </c>
      <c r="C146" s="2" t="e">
        <f>12.2/B145</f>
        <v>#REF!</v>
      </c>
      <c r="D146" s="30">
        <v>1.1722E-2</v>
      </c>
      <c r="E146" s="2">
        <v>1.77</v>
      </c>
      <c r="F146" s="2">
        <v>0.78300000000000003</v>
      </c>
    </row>
    <row r="150" spans="1:16">
      <c r="H150" s="2" t="s">
        <v>19</v>
      </c>
    </row>
    <row r="151" spans="1:16" s="47" customFormat="1">
      <c r="D151" s="48"/>
    </row>
    <row r="152" spans="1:16">
      <c r="A152" s="2" t="s">
        <v>149</v>
      </c>
    </row>
    <row r="153" spans="1:16">
      <c r="C153" s="2" t="s">
        <v>157</v>
      </c>
      <c r="D153" s="11" t="s">
        <v>161</v>
      </c>
      <c r="E153" s="2" t="s">
        <v>158</v>
      </c>
      <c r="F153" s="2" t="s">
        <v>177</v>
      </c>
      <c r="G153" s="2" t="s">
        <v>176</v>
      </c>
      <c r="H153" s="2" t="s">
        <v>19</v>
      </c>
      <c r="I153" s="2" t="s">
        <v>165</v>
      </c>
      <c r="J153" s="2" t="s">
        <v>166</v>
      </c>
      <c r="K153" s="2" t="s">
        <v>167</v>
      </c>
      <c r="L153" s="2" t="s">
        <v>168</v>
      </c>
      <c r="M153" s="2" t="s">
        <v>41</v>
      </c>
      <c r="N153" s="2" t="s">
        <v>181</v>
      </c>
      <c r="O153" s="2" t="s">
        <v>180</v>
      </c>
      <c r="P153" s="2" t="s">
        <v>201</v>
      </c>
    </row>
    <row r="154" spans="1:16">
      <c r="A154" s="2" t="s">
        <v>150</v>
      </c>
      <c r="B154" s="2">
        <f>'EV Input'!C9</f>
        <v>0</v>
      </c>
      <c r="C154" s="2">
        <v>7.2</v>
      </c>
      <c r="D154" s="30">
        <f>B154*C154*(B156/30)</f>
        <v>0</v>
      </c>
      <c r="E154" s="16">
        <f>(B156/30)*B157*D154*B158</f>
        <v>0</v>
      </c>
      <c r="F154" s="19">
        <f>E154+E155</f>
        <v>525</v>
      </c>
      <c r="G154" s="19">
        <f>(F154*365)-B160</f>
        <v>19356</v>
      </c>
      <c r="H154" s="19">
        <f>F154*C161</f>
        <v>577.5</v>
      </c>
      <c r="I154" s="19">
        <f>H154*C161</f>
        <v>635.25</v>
      </c>
      <c r="J154" s="19">
        <f>I154*C161</f>
        <v>698.77500000000009</v>
      </c>
      <c r="K154" s="19">
        <f>J154*C161</f>
        <v>768.65250000000015</v>
      </c>
      <c r="L154" s="19">
        <f>K154*C161</f>
        <v>845.51775000000021</v>
      </c>
      <c r="M154" s="19">
        <f>(H154+I154+J154+K154+L154)/5</f>
        <v>705.13905000000011</v>
      </c>
      <c r="N154" s="19">
        <f>M154*365</f>
        <v>257375.75325000004</v>
      </c>
      <c r="P154" s="2">
        <f>B160*5</f>
        <v>861345</v>
      </c>
    </row>
    <row r="155" spans="1:16">
      <c r="A155" s="2" t="s">
        <v>151</v>
      </c>
      <c r="B155" s="2">
        <f>'EV Input'!C10</f>
        <v>20</v>
      </c>
      <c r="C155" s="2">
        <v>62.5</v>
      </c>
      <c r="D155" s="30">
        <f>B155*C155*(B156/30)</f>
        <v>1666.6666666666665</v>
      </c>
      <c r="E155" s="16">
        <f>B157*B158*D155*B158</f>
        <v>525</v>
      </c>
      <c r="G155" s="19">
        <f>G154</f>
        <v>19356</v>
      </c>
      <c r="H155" s="19">
        <f>H154*365</f>
        <v>210787.5</v>
      </c>
      <c r="I155" s="11">
        <f t="shared" ref="I155:L155" si="8">I154*365</f>
        <v>231866.25</v>
      </c>
      <c r="J155" s="11">
        <f t="shared" si="8"/>
        <v>255052.87500000003</v>
      </c>
      <c r="K155" s="11">
        <f t="shared" si="8"/>
        <v>280558.16250000003</v>
      </c>
      <c r="L155" s="11">
        <f t="shared" si="8"/>
        <v>308613.97875000007</v>
      </c>
      <c r="O155" s="19">
        <f>SUM(G155:K155)</f>
        <v>997620.78750000009</v>
      </c>
    </row>
    <row r="156" spans="1:16">
      <c r="A156" s="2" t="s">
        <v>152</v>
      </c>
      <c r="B156" s="5">
        <f>'EV Input'!C11</f>
        <v>40</v>
      </c>
    </row>
    <row r="157" spans="1:16">
      <c r="A157" s="2" t="s">
        <v>153</v>
      </c>
      <c r="B157" s="16">
        <f>'EV Input'!C12</f>
        <v>0.14000000000000001</v>
      </c>
      <c r="M157" s="2" t="s">
        <v>203</v>
      </c>
      <c r="N157" s="2" t="s">
        <v>202</v>
      </c>
    </row>
    <row r="158" spans="1:16">
      <c r="A158" s="2" t="s">
        <v>154</v>
      </c>
      <c r="B158" s="3">
        <f>'EV Input'!C13</f>
        <v>1.5</v>
      </c>
      <c r="D158" s="11" t="s">
        <v>186</v>
      </c>
      <c r="G158" s="2" t="s">
        <v>200</v>
      </c>
      <c r="M158" s="19">
        <f>(H154+I154+J154)/3</f>
        <v>637.17500000000007</v>
      </c>
      <c r="N158" s="19">
        <f>O155/5</f>
        <v>199524.15750000003</v>
      </c>
    </row>
    <row r="159" spans="1:16">
      <c r="A159" s="2" t="s">
        <v>217</v>
      </c>
      <c r="B159" s="166">
        <f>'EV Input'!E12</f>
        <v>152269</v>
      </c>
      <c r="D159" s="30">
        <f>(D154+D155)*365</f>
        <v>608333.33333333326</v>
      </c>
      <c r="G159" s="19">
        <f>G154-B160</f>
        <v>-152913</v>
      </c>
    </row>
    <row r="160" spans="1:16">
      <c r="A160" s="2" t="s">
        <v>159</v>
      </c>
      <c r="B160" s="9">
        <f>'EV Input'!C16+'EV Input'!E12</f>
        <v>172269</v>
      </c>
    </row>
    <row r="161" spans="1:3">
      <c r="A161" s="2" t="s">
        <v>160</v>
      </c>
      <c r="B161" s="3">
        <f>'EV Input'!C15</f>
        <v>0.1</v>
      </c>
      <c r="C161" s="2">
        <f>1*(B161)+1</f>
        <v>1.1000000000000001</v>
      </c>
    </row>
    <row r="163" spans="1:3">
      <c r="A163" s="2" t="s">
        <v>162</v>
      </c>
      <c r="B163" s="2">
        <f>B181</f>
        <v>1722500</v>
      </c>
    </row>
    <row r="164" spans="1:3">
      <c r="A164" s="2" t="s">
        <v>13</v>
      </c>
      <c r="B164" s="2">
        <f>B163*0.3</f>
        <v>516750</v>
      </c>
    </row>
    <row r="165" spans="1:3">
      <c r="A165" s="2" t="s">
        <v>163</v>
      </c>
      <c r="B165" s="2">
        <f>B163-B164</f>
        <v>1205750</v>
      </c>
    </row>
    <row r="167" spans="1:3">
      <c r="A167" s="2" t="s">
        <v>164</v>
      </c>
      <c r="B167" s="9">
        <f>B165/N158</f>
        <v>6.0431278854040507</v>
      </c>
    </row>
    <row r="168" spans="1:3">
      <c r="A168" s="2" t="s">
        <v>184</v>
      </c>
      <c r="B168" s="2">
        <f>B165*0.2</f>
        <v>241150</v>
      </c>
    </row>
    <row r="169" spans="1:3">
      <c r="A169" s="2" t="s">
        <v>185</v>
      </c>
      <c r="B169" s="2">
        <f>B163*0.2</f>
        <v>344500</v>
      </c>
    </row>
    <row r="170" spans="1:3">
      <c r="A170" s="2" t="s">
        <v>187</v>
      </c>
      <c r="B170" s="2">
        <f>D159/2100</f>
        <v>289.68253968253964</v>
      </c>
    </row>
    <row r="172" spans="1:3">
      <c r="A172" s="2" t="s">
        <v>169</v>
      </c>
      <c r="B172" s="2">
        <f>B154*18000</f>
        <v>0</v>
      </c>
    </row>
    <row r="173" spans="1:3">
      <c r="A173" s="2" t="s">
        <v>170</v>
      </c>
      <c r="B173" s="2">
        <f>B155*75000</f>
        <v>1500000</v>
      </c>
    </row>
    <row r="174" spans="1:3">
      <c r="A174" s="2" t="s">
        <v>174</v>
      </c>
      <c r="B174" s="2">
        <f>B172+B173</f>
        <v>1500000</v>
      </c>
    </row>
    <row r="175" spans="1:3">
      <c r="A175" s="2" t="s">
        <v>171</v>
      </c>
      <c r="B175" s="2">
        <f>B174*0.01</f>
        <v>15000</v>
      </c>
    </row>
    <row r="176" spans="1:3">
      <c r="A176" s="2" t="s">
        <v>172</v>
      </c>
      <c r="B176" s="2">
        <f>B174*0.02</f>
        <v>30000</v>
      </c>
    </row>
    <row r="177" spans="1:2">
      <c r="A177" s="2" t="s">
        <v>173</v>
      </c>
      <c r="B177" s="2">
        <f>B174*0.035</f>
        <v>52500.000000000007</v>
      </c>
    </row>
    <row r="178" spans="1:2">
      <c r="A178" s="2" t="s">
        <v>178</v>
      </c>
      <c r="B178" s="2">
        <f>'EV Input'!C19</f>
        <v>45000</v>
      </c>
    </row>
    <row r="179" spans="1:2">
      <c r="A179" s="2" t="s">
        <v>190</v>
      </c>
      <c r="B179" s="2">
        <f>'EV Input'!C17</f>
        <v>75000</v>
      </c>
    </row>
    <row r="180" spans="1:2">
      <c r="A180" s="2" t="s">
        <v>198</v>
      </c>
      <c r="B180" s="2">
        <f>'EV Input'!C18</f>
        <v>5000</v>
      </c>
    </row>
    <row r="181" spans="1:2" ht="15" customHeight="1">
      <c r="A181" s="2" t="s">
        <v>175</v>
      </c>
      <c r="B181" s="2">
        <f>SUM(B174:B180)</f>
        <v>1722500</v>
      </c>
    </row>
  </sheetData>
  <sheetProtection algorithmName="SHA-512" hashValue="J26NAHRNTHcWoKvNAqJEvBLPVQv/RuSgL/2kiedLK5Iwwa1omHz88O2bCuei/Jl4yd6qLuDr4DWEIubP7E0Dvg==" saltValue="CG/e/PVWfo/RuAoinKcXkw==" spinCount="100000" sheet="1" objects="1" scenarios="1"/>
  <mergeCells count="6">
    <mergeCell ref="L123:M123"/>
    <mergeCell ref="D55:F55"/>
    <mergeCell ref="C123:D123"/>
    <mergeCell ref="E123:F123"/>
    <mergeCell ref="H123:I123"/>
    <mergeCell ref="J123:K123"/>
  </mergeCells>
  <dataValidations count="1">
    <dataValidation type="list" allowBlank="1" showInputMessage="1" showErrorMessage="1" sqref="E5" xr:uid="{AAD25FD1-587A-4209-9853-8B9E598949F1}">
      <formula1>$A$105:$A$113</formula1>
    </dataValidation>
  </dataValidations>
  <hyperlinks>
    <hyperlink ref="B5" r:id="rId1" display="ty@webb.com" xr:uid="{B6FCA21A-29C0-4284-B748-2490C4394376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3A077-6128-4EAC-83CD-73E1B5451432}">
  <dimension ref="A1:H156"/>
  <sheetViews>
    <sheetView workbookViewId="0">
      <selection activeCell="C12" sqref="C12"/>
    </sheetView>
  </sheetViews>
  <sheetFormatPr defaultColWidth="8.84375" defaultRowHeight="18.45"/>
  <cols>
    <col min="1" max="1" width="8.84375" style="37"/>
    <col min="2" max="2" width="33.3046875" style="37" customWidth="1"/>
    <col min="3" max="3" width="39.15234375" style="37" customWidth="1"/>
    <col min="4" max="4" width="13" style="37" customWidth="1"/>
    <col min="5" max="5" width="19.23046875" style="37" customWidth="1"/>
    <col min="6" max="6" width="8.84375" style="37"/>
    <col min="7" max="7" width="16" style="37" customWidth="1"/>
    <col min="8" max="16384" width="8.84375" style="37"/>
  </cols>
  <sheetData>
    <row r="1" spans="2:7" ht="13.75" customHeight="1"/>
    <row r="2" spans="2:7" ht="13.75" customHeight="1">
      <c r="B2" s="172" t="s">
        <v>117</v>
      </c>
      <c r="C2" s="173"/>
    </row>
    <row r="4" spans="2:7">
      <c r="B4" s="37" t="s">
        <v>3</v>
      </c>
      <c r="C4" s="157" t="s">
        <v>211</v>
      </c>
      <c r="E4" s="56">
        <f>'Master Input'!B163</f>
        <v>1722500</v>
      </c>
      <c r="F4" s="37" t="s">
        <v>125</v>
      </c>
      <c r="G4" s="41"/>
    </row>
    <row r="5" spans="2:7">
      <c r="B5" s="37" t="s">
        <v>4</v>
      </c>
      <c r="C5" s="157" t="s">
        <v>212</v>
      </c>
      <c r="D5" s="40"/>
      <c r="E5" s="57">
        <f>'Master Input'!B164</f>
        <v>516750</v>
      </c>
      <c r="F5" s="37" t="s">
        <v>126</v>
      </c>
    </row>
    <row r="6" spans="2:7">
      <c r="B6" s="37" t="s">
        <v>7</v>
      </c>
      <c r="C6" s="157" t="s">
        <v>213</v>
      </c>
      <c r="E6" s="56">
        <f>'Master Input'!B165</f>
        <v>1205750</v>
      </c>
      <c r="F6" s="37" t="s">
        <v>127</v>
      </c>
    </row>
    <row r="7" spans="2:7">
      <c r="B7" s="37" t="s">
        <v>5</v>
      </c>
      <c r="C7" s="157" t="s">
        <v>211</v>
      </c>
      <c r="E7" s="57">
        <f>'Master Input'!B168</f>
        <v>241150</v>
      </c>
      <c r="F7" s="37" t="s">
        <v>193</v>
      </c>
      <c r="G7" s="43"/>
    </row>
    <row r="8" spans="2:7">
      <c r="B8" s="37" t="s">
        <v>6</v>
      </c>
      <c r="C8" s="158"/>
      <c r="D8" s="42"/>
      <c r="E8" s="58">
        <f>'Master Input'!B167</f>
        <v>6.0431278854040507</v>
      </c>
      <c r="F8" s="37" t="s">
        <v>192</v>
      </c>
    </row>
    <row r="9" spans="2:7">
      <c r="B9" s="37" t="s">
        <v>135</v>
      </c>
      <c r="C9" s="157">
        <v>0</v>
      </c>
    </row>
    <row r="10" spans="2:7">
      <c r="B10" s="37" t="s">
        <v>136</v>
      </c>
      <c r="C10" s="157">
        <v>20</v>
      </c>
      <c r="E10" s="57">
        <f>'Master Input'!H155</f>
        <v>210787.5</v>
      </c>
      <c r="F10" s="37" t="s">
        <v>194</v>
      </c>
    </row>
    <row r="11" spans="2:7">
      <c r="B11" s="37" t="s">
        <v>209</v>
      </c>
      <c r="C11" s="159">
        <v>40</v>
      </c>
      <c r="E11" s="57">
        <f>'Master Input'!O155</f>
        <v>997620.78750000009</v>
      </c>
      <c r="F11" s="37" t="s">
        <v>195</v>
      </c>
    </row>
    <row r="12" spans="2:7">
      <c r="B12" s="37" t="s">
        <v>116</v>
      </c>
      <c r="C12" s="160">
        <v>0.14000000000000001</v>
      </c>
      <c r="D12" s="40"/>
      <c r="E12" s="164">
        <f>C20*1.36*E4</f>
        <v>152269</v>
      </c>
      <c r="F12" s="37" t="s">
        <v>216</v>
      </c>
    </row>
    <row r="13" spans="2:7">
      <c r="B13" s="37" t="s">
        <v>205</v>
      </c>
      <c r="C13" s="161">
        <v>1.5</v>
      </c>
      <c r="D13" s="40"/>
    </row>
    <row r="14" spans="2:7">
      <c r="B14" s="37" t="s">
        <v>60</v>
      </c>
      <c r="C14" s="157" t="s">
        <v>214</v>
      </c>
      <c r="D14" s="39"/>
    </row>
    <row r="15" spans="2:7">
      <c r="B15" s="37" t="s">
        <v>196</v>
      </c>
      <c r="C15" s="161">
        <v>0.1</v>
      </c>
      <c r="D15" s="39"/>
    </row>
    <row r="16" spans="2:7">
      <c r="B16" s="37" t="s">
        <v>199</v>
      </c>
      <c r="C16" s="160">
        <v>20000</v>
      </c>
      <c r="D16" s="39"/>
    </row>
    <row r="17" spans="2:8" ht="18" customHeight="1">
      <c r="B17" s="37" t="s">
        <v>197</v>
      </c>
      <c r="C17" s="162">
        <v>75000</v>
      </c>
    </row>
    <row r="18" spans="2:8">
      <c r="B18" s="37" t="s">
        <v>128</v>
      </c>
      <c r="C18" s="163">
        <v>5000</v>
      </c>
    </row>
    <row r="19" spans="2:8">
      <c r="B19" s="37" t="s">
        <v>178</v>
      </c>
      <c r="C19" s="163">
        <v>45000</v>
      </c>
    </row>
    <row r="20" spans="2:8">
      <c r="B20" s="37" t="s">
        <v>215</v>
      </c>
      <c r="C20" s="165">
        <v>6.5000000000000002E-2</v>
      </c>
    </row>
    <row r="31" spans="2:8">
      <c r="F31" s="39"/>
      <c r="G31" s="39"/>
      <c r="H31" s="39"/>
    </row>
    <row r="39" spans="2:4">
      <c r="B39" s="37" t="s">
        <v>64</v>
      </c>
      <c r="D39" s="37" t="s">
        <v>118</v>
      </c>
    </row>
    <row r="40" spans="2:4">
      <c r="B40" s="37" t="s">
        <v>80</v>
      </c>
      <c r="D40" s="37" t="s">
        <v>119</v>
      </c>
    </row>
    <row r="41" spans="2:4">
      <c r="B41" s="37" t="s">
        <v>113</v>
      </c>
      <c r="D41" s="37" t="s">
        <v>120</v>
      </c>
    </row>
    <row r="42" spans="2:4">
      <c r="B42" s="37" t="s">
        <v>81</v>
      </c>
      <c r="D42" s="37" t="s">
        <v>121</v>
      </c>
    </row>
    <row r="43" spans="2:4">
      <c r="B43" s="37" t="s">
        <v>114</v>
      </c>
      <c r="D43" s="37" t="s">
        <v>122</v>
      </c>
    </row>
    <row r="44" spans="2:4">
      <c r="B44" s="37" t="s">
        <v>82</v>
      </c>
      <c r="D44" s="37" t="s">
        <v>123</v>
      </c>
    </row>
    <row r="45" spans="2:4">
      <c r="B45" s="38" t="s">
        <v>112</v>
      </c>
    </row>
    <row r="46" spans="2:4">
      <c r="B46" s="37" t="s">
        <v>83</v>
      </c>
    </row>
    <row r="47" spans="2:4">
      <c r="B47" s="37" t="s">
        <v>85</v>
      </c>
    </row>
    <row r="48" spans="2:4">
      <c r="B48" s="38" t="s">
        <v>111</v>
      </c>
    </row>
    <row r="49" spans="2:6">
      <c r="B49" s="38" t="s">
        <v>115</v>
      </c>
    </row>
    <row r="52" spans="2:6">
      <c r="D52" s="174" t="s">
        <v>148</v>
      </c>
      <c r="E52" s="174"/>
      <c r="F52" s="174"/>
    </row>
    <row r="71" spans="2:3">
      <c r="C71" s="44">
        <v>0.24</v>
      </c>
    </row>
    <row r="72" spans="2:3">
      <c r="B72" s="37" t="s">
        <v>145</v>
      </c>
      <c r="C72" s="44">
        <v>0.56000000000000005</v>
      </c>
    </row>
    <row r="73" spans="2:3">
      <c r="B73" s="37" t="s">
        <v>146</v>
      </c>
      <c r="C73" s="44">
        <v>0.17</v>
      </c>
    </row>
    <row r="74" spans="2:3">
      <c r="B74" s="37" t="s">
        <v>147</v>
      </c>
      <c r="C74" s="44">
        <v>0.03</v>
      </c>
    </row>
    <row r="148" spans="1:5" s="50" customFormat="1"/>
    <row r="149" spans="1:5">
      <c r="A149" s="37" t="s">
        <v>149</v>
      </c>
    </row>
    <row r="150" spans="1:5">
      <c r="C150" s="37" t="s">
        <v>157</v>
      </c>
      <c r="D150" s="37" t="s">
        <v>156</v>
      </c>
      <c r="E150" s="37" t="s">
        <v>158</v>
      </c>
    </row>
    <row r="151" spans="1:5">
      <c r="A151" s="37" t="s">
        <v>150</v>
      </c>
      <c r="B151" s="37">
        <v>2</v>
      </c>
    </row>
    <row r="152" spans="1:5">
      <c r="A152" s="37" t="s">
        <v>151</v>
      </c>
      <c r="B152" s="37">
        <v>1</v>
      </c>
      <c r="C152" s="37">
        <v>62.5</v>
      </c>
      <c r="D152" s="37">
        <f>B152*C152*24*B153</f>
        <v>1500</v>
      </c>
      <c r="E152" s="54">
        <f>B154*B155*D152</f>
        <v>127.50000000000001</v>
      </c>
    </row>
    <row r="153" spans="1:5">
      <c r="A153" s="37" t="s">
        <v>152</v>
      </c>
      <c r="B153" s="52">
        <v>1</v>
      </c>
    </row>
    <row r="154" spans="1:5">
      <c r="A154" s="37" t="s">
        <v>153</v>
      </c>
      <c r="B154" s="37">
        <v>0.17</v>
      </c>
    </row>
    <row r="155" spans="1:5">
      <c r="A155" s="37" t="s">
        <v>154</v>
      </c>
      <c r="B155" s="52">
        <v>0.5</v>
      </c>
    </row>
    <row r="156" spans="1:5">
      <c r="A156" s="37" t="s">
        <v>155</v>
      </c>
      <c r="B156" s="52">
        <v>0.04</v>
      </c>
    </row>
  </sheetData>
  <sheetProtection selectLockedCells="1"/>
  <mergeCells count="2">
    <mergeCell ref="B2:C2"/>
    <mergeCell ref="D52:F52"/>
  </mergeCells>
  <dataValidations count="2">
    <dataValidation type="list" allowBlank="1" showInputMessage="1" showErrorMessage="1" sqref="B39:B41" xr:uid="{FD980392-8BEB-4056-A8B3-16E36C5A6D83}">
      <formula1>B39:B49</formula1>
    </dataValidation>
    <dataValidation type="list" allowBlank="1" showInputMessage="1" showErrorMessage="1" sqref="B42:B49" xr:uid="{16EE5F04-7580-42F8-B729-0EAC811C3923}">
      <formula1>B42:B53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34594-1B82-4C4C-A19E-23830DC3C4E6}">
  <sheetPr>
    <pageSetUpPr fitToPage="1"/>
  </sheetPr>
  <dimension ref="A1:L161"/>
  <sheetViews>
    <sheetView tabSelected="1" topLeftCell="A79" zoomScale="84" zoomScaleNormal="84" workbookViewId="0">
      <selection activeCell="O91" sqref="O91"/>
    </sheetView>
  </sheetViews>
  <sheetFormatPr defaultColWidth="8.84375" defaultRowHeight="14.6"/>
  <cols>
    <col min="1" max="1" width="3.84375" style="1" customWidth="1"/>
    <col min="2" max="2" width="19.53515625" customWidth="1"/>
    <col min="3" max="5" width="11.84375" customWidth="1"/>
    <col min="6" max="6" width="9" customWidth="1"/>
    <col min="7" max="7" width="8.84375" customWidth="1"/>
    <col min="8" max="9" width="11.84375" customWidth="1"/>
    <col min="10" max="10" width="3.84375" style="1" customWidth="1"/>
  </cols>
  <sheetData>
    <row r="1" spans="1:12" s="1" customFormat="1" ht="15.45">
      <c r="A1" s="68"/>
      <c r="B1" s="69"/>
      <c r="C1" s="69"/>
      <c r="D1" s="69"/>
      <c r="E1" s="69"/>
      <c r="F1" s="69"/>
      <c r="G1" s="69"/>
      <c r="H1" s="69"/>
      <c r="I1" s="69"/>
      <c r="J1" s="69"/>
      <c r="K1" s="64"/>
      <c r="L1"/>
    </row>
    <row r="2" spans="1:12" s="1" customFormat="1" ht="15.45">
      <c r="A2" s="68"/>
      <c r="B2" s="69"/>
      <c r="C2" s="69"/>
      <c r="D2" s="69"/>
      <c r="E2" s="69"/>
      <c r="F2" s="69"/>
      <c r="G2" s="69"/>
      <c r="H2" s="69"/>
      <c r="I2" s="69"/>
      <c r="J2" s="69"/>
      <c r="K2" s="64"/>
      <c r="L2"/>
    </row>
    <row r="3" spans="1:12" s="1" customFormat="1" ht="15.45">
      <c r="A3" s="68"/>
      <c r="B3" s="69"/>
      <c r="C3" s="69"/>
      <c r="D3" s="69"/>
      <c r="E3" s="69"/>
      <c r="F3" s="69"/>
      <c r="G3" s="69"/>
      <c r="H3" s="69"/>
      <c r="I3" s="69"/>
      <c r="J3" s="69"/>
      <c r="K3" s="64"/>
      <c r="L3"/>
    </row>
    <row r="4" spans="1:12" s="1" customFormat="1" ht="15.45">
      <c r="A4" s="68"/>
      <c r="B4" s="69"/>
      <c r="C4" s="69"/>
      <c r="D4" s="69"/>
      <c r="E4" s="69"/>
      <c r="F4" s="69"/>
      <c r="G4" s="69"/>
      <c r="H4" s="69"/>
      <c r="I4" s="69"/>
      <c r="J4" s="69"/>
      <c r="K4" s="64"/>
      <c r="L4"/>
    </row>
    <row r="5" spans="1:12" s="1" customFormat="1" ht="15.45">
      <c r="A5" s="68"/>
      <c r="B5" s="69"/>
      <c r="C5" s="69"/>
      <c r="D5" s="69"/>
      <c r="E5" s="69"/>
      <c r="F5" s="69"/>
      <c r="G5" s="69"/>
      <c r="H5" s="69"/>
      <c r="I5" s="69"/>
      <c r="J5" s="69"/>
      <c r="K5" s="64"/>
      <c r="L5"/>
    </row>
    <row r="6" spans="1:12" s="1" customFormat="1" ht="15.45">
      <c r="A6" s="68"/>
      <c r="B6" s="69"/>
      <c r="C6" s="69"/>
      <c r="D6" s="69"/>
      <c r="E6" s="69"/>
      <c r="F6" s="69"/>
      <c r="G6" s="69"/>
      <c r="H6" s="69"/>
      <c r="I6" s="69"/>
      <c r="J6" s="69"/>
      <c r="K6" s="64"/>
      <c r="L6"/>
    </row>
    <row r="7" spans="1:12" s="1" customFormat="1" ht="15.45">
      <c r="A7" s="68"/>
      <c r="B7" s="69"/>
      <c r="C7" s="69"/>
      <c r="D7" s="69"/>
      <c r="E7" s="69"/>
      <c r="F7" s="69"/>
      <c r="G7" s="69"/>
      <c r="H7" s="69"/>
      <c r="I7" s="69"/>
      <c r="J7" s="69"/>
      <c r="K7" s="64"/>
      <c r="L7"/>
    </row>
    <row r="8" spans="1:12" ht="15.45">
      <c r="A8" s="68"/>
      <c r="B8" s="68"/>
      <c r="C8" s="68"/>
      <c r="D8" s="68"/>
      <c r="E8" s="68"/>
      <c r="F8" s="69"/>
      <c r="G8" s="69"/>
      <c r="H8" s="69"/>
      <c r="I8" s="69"/>
      <c r="J8" s="69"/>
      <c r="K8" s="64"/>
    </row>
    <row r="9" spans="1:12" ht="28" customHeight="1">
      <c r="A9" s="68"/>
      <c r="B9" s="68"/>
      <c r="C9" s="68"/>
      <c r="D9" s="68"/>
      <c r="E9" s="1"/>
      <c r="F9" s="70"/>
      <c r="G9" s="69"/>
      <c r="H9" s="69"/>
      <c r="I9" s="69"/>
      <c r="J9" s="69"/>
      <c r="K9" s="64"/>
    </row>
    <row r="10" spans="1:12" ht="15" customHeight="1">
      <c r="A10" s="68"/>
      <c r="B10" s="68"/>
      <c r="C10" s="68"/>
      <c r="D10" s="68"/>
      <c r="E10" s="70"/>
      <c r="F10" s="69"/>
      <c r="G10" s="69"/>
      <c r="H10" s="69"/>
      <c r="I10" s="69"/>
      <c r="J10" s="69"/>
      <c r="K10" s="64"/>
    </row>
    <row r="11" spans="1:12" ht="24" customHeight="1" thickBot="1">
      <c r="A11" s="92"/>
      <c r="B11" s="96" t="s">
        <v>207</v>
      </c>
      <c r="C11" s="124"/>
      <c r="D11" s="92"/>
      <c r="E11" s="125"/>
      <c r="F11" s="126"/>
      <c r="G11" s="127"/>
      <c r="H11" s="127"/>
      <c r="I11" s="127"/>
      <c r="J11" s="69"/>
      <c r="K11" s="64"/>
    </row>
    <row r="12" spans="1:12" ht="15.75" customHeight="1" thickTop="1">
      <c r="A12" s="92"/>
      <c r="B12" s="92"/>
      <c r="C12" s="92"/>
      <c r="D12" s="128"/>
      <c r="E12" s="92"/>
      <c r="F12" s="1"/>
      <c r="G12" s="77"/>
      <c r="H12" s="77"/>
      <c r="I12" s="77"/>
      <c r="J12" s="69"/>
      <c r="K12" s="64"/>
    </row>
    <row r="13" spans="1:12" ht="24" customHeight="1">
      <c r="A13" s="91"/>
      <c r="B13" s="74" t="s">
        <v>8</v>
      </c>
      <c r="C13" s="75" t="str">
        <f>'EV Input'!C4</f>
        <v>-</v>
      </c>
      <c r="D13" s="92"/>
      <c r="E13" s="80"/>
      <c r="F13" s="1"/>
      <c r="G13" s="76" t="s">
        <v>9</v>
      </c>
      <c r="H13" s="1"/>
      <c r="I13" s="78"/>
      <c r="J13" s="69"/>
      <c r="K13" s="64"/>
    </row>
    <row r="14" spans="1:12" ht="24" customHeight="1">
      <c r="A14" s="91"/>
      <c r="B14" s="87"/>
      <c r="C14" s="87"/>
      <c r="D14" s="92"/>
      <c r="E14" s="1"/>
      <c r="F14" s="1"/>
      <c r="G14" s="77"/>
      <c r="H14" s="77"/>
      <c r="I14" s="77"/>
      <c r="J14" s="69"/>
      <c r="K14" s="64"/>
    </row>
    <row r="15" spans="1:12" ht="24" customHeight="1">
      <c r="A15" s="91"/>
      <c r="B15" s="74" t="s">
        <v>15</v>
      </c>
      <c r="C15" s="79" t="str">
        <f>'EV Input'!C5</f>
        <v>1243 W March Lane</v>
      </c>
      <c r="D15" s="92"/>
      <c r="E15" s="1"/>
      <c r="F15" s="1"/>
      <c r="G15" s="76" t="s">
        <v>10</v>
      </c>
      <c r="H15" s="156"/>
      <c r="I15" s="154">
        <f>'EV Input'!C8</f>
        <v>0</v>
      </c>
      <c r="J15" s="69"/>
      <c r="K15" s="64"/>
    </row>
    <row r="16" spans="1:12" ht="24" customHeight="1">
      <c r="A16" s="91"/>
      <c r="B16" s="1"/>
      <c r="C16" s="79" t="str">
        <f>'EV Input'!C6</f>
        <v>Stockton CA 95207</v>
      </c>
      <c r="D16" s="92"/>
      <c r="E16" s="77"/>
      <c r="F16" s="80"/>
      <c r="G16" s="80"/>
      <c r="H16" s="80"/>
      <c r="I16" s="77"/>
      <c r="J16" s="69"/>
      <c r="K16" s="64"/>
    </row>
    <row r="17" spans="1:11" ht="15" customHeight="1">
      <c r="A17" s="68"/>
      <c r="B17" s="87"/>
      <c r="C17" s="87"/>
      <c r="D17" s="87"/>
      <c r="E17" s="68"/>
      <c r="F17" s="89"/>
      <c r="G17" s="72"/>
      <c r="H17" s="73"/>
      <c r="I17" s="69"/>
      <c r="J17" s="69"/>
      <c r="K17" s="64"/>
    </row>
    <row r="18" spans="1:11" ht="11.25" customHeight="1">
      <c r="A18" s="68"/>
      <c r="B18" s="87"/>
      <c r="C18" s="87"/>
      <c r="D18" s="87"/>
      <c r="E18" s="68"/>
      <c r="F18" s="89"/>
      <c r="G18" s="72"/>
      <c r="H18" s="73"/>
      <c r="I18" s="69"/>
      <c r="J18" s="69"/>
      <c r="K18" s="64"/>
    </row>
    <row r="19" spans="1:11" ht="15.45">
      <c r="A19" s="68"/>
      <c r="B19" s="87"/>
      <c r="C19" s="87"/>
      <c r="D19" s="87"/>
      <c r="E19" s="68"/>
      <c r="F19" s="89"/>
      <c r="G19" s="72"/>
      <c r="H19" s="73"/>
      <c r="I19" s="69"/>
      <c r="J19" s="69"/>
      <c r="K19" s="64"/>
    </row>
    <row r="20" spans="1:11" ht="15.45">
      <c r="A20" s="68"/>
      <c r="B20" s="87"/>
      <c r="C20" s="87"/>
      <c r="D20" s="87"/>
      <c r="E20" s="68"/>
      <c r="F20" s="89"/>
      <c r="G20" s="72"/>
      <c r="H20" s="73"/>
      <c r="I20" s="69"/>
      <c r="J20" s="69"/>
      <c r="K20" s="64"/>
    </row>
    <row r="21" spans="1:11" ht="15.45">
      <c r="A21" s="68"/>
      <c r="B21" s="87"/>
      <c r="C21" s="87"/>
      <c r="D21" s="87"/>
      <c r="E21" s="68"/>
      <c r="F21" s="89"/>
      <c r="G21" s="72"/>
      <c r="H21" s="73"/>
      <c r="I21" s="69"/>
      <c r="J21" s="69"/>
      <c r="K21" s="64"/>
    </row>
    <row r="22" spans="1:11" ht="15.45">
      <c r="A22" s="68"/>
      <c r="B22" s="87"/>
      <c r="C22" s="87"/>
      <c r="D22" s="87"/>
      <c r="E22" s="68"/>
      <c r="F22" s="89"/>
      <c r="G22" s="72"/>
      <c r="H22" s="73"/>
      <c r="I22" s="69"/>
      <c r="J22" s="69"/>
      <c r="K22" s="64"/>
    </row>
    <row r="23" spans="1:11" ht="15.45">
      <c r="A23" s="68"/>
      <c r="B23" s="87"/>
      <c r="C23" s="87"/>
      <c r="D23" s="87"/>
      <c r="E23" s="68"/>
      <c r="F23" s="89"/>
      <c r="G23" s="72"/>
      <c r="H23" s="73"/>
      <c r="I23" s="69"/>
      <c r="J23" s="69"/>
      <c r="K23" s="64"/>
    </row>
    <row r="24" spans="1:11" ht="15.45">
      <c r="A24" s="68"/>
      <c r="B24" s="87"/>
      <c r="C24" s="87"/>
      <c r="D24" s="87"/>
      <c r="E24" s="68"/>
      <c r="F24" s="89"/>
      <c r="G24" s="72"/>
      <c r="H24" s="73"/>
      <c r="I24" s="69"/>
      <c r="J24" s="69"/>
      <c r="K24" s="64"/>
    </row>
    <row r="25" spans="1:11" ht="15.45">
      <c r="A25" s="68"/>
      <c r="B25" s="87"/>
      <c r="C25" s="87"/>
      <c r="D25" s="87"/>
      <c r="E25" s="68"/>
      <c r="F25" s="89"/>
      <c r="G25" s="72"/>
      <c r="H25" s="73"/>
      <c r="I25" s="69"/>
      <c r="J25" s="69"/>
      <c r="K25" s="64"/>
    </row>
    <row r="26" spans="1:11" ht="15.45">
      <c r="A26" s="68"/>
      <c r="B26" s="87"/>
      <c r="C26" s="87"/>
      <c r="D26" s="87"/>
      <c r="E26" s="68"/>
      <c r="F26" s="89"/>
      <c r="G26" s="72"/>
      <c r="H26" s="73"/>
      <c r="I26" s="69"/>
      <c r="J26" s="69"/>
      <c r="K26" s="64"/>
    </row>
    <row r="27" spans="1:11" ht="15.45">
      <c r="A27" s="68"/>
      <c r="B27" s="87"/>
      <c r="C27" s="87"/>
      <c r="D27" s="87"/>
      <c r="E27" s="68"/>
      <c r="F27" s="89"/>
      <c r="G27" s="72"/>
      <c r="H27" s="73"/>
      <c r="I27" s="69"/>
      <c r="J27" s="69"/>
      <c r="K27" s="64"/>
    </row>
    <row r="28" spans="1:11" ht="15.45">
      <c r="A28" s="68"/>
      <c r="B28" s="87"/>
      <c r="C28" s="87"/>
      <c r="D28" s="87"/>
      <c r="E28" s="68"/>
      <c r="F28" s="89"/>
      <c r="G28" s="72"/>
      <c r="H28" s="73"/>
      <c r="I28" s="69"/>
      <c r="J28" s="69"/>
      <c r="K28" s="64"/>
    </row>
    <row r="29" spans="1:11" ht="15.45">
      <c r="A29" s="68"/>
      <c r="B29" s="87"/>
      <c r="C29" s="87"/>
      <c r="D29" s="87"/>
      <c r="E29" s="68"/>
      <c r="F29" s="89"/>
      <c r="G29" s="72"/>
      <c r="H29" s="73"/>
      <c r="I29" s="69"/>
      <c r="J29" s="69"/>
      <c r="K29" s="64"/>
    </row>
    <row r="30" spans="1:11" ht="15.45">
      <c r="A30" s="68"/>
      <c r="B30" s="87"/>
      <c r="C30" s="87"/>
      <c r="D30" s="87"/>
      <c r="E30" s="68"/>
      <c r="F30" s="89"/>
      <c r="G30" s="72"/>
      <c r="H30" s="73"/>
      <c r="I30" s="69"/>
      <c r="K30" s="64"/>
    </row>
    <row r="31" spans="1:11" ht="18" customHeight="1">
      <c r="A31" s="68"/>
      <c r="B31" s="87"/>
      <c r="C31" s="87"/>
      <c r="D31" s="87"/>
      <c r="E31" s="68"/>
      <c r="F31" s="89"/>
      <c r="G31" s="72"/>
      <c r="H31" s="73"/>
      <c r="I31" s="69"/>
      <c r="J31" s="69"/>
      <c r="K31" s="64"/>
    </row>
    <row r="32" spans="1:11" ht="18" customHeight="1">
      <c r="A32" s="68"/>
      <c r="B32" s="87"/>
      <c r="C32" s="87"/>
      <c r="D32" s="87"/>
      <c r="E32" s="68"/>
      <c r="F32" s="89"/>
      <c r="G32" s="72"/>
      <c r="H32" s="73"/>
      <c r="I32" s="69"/>
      <c r="J32" s="69"/>
      <c r="K32" s="64"/>
    </row>
    <row r="33" spans="1:11" ht="18" customHeight="1">
      <c r="A33" s="68"/>
      <c r="B33" s="87"/>
      <c r="C33" s="87"/>
      <c r="D33" s="87"/>
      <c r="E33" s="68"/>
      <c r="F33" s="89"/>
      <c r="G33" s="72"/>
      <c r="H33" s="73"/>
      <c r="I33" s="69"/>
      <c r="J33" s="69"/>
      <c r="K33" s="64"/>
    </row>
    <row r="34" spans="1:11" ht="97.75" customHeight="1" thickBot="1">
      <c r="A34" s="68"/>
      <c r="B34" s="87"/>
      <c r="C34" s="87"/>
      <c r="D34" s="87"/>
      <c r="E34" s="68"/>
      <c r="F34" s="89"/>
      <c r="G34" s="72"/>
      <c r="H34" s="73"/>
      <c r="I34" s="69"/>
      <c r="J34" s="69"/>
      <c r="K34" s="64"/>
    </row>
    <row r="35" spans="1:11" ht="36" customHeight="1" thickTop="1">
      <c r="A35" s="68"/>
      <c r="B35" s="179" t="s">
        <v>206</v>
      </c>
      <c r="C35" s="180"/>
      <c r="D35" s="180"/>
      <c r="E35" s="180"/>
      <c r="F35" s="180"/>
      <c r="G35" s="180"/>
      <c r="H35" s="180"/>
      <c r="I35" s="181"/>
      <c r="J35" s="69"/>
      <c r="K35" s="64"/>
    </row>
    <row r="36" spans="1:11" ht="18" customHeight="1">
      <c r="A36" s="68"/>
      <c r="B36" s="182"/>
      <c r="C36" s="183"/>
      <c r="D36" s="183"/>
      <c r="E36" s="183"/>
      <c r="F36" s="183"/>
      <c r="G36" s="183"/>
      <c r="H36" s="183"/>
      <c r="I36" s="184"/>
      <c r="J36" s="69"/>
      <c r="K36" s="64"/>
    </row>
    <row r="37" spans="1:11" ht="18" customHeight="1">
      <c r="A37" s="68"/>
      <c r="B37" s="182"/>
      <c r="C37" s="183"/>
      <c r="D37" s="183"/>
      <c r="E37" s="183"/>
      <c r="F37" s="183"/>
      <c r="G37" s="183"/>
      <c r="H37" s="183"/>
      <c r="I37" s="184"/>
      <c r="J37" s="69"/>
      <c r="K37" s="64"/>
    </row>
    <row r="38" spans="1:11" ht="18" customHeight="1">
      <c r="A38" s="68"/>
      <c r="B38" s="182"/>
      <c r="C38" s="183"/>
      <c r="D38" s="183"/>
      <c r="E38" s="183"/>
      <c r="F38" s="183"/>
      <c r="G38" s="183"/>
      <c r="H38" s="183"/>
      <c r="I38" s="184"/>
      <c r="J38" s="69"/>
      <c r="K38" s="64"/>
    </row>
    <row r="39" spans="1:11" ht="18" customHeight="1">
      <c r="A39" s="68"/>
      <c r="B39" s="182"/>
      <c r="C39" s="183"/>
      <c r="D39" s="183"/>
      <c r="E39" s="183"/>
      <c r="F39" s="183"/>
      <c r="G39" s="183"/>
      <c r="H39" s="183"/>
      <c r="I39" s="184"/>
      <c r="J39" s="114"/>
      <c r="K39" s="64"/>
    </row>
    <row r="40" spans="1:11" ht="18" customHeight="1">
      <c r="A40" s="68"/>
      <c r="B40" s="182"/>
      <c r="C40" s="183"/>
      <c r="D40" s="183"/>
      <c r="E40" s="183"/>
      <c r="F40" s="183"/>
      <c r="G40" s="183"/>
      <c r="H40" s="183"/>
      <c r="I40" s="184"/>
      <c r="J40" s="114"/>
      <c r="K40" s="64"/>
    </row>
    <row r="41" spans="1:11" ht="18" customHeight="1">
      <c r="A41" s="68"/>
      <c r="B41" s="182"/>
      <c r="C41" s="183"/>
      <c r="D41" s="183"/>
      <c r="E41" s="183"/>
      <c r="F41" s="183"/>
      <c r="G41" s="183"/>
      <c r="H41" s="183"/>
      <c r="I41" s="184"/>
      <c r="J41" s="114"/>
      <c r="K41" s="64"/>
    </row>
    <row r="42" spans="1:11" ht="18" customHeight="1">
      <c r="A42" s="68"/>
      <c r="B42" s="182"/>
      <c r="C42" s="183"/>
      <c r="D42" s="183"/>
      <c r="E42" s="183"/>
      <c r="F42" s="183"/>
      <c r="G42" s="183"/>
      <c r="H42" s="183"/>
      <c r="I42" s="184"/>
      <c r="J42" s="114"/>
      <c r="K42" s="64"/>
    </row>
    <row r="43" spans="1:11" ht="18" customHeight="1">
      <c r="A43" s="6"/>
      <c r="B43" s="182"/>
      <c r="C43" s="183"/>
      <c r="D43" s="183"/>
      <c r="E43" s="183"/>
      <c r="F43" s="183"/>
      <c r="G43" s="183"/>
      <c r="H43" s="183"/>
      <c r="I43" s="184"/>
      <c r="J43" s="7"/>
      <c r="K43" s="62"/>
    </row>
    <row r="44" spans="1:11" ht="18" customHeight="1" thickBot="1">
      <c r="A44" s="6"/>
      <c r="B44" s="185"/>
      <c r="C44" s="186"/>
      <c r="D44" s="186"/>
      <c r="E44" s="186"/>
      <c r="F44" s="186"/>
      <c r="G44" s="186"/>
      <c r="H44" s="186"/>
      <c r="I44" s="187"/>
      <c r="J44" s="7"/>
      <c r="K44" s="62"/>
    </row>
    <row r="45" spans="1:11" ht="15" customHeight="1" thickTop="1">
      <c r="A45" s="6"/>
      <c r="B45" s="103"/>
      <c r="C45" s="103"/>
      <c r="D45" s="103"/>
      <c r="E45" s="103"/>
      <c r="F45" s="103"/>
      <c r="G45" s="103"/>
      <c r="H45" s="103"/>
      <c r="I45" s="103"/>
      <c r="J45" s="7"/>
      <c r="K45" s="62"/>
    </row>
    <row r="46" spans="1:11" ht="18" customHeight="1">
      <c r="A46" s="6"/>
      <c r="B46" s="101"/>
      <c r="C46" s="101"/>
      <c r="D46" s="101"/>
      <c r="E46" s="60"/>
      <c r="F46" s="102"/>
      <c r="G46" s="103"/>
      <c r="H46" s="103"/>
      <c r="I46" s="103"/>
      <c r="J46" s="14"/>
      <c r="K46" s="62"/>
    </row>
    <row r="47" spans="1:11" ht="15.9">
      <c r="A47" s="6"/>
      <c r="B47" s="101"/>
      <c r="C47" s="101"/>
      <c r="D47" s="101"/>
      <c r="E47" s="60"/>
      <c r="F47" s="102"/>
      <c r="G47" s="103"/>
      <c r="H47" s="103"/>
      <c r="I47" s="103"/>
      <c r="J47" s="14"/>
      <c r="K47" s="62"/>
    </row>
    <row r="48" spans="1:11">
      <c r="B48" s="60"/>
      <c r="C48" s="60"/>
      <c r="D48" s="60"/>
      <c r="E48" s="60"/>
      <c r="F48" s="60"/>
      <c r="G48" s="60"/>
      <c r="H48" s="60"/>
      <c r="I48" s="60"/>
    </row>
    <row r="49" spans="1:11" ht="15.9">
      <c r="A49" s="6"/>
      <c r="B49" s="101"/>
      <c r="C49" s="101"/>
      <c r="D49" s="101"/>
      <c r="E49" s="60"/>
      <c r="F49" s="102"/>
      <c r="G49" s="103"/>
      <c r="H49" s="103"/>
      <c r="I49" s="103"/>
      <c r="J49" s="14"/>
      <c r="K49" s="62"/>
    </row>
    <row r="50" spans="1:11" ht="15" customHeight="1">
      <c r="A50" s="6"/>
      <c r="B50" s="101"/>
      <c r="C50" s="101"/>
      <c r="D50" s="101"/>
      <c r="E50" s="60"/>
      <c r="F50" s="101"/>
      <c r="G50" s="104"/>
      <c r="H50" s="103"/>
      <c r="I50" s="103"/>
      <c r="J50" s="14"/>
      <c r="K50" s="62"/>
    </row>
    <row r="51" spans="1:11" ht="15" customHeight="1">
      <c r="A51" s="6"/>
      <c r="B51" s="23"/>
      <c r="C51" s="23"/>
      <c r="D51" s="23"/>
      <c r="E51" s="1"/>
      <c r="F51" s="23"/>
      <c r="G51" s="15"/>
      <c r="H51" s="7"/>
      <c r="I51" s="7"/>
      <c r="J51" s="14"/>
      <c r="K51" s="62"/>
    </row>
    <row r="52" spans="1:11" ht="24" customHeight="1">
      <c r="A52" s="6"/>
      <c r="B52" s="188" t="s">
        <v>142</v>
      </c>
      <c r="C52" s="188"/>
      <c r="D52" s="188"/>
      <c r="E52" s="188"/>
      <c r="F52" s="122"/>
      <c r="G52" s="123"/>
      <c r="H52" s="69"/>
      <c r="I52" s="69"/>
      <c r="J52" s="115"/>
      <c r="K52" s="62"/>
    </row>
    <row r="53" spans="1:11" ht="24" customHeight="1">
      <c r="A53" s="6"/>
      <c r="B53" s="189"/>
      <c r="C53" s="189"/>
      <c r="D53" s="189"/>
      <c r="E53" s="189"/>
      <c r="F53" s="88"/>
      <c r="G53" s="88"/>
      <c r="H53" s="86"/>
      <c r="I53" s="86"/>
      <c r="J53" s="86"/>
      <c r="K53" s="97"/>
    </row>
    <row r="54" spans="1:11" ht="24" customHeight="1">
      <c r="A54" s="6"/>
      <c r="B54" s="106">
        <f>'Master Input'!B154</f>
        <v>0</v>
      </c>
      <c r="C54" s="107" t="s">
        <v>133</v>
      </c>
      <c r="D54" s="59"/>
      <c r="E54" s="83"/>
      <c r="F54" s="93"/>
      <c r="G54" s="94"/>
      <c r="H54" s="176"/>
      <c r="I54" s="176"/>
      <c r="J54" s="176"/>
      <c r="K54" s="61"/>
    </row>
    <row r="55" spans="1:11" ht="24" customHeight="1">
      <c r="A55" s="6"/>
      <c r="B55" s="129">
        <f>'Master Input'!B155</f>
        <v>20</v>
      </c>
      <c r="C55" s="69" t="s">
        <v>134</v>
      </c>
      <c r="D55" s="1"/>
      <c r="E55" s="80"/>
      <c r="F55" s="93"/>
      <c r="G55" s="93"/>
      <c r="H55" s="94"/>
      <c r="I55" s="94"/>
      <c r="J55" s="94"/>
      <c r="K55" s="61"/>
    </row>
    <row r="56" spans="1:11" ht="24" customHeight="1">
      <c r="A56" s="6"/>
      <c r="B56" s="155">
        <f>'Master Input'!B156</f>
        <v>40</v>
      </c>
      <c r="C56" s="82" t="s">
        <v>210</v>
      </c>
      <c r="D56" s="59"/>
      <c r="E56" s="83"/>
      <c r="F56" s="94"/>
      <c r="G56" s="93"/>
      <c r="H56" s="94"/>
      <c r="I56" s="94"/>
      <c r="J56" s="94"/>
      <c r="K56" s="61"/>
    </row>
    <row r="57" spans="1:11" ht="24" customHeight="1">
      <c r="A57" s="6"/>
      <c r="B57" s="130">
        <f>'Master Input'!B161</f>
        <v>0.1</v>
      </c>
      <c r="C57" s="69" t="s">
        <v>148</v>
      </c>
      <c r="D57" s="1"/>
      <c r="E57" s="77"/>
      <c r="F57" s="94"/>
      <c r="G57" s="93"/>
      <c r="H57" s="94"/>
      <c r="I57" s="94"/>
      <c r="J57" s="94"/>
      <c r="K57" s="61"/>
    </row>
    <row r="58" spans="1:11" ht="24" customHeight="1">
      <c r="A58" s="6"/>
      <c r="B58" s="108">
        <f>'Master Input'!B157</f>
        <v>0.14000000000000001</v>
      </c>
      <c r="C58" s="81" t="s">
        <v>189</v>
      </c>
      <c r="D58" s="59"/>
      <c r="E58" s="83"/>
      <c r="F58" s="94"/>
      <c r="G58" s="93"/>
      <c r="H58" s="94"/>
      <c r="I58" s="94"/>
      <c r="J58" s="94"/>
      <c r="K58" s="61"/>
    </row>
    <row r="59" spans="1:11" ht="24" customHeight="1">
      <c r="A59" s="6"/>
      <c r="B59" s="118">
        <f>'Master Input'!B158</f>
        <v>1.5</v>
      </c>
      <c r="C59" s="69" t="s">
        <v>143</v>
      </c>
      <c r="D59" s="1"/>
      <c r="E59" s="1"/>
      <c r="F59" s="1"/>
      <c r="G59" s="1"/>
      <c r="H59" s="94"/>
      <c r="I59" s="94"/>
      <c r="J59" s="94"/>
      <c r="K59" s="61"/>
    </row>
    <row r="60" spans="1:11" ht="15" customHeight="1">
      <c r="A60" s="6"/>
      <c r="B60" s="1"/>
      <c r="C60" s="1"/>
      <c r="D60" s="1"/>
      <c r="E60" s="1"/>
      <c r="F60" s="1"/>
      <c r="G60" s="1"/>
      <c r="H60" s="1"/>
      <c r="I60" s="94"/>
      <c r="J60" s="94"/>
      <c r="K60" s="61"/>
    </row>
    <row r="61" spans="1:11" ht="18" customHeight="1">
      <c r="F61" s="1"/>
      <c r="G61" s="1"/>
      <c r="H61" s="94"/>
      <c r="I61" s="86"/>
      <c r="J61" s="86"/>
      <c r="K61" s="61"/>
    </row>
    <row r="62" spans="1:11" ht="18" customHeight="1">
      <c r="F62" s="94"/>
      <c r="G62" s="93"/>
      <c r="H62" s="86"/>
      <c r="I62" s="93"/>
      <c r="J62" s="93"/>
      <c r="K62" s="61"/>
    </row>
    <row r="63" spans="1:11" ht="22.4" customHeight="1">
      <c r="C63" s="121" t="s">
        <v>191</v>
      </c>
      <c r="D63" s="109"/>
      <c r="E63" s="120"/>
      <c r="F63" s="86"/>
      <c r="G63" s="86"/>
      <c r="H63" s="93"/>
      <c r="I63" s="90"/>
      <c r="J63" s="87"/>
      <c r="K63" s="61"/>
    </row>
    <row r="64" spans="1:11" ht="21.45" customHeight="1">
      <c r="C64" s="81" t="s">
        <v>144</v>
      </c>
      <c r="D64" s="110">
        <v>0.24</v>
      </c>
      <c r="E64" s="116"/>
      <c r="F64" s="93"/>
      <c r="G64" s="93"/>
      <c r="H64" s="90"/>
      <c r="I64" s="90"/>
      <c r="J64" s="87"/>
      <c r="K64" s="61"/>
    </row>
    <row r="65" spans="1:11" ht="24" customHeight="1">
      <c r="C65" s="77" t="s">
        <v>145</v>
      </c>
      <c r="D65" s="95">
        <v>0.56000000000000005</v>
      </c>
      <c r="E65" s="116"/>
      <c r="F65" s="119"/>
      <c r="G65" s="119"/>
      <c r="H65" s="90"/>
      <c r="I65" s="117"/>
      <c r="J65" s="87"/>
      <c r="K65" s="61"/>
    </row>
    <row r="66" spans="1:11" ht="24" customHeight="1">
      <c r="C66" s="83" t="s">
        <v>146</v>
      </c>
      <c r="D66" s="111">
        <v>0.17</v>
      </c>
      <c r="E66" s="116"/>
      <c r="F66" s="71"/>
      <c r="G66" s="71"/>
      <c r="H66" s="117"/>
      <c r="I66" s="69"/>
      <c r="J66" s="87"/>
      <c r="K66" s="62"/>
    </row>
    <row r="67" spans="1:11" ht="24" customHeight="1">
      <c r="C67" s="77" t="s">
        <v>147</v>
      </c>
      <c r="D67" s="95">
        <v>0.03</v>
      </c>
      <c r="E67" s="116"/>
      <c r="F67" s="119"/>
      <c r="G67" s="117"/>
      <c r="H67" s="69"/>
      <c r="I67" s="69"/>
      <c r="J67" s="87"/>
      <c r="K67" s="63"/>
    </row>
    <row r="68" spans="1:11" ht="24" customHeight="1">
      <c r="F68" s="69"/>
      <c r="G68" s="69"/>
      <c r="H68" s="69"/>
      <c r="I68" s="69"/>
      <c r="J68" s="87"/>
      <c r="K68" s="63"/>
    </row>
    <row r="69" spans="1:11" ht="24" customHeight="1">
      <c r="F69" s="69"/>
      <c r="G69" s="69"/>
      <c r="H69" s="69"/>
      <c r="I69" s="69"/>
      <c r="J69" s="87"/>
      <c r="K69" s="63"/>
    </row>
    <row r="70" spans="1:11" ht="24" customHeight="1">
      <c r="A70" s="6"/>
      <c r="B70" s="190" t="s">
        <v>129</v>
      </c>
      <c r="C70" s="190"/>
      <c r="D70" s="190"/>
      <c r="E70" s="190"/>
      <c r="F70" s="117"/>
      <c r="G70" s="117"/>
      <c r="H70" s="117"/>
      <c r="I70" s="69"/>
      <c r="J70" s="69"/>
      <c r="K70" s="61"/>
    </row>
    <row r="71" spans="1:11" ht="22" customHeight="1">
      <c r="A71" s="6"/>
      <c r="B71" s="190"/>
      <c r="C71" s="190"/>
      <c r="D71" s="190"/>
      <c r="E71" s="190"/>
      <c r="F71" s="117"/>
      <c r="G71" s="117"/>
      <c r="H71" s="117"/>
      <c r="I71" s="113"/>
      <c r="J71" s="113"/>
    </row>
    <row r="72" spans="1:11" ht="11.15" customHeight="1">
      <c r="A72" s="6"/>
      <c r="B72" s="190"/>
      <c r="C72" s="190"/>
      <c r="D72" s="190"/>
      <c r="E72" s="190"/>
      <c r="F72" s="117"/>
      <c r="G72" s="117"/>
      <c r="H72" s="117"/>
      <c r="I72" s="113"/>
      <c r="J72" s="113"/>
    </row>
    <row r="73" spans="1:11" ht="33" customHeight="1">
      <c r="A73" s="6"/>
      <c r="B73" s="191"/>
      <c r="C73" s="191"/>
      <c r="D73" s="191"/>
      <c r="E73" s="191"/>
      <c r="F73" s="117"/>
      <c r="G73" s="113"/>
      <c r="H73" s="113"/>
      <c r="I73" s="113"/>
      <c r="J73" s="113"/>
    </row>
    <row r="74" spans="1:11" ht="26.15" customHeight="1">
      <c r="A74" s="6"/>
      <c r="B74" s="132">
        <f>'Master Input'!B163</f>
        <v>1722500</v>
      </c>
      <c r="C74" s="133" t="s">
        <v>131</v>
      </c>
      <c r="D74" s="134"/>
      <c r="E74" s="135"/>
      <c r="F74" s="84"/>
      <c r="G74" s="113"/>
      <c r="H74" s="113"/>
      <c r="I74" s="113"/>
      <c r="J74" s="113"/>
    </row>
    <row r="75" spans="1:11" ht="24" customHeight="1">
      <c r="A75" s="6"/>
      <c r="B75" s="136">
        <f>'Master Input'!B164</f>
        <v>516750</v>
      </c>
      <c r="C75" s="74" t="s">
        <v>130</v>
      </c>
      <c r="D75" s="137"/>
      <c r="E75" s="138"/>
      <c r="F75" s="117"/>
      <c r="G75" s="113"/>
      <c r="H75" s="113"/>
      <c r="I75" s="113"/>
      <c r="J75" s="113"/>
    </row>
    <row r="76" spans="1:11" ht="24" customHeight="1">
      <c r="A76" s="6"/>
      <c r="B76" s="139">
        <f>'Master Input'!B165</f>
        <v>1205750</v>
      </c>
      <c r="C76" s="133" t="s">
        <v>132</v>
      </c>
      <c r="D76" s="134"/>
      <c r="E76" s="135"/>
      <c r="F76" s="84"/>
      <c r="G76" s="113"/>
      <c r="H76" s="113"/>
      <c r="I76" s="113"/>
      <c r="J76" s="113"/>
    </row>
    <row r="77" spans="1:11" ht="24" customHeight="1">
      <c r="A77" s="6"/>
      <c r="B77" s="140">
        <f>'Master Input'!B167</f>
        <v>6.0431278854040507</v>
      </c>
      <c r="C77" s="141" t="s">
        <v>179</v>
      </c>
      <c r="D77" s="137"/>
      <c r="E77" s="142"/>
      <c r="F77" s="117"/>
      <c r="G77" s="113"/>
      <c r="H77" s="113"/>
      <c r="I77" s="113"/>
      <c r="J77" s="113"/>
    </row>
    <row r="78" spans="1:11" ht="24" customHeight="1">
      <c r="A78" s="6"/>
      <c r="B78" s="143">
        <f>'EV Input'!C16</f>
        <v>20000</v>
      </c>
      <c r="C78" s="144" t="s">
        <v>140</v>
      </c>
      <c r="D78" s="134"/>
      <c r="E78" s="145"/>
      <c r="F78" s="84"/>
      <c r="G78" s="113"/>
      <c r="H78" s="113"/>
      <c r="I78" s="113"/>
      <c r="J78" s="113"/>
    </row>
    <row r="79" spans="1:11" ht="24" customHeight="1">
      <c r="A79" s="6"/>
      <c r="B79" s="143">
        <f>'EV Input'!E12</f>
        <v>152269</v>
      </c>
      <c r="C79" s="144" t="s">
        <v>218</v>
      </c>
      <c r="D79" s="134"/>
      <c r="E79" s="145"/>
      <c r="F79" s="84"/>
      <c r="G79" s="113"/>
      <c r="H79" s="113"/>
      <c r="I79" s="113"/>
      <c r="J79" s="113"/>
    </row>
    <row r="80" spans="1:11" ht="15" customHeight="1">
      <c r="A80" s="6"/>
      <c r="B80" s="146">
        <f>'Master Input'!G154</f>
        <v>19356</v>
      </c>
      <c r="C80" s="141" t="s">
        <v>141</v>
      </c>
      <c r="D80" s="137"/>
      <c r="E80" s="142"/>
      <c r="J80" s="113"/>
    </row>
    <row r="81" spans="1:11" ht="24" customHeight="1">
      <c r="A81" s="6"/>
      <c r="B81" s="143">
        <f>'Master Input'!O155</f>
        <v>997620.78750000009</v>
      </c>
      <c r="C81" s="144" t="s">
        <v>182</v>
      </c>
      <c r="D81" s="134"/>
      <c r="E81" s="145"/>
      <c r="F81" s="59"/>
      <c r="J81" s="113"/>
    </row>
    <row r="82" spans="1:11" ht="24" customHeight="1">
      <c r="A82" s="6"/>
      <c r="B82" s="136">
        <f>'Master Input'!B168</f>
        <v>241150</v>
      </c>
      <c r="C82" s="147" t="s">
        <v>183</v>
      </c>
      <c r="D82" s="137"/>
      <c r="E82" s="148"/>
      <c r="J82" s="113"/>
    </row>
    <row r="83" spans="1:11" ht="24" customHeight="1">
      <c r="A83" s="6"/>
      <c r="B83" s="149">
        <f>'Master Input'!B169</f>
        <v>344500</v>
      </c>
      <c r="C83" s="150" t="s">
        <v>67</v>
      </c>
      <c r="D83" s="134"/>
      <c r="E83" s="151"/>
      <c r="F83" s="59"/>
      <c r="J83" s="113"/>
    </row>
    <row r="84" spans="1:11" ht="24" customHeight="1">
      <c r="A84" s="6"/>
      <c r="B84" s="140">
        <f>'Master Input'!B170</f>
        <v>289.68253968253964</v>
      </c>
      <c r="C84" s="192" t="s">
        <v>188</v>
      </c>
      <c r="D84" s="192"/>
      <c r="E84" s="192"/>
      <c r="J84" s="113"/>
      <c r="K84" s="61"/>
    </row>
    <row r="85" spans="1:11" ht="17.600000000000001">
      <c r="A85" s="6"/>
      <c r="B85" s="142"/>
      <c r="C85" s="192"/>
      <c r="D85" s="192"/>
      <c r="E85" s="192"/>
      <c r="F85" s="64"/>
      <c r="G85" s="64"/>
      <c r="H85" s="64"/>
      <c r="I85" s="64"/>
      <c r="J85" s="68"/>
      <c r="K85" s="61"/>
    </row>
    <row r="86" spans="1:11" ht="21.45" customHeight="1">
      <c r="A86" s="6"/>
      <c r="B86" s="64"/>
      <c r="C86" s="66"/>
      <c r="D86" s="66"/>
      <c r="E86" s="194"/>
      <c r="F86" s="194"/>
      <c r="G86" s="64"/>
      <c r="H86" s="64"/>
      <c r="I86" s="64"/>
      <c r="J86" s="68"/>
      <c r="K86" s="61"/>
    </row>
    <row r="87" spans="1:11" ht="15.45">
      <c r="A87" s="6"/>
      <c r="B87" s="64"/>
      <c r="C87" s="66"/>
      <c r="D87" s="66"/>
      <c r="E87" s="67"/>
      <c r="F87" s="64"/>
      <c r="G87" s="64"/>
      <c r="H87" s="64"/>
      <c r="I87" s="64"/>
      <c r="J87" s="68"/>
      <c r="K87" s="61"/>
    </row>
    <row r="88" spans="1:11" ht="171" customHeight="1">
      <c r="A88" s="6"/>
      <c r="B88" s="69"/>
      <c r="C88" s="69"/>
      <c r="D88" s="69"/>
      <c r="E88" s="69"/>
      <c r="F88" s="69"/>
      <c r="G88" s="113"/>
      <c r="H88" s="113"/>
      <c r="I88" s="113"/>
      <c r="J88" s="68"/>
      <c r="K88" s="61"/>
    </row>
    <row r="89" spans="1:11" ht="19.399999999999999" customHeight="1">
      <c r="A89" s="6"/>
      <c r="B89" s="193" t="s">
        <v>208</v>
      </c>
      <c r="C89" s="193"/>
      <c r="D89" s="193"/>
      <c r="E89" s="193"/>
      <c r="F89" s="193"/>
      <c r="G89" s="193"/>
      <c r="H89" s="193"/>
      <c r="I89" s="193"/>
      <c r="J89" s="193"/>
      <c r="K89" s="61"/>
    </row>
    <row r="90" spans="1:11" ht="8.6999999999999993" customHeight="1">
      <c r="A90" s="6"/>
      <c r="B90" s="60"/>
      <c r="C90" s="60"/>
      <c r="D90" s="60"/>
      <c r="E90" s="60"/>
      <c r="F90" s="60"/>
      <c r="G90" s="60"/>
      <c r="H90" s="60"/>
      <c r="I90" s="60"/>
      <c r="J90" s="112"/>
      <c r="K90" s="61"/>
    </row>
    <row r="91" spans="1:11" s="28" customFormat="1" ht="20.149999999999999">
      <c r="A91" s="152"/>
      <c r="B91" s="177" t="s">
        <v>204</v>
      </c>
      <c r="C91" s="178"/>
      <c r="D91" s="178"/>
      <c r="E91" s="178"/>
      <c r="F91" s="178"/>
      <c r="G91" s="178"/>
      <c r="H91" s="178"/>
      <c r="I91" s="178"/>
      <c r="J91" s="153"/>
      <c r="K91" s="131"/>
    </row>
    <row r="92" spans="1:11" ht="17.600000000000001">
      <c r="A92" s="6"/>
      <c r="C92" s="105"/>
      <c r="D92" s="105"/>
      <c r="H92" s="85"/>
      <c r="I92" s="85"/>
      <c r="J92" s="68"/>
      <c r="K92" s="61"/>
    </row>
    <row r="93" spans="1:11">
      <c r="A93" s="6"/>
      <c r="B93" s="64"/>
      <c r="C93" s="64"/>
      <c r="D93" s="64"/>
      <c r="E93" s="64"/>
      <c r="F93" s="64"/>
      <c r="G93" s="64"/>
      <c r="H93" s="64"/>
      <c r="I93" s="64"/>
      <c r="J93" s="68"/>
      <c r="K93" s="61"/>
    </row>
    <row r="94" spans="1:11">
      <c r="A94" s="6"/>
      <c r="B94" s="64"/>
      <c r="C94" s="64"/>
      <c r="D94" s="64"/>
      <c r="E94" s="64"/>
      <c r="F94" s="64"/>
      <c r="G94" s="64"/>
      <c r="H94" s="64"/>
      <c r="I94" s="64"/>
      <c r="J94" s="68"/>
      <c r="K94" s="61"/>
    </row>
    <row r="95" spans="1:11">
      <c r="A95" s="6"/>
      <c r="B95" s="65"/>
      <c r="C95" s="65"/>
      <c r="D95" s="65"/>
      <c r="E95" s="65"/>
      <c r="F95" s="65"/>
      <c r="G95" s="65"/>
      <c r="H95" s="65"/>
      <c r="I95" s="65"/>
      <c r="J95" s="87"/>
    </row>
    <row r="96" spans="1:11">
      <c r="B96" s="65"/>
      <c r="C96" s="65"/>
      <c r="D96" s="65"/>
      <c r="E96" s="65"/>
      <c r="F96" s="65"/>
      <c r="G96" s="65"/>
      <c r="H96" s="65"/>
      <c r="I96" s="65"/>
      <c r="J96" s="87"/>
    </row>
    <row r="97" spans="2:10">
      <c r="B97" s="65"/>
      <c r="C97" s="65"/>
      <c r="D97" s="65"/>
      <c r="E97" s="65"/>
      <c r="F97" s="65"/>
      <c r="G97" s="65"/>
      <c r="H97" s="65"/>
      <c r="I97" s="65"/>
      <c r="J97" s="87"/>
    </row>
    <row r="98" spans="2:10" ht="20.149999999999999">
      <c r="B98" s="65"/>
      <c r="C98" s="65"/>
      <c r="D98" s="65"/>
      <c r="E98" s="100"/>
      <c r="F98" s="65"/>
      <c r="G98" s="65"/>
      <c r="H98" s="65"/>
      <c r="I98" s="65"/>
      <c r="J98" s="87"/>
    </row>
    <row r="99" spans="2:10">
      <c r="B99" s="65"/>
      <c r="C99" s="65"/>
      <c r="D99" s="65"/>
      <c r="E99" s="65"/>
      <c r="F99" s="65"/>
      <c r="G99" s="65"/>
      <c r="H99" s="65"/>
      <c r="I99" s="65"/>
      <c r="J99" s="87"/>
    </row>
    <row r="100" spans="2:10">
      <c r="B100" s="65"/>
      <c r="C100" s="65"/>
      <c r="D100" s="65"/>
      <c r="E100" s="65"/>
      <c r="F100" s="65"/>
      <c r="G100" s="65"/>
      <c r="H100" s="65"/>
      <c r="I100" s="65"/>
      <c r="J100" s="87"/>
    </row>
    <row r="101" spans="2:10">
      <c r="B101" s="65"/>
      <c r="C101" s="65"/>
      <c r="D101" s="65"/>
      <c r="E101" s="65"/>
      <c r="F101" s="65"/>
      <c r="G101" s="65"/>
      <c r="H101" s="65"/>
      <c r="I101" s="65"/>
      <c r="J101" s="87"/>
    </row>
    <row r="102" spans="2:10">
      <c r="B102" s="65"/>
      <c r="C102" s="65"/>
      <c r="D102" s="65"/>
      <c r="E102" s="65"/>
      <c r="F102" s="65"/>
      <c r="G102" s="65"/>
      <c r="H102" s="65"/>
      <c r="I102" s="65"/>
      <c r="J102" s="87"/>
    </row>
    <row r="103" spans="2:10" ht="15.45">
      <c r="B103" s="65"/>
      <c r="C103" s="65"/>
      <c r="D103" s="65"/>
      <c r="E103" s="175"/>
      <c r="F103" s="175"/>
      <c r="G103" s="65"/>
      <c r="H103" s="65"/>
      <c r="I103" s="65"/>
      <c r="J103" s="87"/>
    </row>
    <row r="104" spans="2:10">
      <c r="B104" s="65"/>
      <c r="C104" s="65"/>
      <c r="D104" s="65"/>
      <c r="E104" s="65"/>
      <c r="F104" s="65"/>
      <c r="G104" s="65"/>
      <c r="H104" s="65"/>
      <c r="I104" s="65"/>
      <c r="J104" s="87"/>
    </row>
    <row r="105" spans="2:10">
      <c r="B105" s="65"/>
      <c r="C105" s="65"/>
      <c r="D105" s="65"/>
      <c r="E105" s="65"/>
      <c r="F105" s="65"/>
      <c r="G105" s="65"/>
      <c r="H105" s="65"/>
      <c r="I105" s="65"/>
      <c r="J105" s="87"/>
    </row>
    <row r="106" spans="2:10">
      <c r="B106" s="65"/>
      <c r="C106" s="65"/>
      <c r="D106" s="65"/>
      <c r="E106" s="65"/>
      <c r="F106" s="65"/>
      <c r="G106" s="65"/>
      <c r="H106" s="65"/>
      <c r="I106" s="65"/>
      <c r="J106" s="87"/>
    </row>
    <row r="107" spans="2:10">
      <c r="B107" s="65"/>
      <c r="C107" s="65"/>
      <c r="D107" s="65"/>
      <c r="E107" s="65"/>
      <c r="F107" s="65"/>
      <c r="G107" s="65"/>
      <c r="H107" s="65"/>
      <c r="I107" s="65"/>
      <c r="J107" s="87"/>
    </row>
    <row r="108" spans="2:10">
      <c r="B108" s="65"/>
      <c r="C108" s="65"/>
      <c r="D108" s="65"/>
      <c r="E108" s="65"/>
      <c r="F108" s="65"/>
      <c r="G108" s="65"/>
      <c r="H108" s="65"/>
      <c r="I108" s="65"/>
      <c r="J108" s="87"/>
    </row>
    <row r="109" spans="2:10">
      <c r="B109" s="65"/>
      <c r="C109" s="65"/>
      <c r="D109" s="65"/>
      <c r="E109" s="65"/>
      <c r="F109" s="65"/>
      <c r="G109" s="65"/>
      <c r="H109" s="65"/>
      <c r="I109" s="65"/>
      <c r="J109" s="87"/>
    </row>
    <row r="110" spans="2:10">
      <c r="B110" s="65"/>
      <c r="C110" s="65"/>
      <c r="D110" s="65"/>
      <c r="E110" s="65"/>
      <c r="F110" s="65"/>
      <c r="G110" s="65"/>
      <c r="H110" s="65"/>
      <c r="I110" s="65"/>
      <c r="J110" s="87"/>
    </row>
    <row r="111" spans="2:10">
      <c r="B111" s="65"/>
      <c r="C111" s="65"/>
      <c r="D111" s="65"/>
      <c r="E111" s="65"/>
      <c r="F111" s="65"/>
      <c r="G111" s="65"/>
      <c r="H111" s="65"/>
      <c r="I111" s="65"/>
      <c r="J111" s="87"/>
    </row>
    <row r="112" spans="2:10">
      <c r="B112" s="65"/>
      <c r="C112" s="65"/>
      <c r="D112" s="65"/>
      <c r="E112" s="65"/>
      <c r="F112" s="65"/>
      <c r="G112" s="65"/>
      <c r="H112" s="65"/>
      <c r="I112" s="65"/>
      <c r="J112" s="87"/>
    </row>
    <row r="113" spans="2:10">
      <c r="B113" s="65"/>
      <c r="C113" s="65"/>
      <c r="D113" s="65"/>
      <c r="E113" s="65"/>
      <c r="F113" s="65"/>
      <c r="G113" s="65"/>
      <c r="H113" s="65"/>
      <c r="I113" s="65"/>
      <c r="J113" s="87"/>
    </row>
    <row r="114" spans="2:10">
      <c r="B114" s="65"/>
      <c r="C114" s="65"/>
      <c r="D114" s="65"/>
      <c r="E114" s="65"/>
      <c r="F114" s="65"/>
      <c r="G114" s="65"/>
      <c r="H114" s="65"/>
      <c r="I114" s="65"/>
      <c r="J114" s="87"/>
    </row>
    <row r="115" spans="2:10">
      <c r="B115" s="65"/>
      <c r="C115" s="65"/>
      <c r="D115" s="65"/>
      <c r="E115" s="65"/>
      <c r="F115" s="65"/>
      <c r="G115" s="65"/>
      <c r="H115" s="65"/>
      <c r="I115" s="65"/>
      <c r="J115" s="87"/>
    </row>
    <row r="130" spans="2:11" ht="18.45">
      <c r="D130" s="98"/>
      <c r="E130" s="99"/>
      <c r="F130" s="98"/>
    </row>
    <row r="138" spans="2:11">
      <c r="B138" s="1"/>
      <c r="C138" s="1"/>
      <c r="D138" s="1"/>
      <c r="E138" s="1"/>
      <c r="F138" s="1"/>
      <c r="G138" s="1"/>
      <c r="H138" s="1"/>
      <c r="I138" s="1"/>
      <c r="K138" s="1"/>
    </row>
    <row r="139" spans="2:11">
      <c r="B139" s="1"/>
      <c r="C139" s="1"/>
      <c r="D139" s="1"/>
      <c r="E139" s="1"/>
      <c r="F139" s="1"/>
      <c r="G139" s="1"/>
      <c r="H139" s="1"/>
      <c r="I139" s="1"/>
      <c r="K139" s="1"/>
    </row>
    <row r="140" spans="2:11" s="1" customFormat="1"/>
    <row r="141" spans="2:11">
      <c r="B141" s="1"/>
      <c r="C141" s="1"/>
      <c r="D141" s="1"/>
      <c r="E141" s="1"/>
      <c r="F141" s="1"/>
      <c r="G141" s="1"/>
      <c r="H141" s="1"/>
      <c r="I141" s="1"/>
      <c r="K141" s="1"/>
    </row>
    <row r="152" spans="1:10" s="49" customFormat="1">
      <c r="A152" s="1"/>
      <c r="J152" s="1"/>
    </row>
    <row r="154" spans="1:10">
      <c r="A154" s="1" t="s">
        <v>149</v>
      </c>
      <c r="C154" t="s">
        <v>157</v>
      </c>
      <c r="D154" t="s">
        <v>156</v>
      </c>
      <c r="E154" t="s">
        <v>158</v>
      </c>
    </row>
    <row r="155" spans="1:10">
      <c r="B155">
        <v>2</v>
      </c>
    </row>
    <row r="156" spans="1:10">
      <c r="A156" s="1" t="s">
        <v>150</v>
      </c>
      <c r="B156">
        <v>1</v>
      </c>
      <c r="C156">
        <v>62.5</v>
      </c>
      <c r="D156">
        <f>B156*C156*24*B157</f>
        <v>1500</v>
      </c>
      <c r="E156" s="53">
        <f>B158*B159*D156</f>
        <v>127.50000000000001</v>
      </c>
    </row>
    <row r="157" spans="1:10">
      <c r="A157" s="1" t="s">
        <v>151</v>
      </c>
      <c r="B157" s="51">
        <v>1</v>
      </c>
    </row>
    <row r="158" spans="1:10">
      <c r="A158" s="1" t="s">
        <v>152</v>
      </c>
      <c r="B158">
        <v>0.17</v>
      </c>
    </row>
    <row r="159" spans="1:10">
      <c r="A159" s="1" t="s">
        <v>153</v>
      </c>
      <c r="B159" s="51">
        <v>0.5</v>
      </c>
    </row>
    <row r="160" spans="1:10">
      <c r="A160" s="1" t="s">
        <v>154</v>
      </c>
      <c r="B160" s="51">
        <v>0.04</v>
      </c>
    </row>
    <row r="161" spans="1:1">
      <c r="A161" s="1" t="s">
        <v>155</v>
      </c>
    </row>
  </sheetData>
  <sheetProtection algorithmName="SHA-512" hashValue="cqqyluGwFeWuvV3bRmTd+4A/sXnuLZWatNx10MkT7y8OOUrCDfUtIy+lOfNxWCYOy8pR+DMhycMFdcan7FIMmA==" saltValue="JTnW9N92uhehgA/XAExGEw==" spinCount="100000" sheet="1" selectLockedCells="1"/>
  <mergeCells count="9">
    <mergeCell ref="E103:F103"/>
    <mergeCell ref="H54:J54"/>
    <mergeCell ref="B91:I91"/>
    <mergeCell ref="B35:I44"/>
    <mergeCell ref="B52:E53"/>
    <mergeCell ref="B70:E73"/>
    <mergeCell ref="C84:E85"/>
    <mergeCell ref="B89:J89"/>
    <mergeCell ref="E86:F86"/>
  </mergeCells>
  <hyperlinks>
    <hyperlink ref="B91" r:id="rId1" xr:uid="{70881433-5615-411E-A030-99888335023A}"/>
  </hyperlinks>
  <pageMargins left="0.25" right="0.25" top="0.75" bottom="0.75" header="0.3" footer="0.3"/>
  <pageSetup fitToHeight="6" orientation="portrait" r:id="rId2"/>
  <rowBreaks count="2" manualBreakCount="2">
    <brk id="33" max="16383" man="1"/>
    <brk id="55" min="1" max="9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M D A A B Q S w M E F A A C A A g A q x A r U 4 c g v y S k A A A A 9 Q A A A B I A H A B D b 2 5 m a W c v U G F j a 2 F n Z S 5 4 b W w g o h g A K K A U A A A A A A A A A A A A A A A A A A A A A A A A A A A A h Y + x D o I w G I R f h X S n r d U Y J D 9 l c J X E h G h c m 1 K h E Y q h x f J u D j 6 S r y B G U T f H + + 4 u u b t f b 5 A O T R 1 c V G d 1 a x I 0 w x Q F y s i 2 0 K Z M U O + O Y Y R S D l s h T 6 J U w R g 2 N h 6 s T l D l 3 D k m x H u P / R y 3 X U k Y p T N y y D a 5 r F Q j Q m 2 s E 0 Y q 9 G k V / 1 u I w / 4 1 h j O 8 W u J o w T A F M j H I t P n 6 b J z 7 d H 8 g r P v a 9 Z 3 i y o S 7 H M g k g b w v 8 A d Q S w M E F A A C A A g A q x A r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Q K 1 P Q F V k 8 n Q A A A N Y A A A A T A B w A R m 9 y b X V s Y X M v U 2 V j d G l v b j E u b S C i G A A o o B Q A A A A A A A A A A A A A A A A A A A A A A A A A A A B t j T 0 L g z A Q h v d A / k N I F w s i S E d x C l 2 7 K H Q Q h 2 i v V Y y 5 c o l g E f 9 7 Y 7 P 2 X Q 7 e j + c c 9 H 5 E K 6 p 4 8 4 I z z t y g C R 6 i 1 p 2 B i y i F A c + Z C K p w o R 6 C c 1 1 7 M J l a i M D 6 O 9 L U I U 7 J e W t u e o Z S x q V s 9 0 a h 9 a H S p h F w k m r Q 9 n X A P 2 + Q g f S r Z j V p 6 5 5 I s 0 K z z P Y I X R K / p d s m o 5 v L V P i Q C A + r 3 / c z Z 6 P 9 i y 2 + U E s B A i 0 A F A A C A A g A q x A r U 4 c g v y S k A A A A 9 Q A A A B I A A A A A A A A A A A A A A A A A A A A A A E N v b m Z p Z y 9 Q Y W N r Y W d l L n h t b F B L A Q I t A B Q A A g A I A K s Q K 1 M P y u m r p A A A A O k A A A A T A A A A A A A A A A A A A A A A A P A A A A B b Q 2 9 u d G V u d F 9 U e X B l c 1 0 u e G 1 s U E s B A i 0 A F A A C A A g A q x A r U 9 A V W T y d A A A A 1 g A A A B M A A A A A A A A A A A A A A A A A 4 Q E A A E Z v c m 1 1 b G F z L 1 N l Y 3 R p b 2 4 x L m 1 Q S w U G A A A A A A M A A w D C A A A A y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4 L T I 5 V D A x O j U 3 O j A 4 L j Y 3 N z M y M z B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z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z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8 P q i a c H d 9 0 S X D s t r l F F r / g A A A A A C A A A A A A A Q Z g A A A A E A A C A A A A A 3 O g C h 1 m C y 9 X a O 3 + n W 3 U V 5 v 6 V a z a C E s Z S b D a C O g p P L h g A A A A A O g A A A A A I A A C A A A A D 3 t x O U N d D 0 h B A J Y A 3 F 9 A 7 0 O e y D A z s C 1 / i O w E C o O 4 g Y G l A A A A A q K J z M 8 d j h u c / v 9 Q B 7 o 1 l j d 4 n J G s C 9 T p P z V 2 A C V t C 3 v D k + 0 v 5 k x P O p K 5 v f x K n b s 8 h H F r p k 1 K 1 m b 4 b 3 m I 3 Y r K v B L B 1 v 7 / z f H s 5 B + G O l F B w 3 8 0 A A A A A 9 J B T 7 I Q 0 V w n Q I J G Z A x 8 Q u 4 w f M u e W A i s B x O 3 W I F d Q g b 4 y F 8 + W Y v C O w b J Y 1 n 7 B G 2 W M 7 B / a 7 S 3 k t a J Y D 9 o X f 6 d K b < / D a t a M a s h u p > 
</file>

<file path=customXml/itemProps1.xml><?xml version="1.0" encoding="utf-8"?>
<ds:datastoreItem xmlns:ds="http://schemas.openxmlformats.org/officeDocument/2006/customXml" ds:itemID="{74FD3B23-E4A1-421D-BF15-88F060C83BD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Master Input</vt:lpstr>
      <vt:lpstr>EV Input</vt:lpstr>
      <vt:lpstr>EV Charging Stations</vt:lpstr>
      <vt:lpstr>'EV Charging Stations'!Print_Area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Antheil</dc:creator>
  <cp:lastModifiedBy>Mike Antheil</cp:lastModifiedBy>
  <cp:lastPrinted>2024-07-31T17:40:41Z</cp:lastPrinted>
  <dcterms:created xsi:type="dcterms:W3CDTF">2020-12-11T03:29:00Z</dcterms:created>
  <dcterms:modified xsi:type="dcterms:W3CDTF">2024-07-31T17:41:06Z</dcterms:modified>
</cp:coreProperties>
</file>