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etorgft13563430-my.sharepoint.com/personal/general_honeycuttsolutions_com1/Documents/1 - Honeycutt/General/Marketing/"/>
    </mc:Choice>
  </mc:AlternateContent>
  <xr:revisionPtr revIDLastSave="11" documentId="13_ncr:1_{65668740-4F7F-42FE-8256-68B63151A5F4}" xr6:coauthVersionLast="47" xr6:coauthVersionMax="47" xr10:uidLastSave="{799FE5F8-B4F6-4108-9BAE-2E2D4F188FBB}"/>
  <bookViews>
    <workbookView xWindow="-108" yWindow="-108" windowWidth="23256" windowHeight="12456" activeTab="1" xr2:uid="{1495101C-733C-4B6B-9BCD-7FC8399277C2}"/>
  </bookViews>
  <sheets>
    <sheet name="Disclaimer" sheetId="9" r:id="rId1"/>
    <sheet name="DOI Summary" sheetId="1" r:id="rId2"/>
    <sheet name="Tracts" sheetId="3" r:id="rId3"/>
    <sheet name="Wells" sheetId="4" r:id="rId4"/>
    <sheet name="Title" sheetId="6" r:id="rId5"/>
    <sheet name="Owner Details" sheetId="7" r:id="rId6"/>
    <sheet name="Leases&amp;Contracts" sheetId="5" r:id="rId7"/>
    <sheet name="Suspense" sheetId="8" r:id="rId8"/>
  </sheets>
  <definedNames>
    <definedName name="_xlnm._FilterDatabase" localSheetId="1" hidden="1">'DOI Summary'!$A$1:$X$41</definedName>
    <definedName name="_xlnm.Print_Area" localSheetId="1">'DOI Summary'!$A$1:$W$42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 i="1" l="1"/>
  <c r="U15" i="1"/>
  <c r="K13" i="1"/>
  <c r="K15" i="1"/>
  <c r="K16" i="1"/>
  <c r="U16" i="1"/>
  <c r="K14" i="1"/>
  <c r="U8" i="1"/>
  <c r="U7" i="1"/>
  <c r="M35" i="1"/>
  <c r="M34" i="1"/>
  <c r="M33" i="1"/>
  <c r="M32" i="1"/>
  <c r="M31" i="1"/>
  <c r="M29" i="1"/>
  <c r="M28" i="1"/>
  <c r="M27" i="1"/>
  <c r="M26" i="1"/>
  <c r="M25" i="1"/>
  <c r="M24" i="1"/>
  <c r="M23" i="1"/>
  <c r="M22" i="1"/>
  <c r="M18" i="1"/>
  <c r="M19" i="1"/>
  <c r="M17" i="1"/>
  <c r="P7" i="1"/>
  <c r="Q7" i="1" s="1"/>
  <c r="P10" i="1"/>
  <c r="Q10" i="1" s="1"/>
  <c r="H10" i="1"/>
  <c r="T10" i="1" s="1"/>
  <c r="P8" i="1"/>
  <c r="Q8" i="1" s="1"/>
  <c r="G8" i="1"/>
  <c r="H8" i="1" s="1"/>
  <c r="T8" i="1" s="1"/>
  <c r="G7" i="1"/>
  <c r="H7" i="1" s="1"/>
  <c r="T7" i="1" s="1"/>
  <c r="L20" i="1"/>
  <c r="H20" i="1"/>
  <c r="U20" i="1" s="1"/>
  <c r="H14" i="1"/>
  <c r="H15" i="1"/>
  <c r="E7" i="3"/>
  <c r="F6" i="3" s="1"/>
  <c r="L35" i="1"/>
  <c r="H35" i="1"/>
  <c r="L34" i="1"/>
  <c r="H34" i="1"/>
  <c r="L33" i="1"/>
  <c r="H33" i="1"/>
  <c r="L32" i="1"/>
  <c r="H32" i="1"/>
  <c r="L31" i="1"/>
  <c r="H31" i="1"/>
  <c r="L30" i="1"/>
  <c r="H30" i="1"/>
  <c r="U30" i="1" s="1"/>
  <c r="L29" i="1"/>
  <c r="H29" i="1"/>
  <c r="H28" i="1"/>
  <c r="L27" i="1"/>
  <c r="H27" i="1"/>
  <c r="U27" i="1" s="1"/>
  <c r="L26" i="1"/>
  <c r="H26" i="1"/>
  <c r="L25" i="1"/>
  <c r="H25" i="1"/>
  <c r="L24" i="1"/>
  <c r="H24" i="1"/>
  <c r="H23" i="1"/>
  <c r="H22" i="1"/>
  <c r="L21" i="1"/>
  <c r="H21" i="1"/>
  <c r="U21" i="1" s="1"/>
  <c r="L19" i="1"/>
  <c r="H19" i="1"/>
  <c r="L18" i="1"/>
  <c r="H18" i="1"/>
  <c r="L17" i="1"/>
  <c r="H17" i="1"/>
  <c r="H16" i="1"/>
  <c r="H13" i="1"/>
  <c r="P12" i="1"/>
  <c r="Q12" i="1" s="1"/>
  <c r="H12" i="1"/>
  <c r="T12" i="1" s="1"/>
  <c r="P11" i="1"/>
  <c r="Q11" i="1" s="1"/>
  <c r="H11" i="1"/>
  <c r="T11" i="1" s="1"/>
  <c r="P9" i="1"/>
  <c r="Q9" i="1" s="1"/>
  <c r="H9" i="1"/>
  <c r="T9" i="1" s="1"/>
  <c r="U31" i="1" l="1"/>
  <c r="U19" i="1"/>
  <c r="U22" i="1"/>
  <c r="U28" i="1"/>
  <c r="U18" i="1"/>
  <c r="X18" i="1" s="1"/>
  <c r="T38" i="1"/>
  <c r="T41" i="1" s="1"/>
  <c r="U23" i="1"/>
  <c r="X23" i="1" s="1"/>
  <c r="U29" i="1"/>
  <c r="X29" i="1" s="1"/>
  <c r="U10" i="1"/>
  <c r="U17" i="1"/>
  <c r="X17" i="1" s="1"/>
  <c r="U24" i="1"/>
  <c r="X24" i="1" s="1"/>
  <c r="U33" i="1"/>
  <c r="X33" i="1" s="1"/>
  <c r="U32" i="1"/>
  <c r="X32" i="1" s="1"/>
  <c r="U25" i="1"/>
  <c r="X25" i="1" s="1"/>
  <c r="U34" i="1"/>
  <c r="X34" i="1" s="1"/>
  <c r="U11" i="1"/>
  <c r="U26" i="1"/>
  <c r="X26" i="1" s="1"/>
  <c r="U35" i="1"/>
  <c r="X28" i="1"/>
  <c r="X22" i="1"/>
  <c r="U9" i="1"/>
  <c r="U14" i="1"/>
  <c r="F5" i="3"/>
  <c r="X20" i="1"/>
  <c r="X30" i="1"/>
  <c r="X27" i="1"/>
  <c r="T36" i="1"/>
  <c r="R2" i="1" s="1"/>
  <c r="X19" i="1"/>
  <c r="X35" i="1"/>
  <c r="X21" i="1"/>
  <c r="U12" i="1"/>
  <c r="X31" i="1"/>
  <c r="X9" i="1" l="1"/>
  <c r="X7" i="1"/>
  <c r="U38" i="1"/>
  <c r="W38" i="1" s="1"/>
  <c r="X16" i="1"/>
  <c r="U39" i="1"/>
  <c r="W39" i="1" s="1"/>
  <c r="U40" i="1"/>
  <c r="W40" i="1" s="1"/>
  <c r="U36" i="1"/>
  <c r="R3" i="1" s="1"/>
  <c r="X36" i="1" l="1"/>
  <c r="U41" i="1"/>
  <c r="W4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tc={E5CBDC50-5AC1-469B-A2FF-11F05855B681}</author>
    <author>tc={26521F54-D4E1-407D-B5C2-F98FE3AF6FAE}</author>
    <author>tc={CEE77A86-C70D-4978-8505-F73111B84B70}</author>
    <author>tc={6D916848-77E3-4C4D-9DB6-68A5E6C02EF0}</author>
    <author>tc={2C2CADE9-8674-4B4F-9D8B-CF55033AEFBB}</author>
    <author>tc={E0670460-F400-48C0-B03F-D6CFC840E674}</author>
    <author>tc={446E23AD-B513-4C6A-B586-CB83D94D76FA}</author>
    <author>tc={D6E9CEE0-5644-45AD-AF28-4C5285EEF4B1}</author>
    <author>tc={7510810A-33CA-4A2E-9CCD-DAD20EE18DEC}</author>
    <author>tc={7F742342-B5FE-460F-82DA-0939485F1ADC}</author>
    <author>tc={B52FD973-4ABA-4F56-9E7F-2C5E8E74B72D}</author>
    <author>tc={D6E4A533-FC48-49F2-88EC-CF8356654783}</author>
    <author>tc={3D4276F5-FCB1-4173-8976-0D8783AF1C6D}</author>
    <author>tc={8DFA625F-D9A9-4E29-94D2-5605548A3651}</author>
    <author>tc={CAC9533E-E0E0-4EFF-BC6D-86B1466D5D52}</author>
    <author>tc={35A706B0-8335-45E2-A926-E31920691F6D}</author>
    <author>tc={9B2BBD40-5C62-4573-B3B1-3AD1C2BE4545}</author>
    <author>tc={235B00BA-ADCD-4F98-ACA5-F1FEE22A8AF1}</author>
  </authors>
  <commentList>
    <comment ref="A5" authorId="0" shapeId="0" xr:uid="{E5CBDC50-5AC1-469B-A2FF-11F05855B681}">
      <text>
        <t>[Threaded comment]
Your version of Excel allows you to read this threaded comment; however, any edits to it will get removed if the file is opened in a newer version of Excel. Learn more: https://go.microsoft.com/fwlink/?linkid=870924
Comment:
    Owner # from Database</t>
      </text>
    </comment>
    <comment ref="T5" authorId="1" shapeId="0" xr:uid="{26521F54-D4E1-407D-B5C2-F98FE3AF6FAE}">
      <text>
        <t>[Threaded comment]
Your version of Excel allows you to read this threaded comment; however, any edits to it will get removed if the file is opened in a newer version of Excel. Learn more: https://go.microsoft.com/fwlink/?linkid=870924
Comment:
    WI * MI * TPF</t>
      </text>
    </comment>
    <comment ref="H6" authorId="2" shapeId="0" xr:uid="{CEE77A86-C70D-4978-8505-F73111B84B70}">
      <text>
        <t>[Threaded comment]
Your version of Excel allows you to read this threaded comment; however, any edits to it will get removed if the file is opened in a newer version of Excel. Learn more: https://go.microsoft.com/fwlink/?linkid=870924
Comment:
    Tract Gross Acres / Total Unit Acres</t>
      </text>
    </comment>
    <comment ref="I6" authorId="3" shapeId="0" xr:uid="{6D916848-77E3-4C4D-9DB6-68A5E6C02EF0}">
      <text>
        <t>[Threaded comment]
Your version of Excel allows you to read this threaded comment; however, any edits to it will get removed if the file is opened in a newer version of Excel. Learn more: https://go.microsoft.com/fwlink/?linkid=870924
Comment:
    Lessor / Mineral Owner's Interest in Tract</t>
      </text>
    </comment>
    <comment ref="J6" authorId="4" shapeId="0" xr:uid="{2C2CADE9-8674-4B4F-9D8B-CF55033AEFBB}">
      <text>
        <t>[Threaded comment]
Your version of Excel allows you to read this threaded comment; however, any edits to it will get removed if the file is opened in a newer version of Excel. Learn more: https://go.microsoft.com/fwlink/?linkid=870924
Comment:
    Gross Royalty % listed in Lease</t>
      </text>
    </comment>
    <comment ref="K6" authorId="5" shapeId="0" xr:uid="{E0670460-F400-48C0-B03F-D6CFC840E674}">
      <text>
        <t>[Threaded comment]
Your version of Excel allows you to read this threaded comment; however, any edits to it will get removed if the file is opened in a newer version of Excel. Learn more: https://go.microsoft.com/fwlink/?linkid=870924
Comment:
    Royalty Share comes from Lessor/Mineral Owner's interest (unlike an ORRI which is burdened from the working interest share</t>
      </text>
    </comment>
    <comment ref="N6" authorId="6" shapeId="0" xr:uid="{446E23AD-B513-4C6A-B586-CB83D94D76FA}">
      <text>
        <t>[Threaded comment]
Your version of Excel allows you to read this threaded comment; however, any edits to it will get removed if the file is opened in a newer version of Excel. Learn more: https://go.microsoft.com/fwlink/?linkid=870924
Comment:
    Gross Royalty % listed in Lease
Reply:
    Burden Type 1a</t>
      </text>
    </comment>
    <comment ref="O6" authorId="7" shapeId="0" xr:uid="{D6E9CEE0-5644-45AD-AF28-4C5285EEF4B1}">
      <text>
        <t>[Threaded comment]
Your version of Excel allows you to read this threaded comment; however, any edits to it will get removed if the file is opened in a newer version of Excel. Learn more: https://go.microsoft.com/fwlink/?linkid=870924
Comment:
    Burden Type 1b</t>
      </text>
    </comment>
    <comment ref="P6" authorId="8" shapeId="0" xr:uid="{7510810A-33CA-4A2E-9CCD-DAD20EE18DEC}">
      <text>
        <t>[Threaded comment]
Your version of Excel allows you to read this threaded comment; however, any edits to it will get removed if the file is opened in a newer version of Excel. Learn more: https://go.microsoft.com/fwlink/?linkid=870924
Comment:
    WI, less burdens (LRI, ORRI)</t>
      </text>
    </comment>
    <comment ref="Q6" authorId="9" shapeId="0" xr:uid="{7F742342-B5FE-460F-82DA-0939485F1ADC}">
      <text>
        <t>[Threaded comment]
Your version of Excel allows you to read this threaded comment; however, any edits to it will get removed if the file is opened in a newer version of Excel. Learn more: https://go.microsoft.com/fwlink/?linkid=870924
Comment:
    Gross NRI * WI</t>
      </text>
    </comment>
    <comment ref="R6" authorId="10" shapeId="0" xr:uid="{B52FD973-4ABA-4F56-9E7F-2C5E8E74B72D}">
      <text>
        <t>[Threaded comment]
Your version of Excel allows you to read this threaded comment; however, any edits to it will get removed if the file is opened in a newer version of Excel. Learn more: https://go.microsoft.com/fwlink/?linkid=870924
Comment:
    If parties go non-consent or you encounter carried WI situations, you will need to tract Before Payout (BPO) and After Payout (APO) interests</t>
      </text>
    </comment>
    <comment ref="D7" authorId="11" shapeId="0" xr:uid="{D6E4A533-FC48-49F2-88EC-CF8356654783}">
      <text>
        <t>[Threaded comment]
Your version of Excel allows you to read this threaded comment; however, any edits to it will get removed if the file is opened in a newer version of Excel. Learn more: https://go.microsoft.com/fwlink/?linkid=870924
Comment:
    If MI does not total 100% or ownership differs between the 2 leases, you will need to break out differences and proportionally reduce to account for the MI</t>
      </text>
    </comment>
    <comment ref="D8" authorId="12" shapeId="0" xr:uid="{3D4276F5-FCB1-4173-8976-0D8783AF1C6D}">
      <text>
        <t>[Threaded comment]
Your version of Excel allows you to read this threaded comment; however, any edits to it will get removed if the file is opened in a newer version of Excel. Learn more: https://go.microsoft.com/fwlink/?linkid=870924
Comment:
    If MI does not total 100% or ownership differs between the 2 leases, you will need to break out differences and proportionally reduce to account for the MI</t>
      </text>
    </comment>
    <comment ref="D9" authorId="13" shapeId="0" xr:uid="{8DFA625F-D9A9-4E29-94D2-5605548A3651}">
      <text>
        <t>[Threaded comment]
Your version of Excel allows you to read this threaded comment; however, any edits to it will get removed if the file is opened in a newer version of Excel. Learn more: https://go.microsoft.com/fwlink/?linkid=870924
Comment:
    If MI does not total 100% or ownership differs between the 2 leases, you will need to break out differences and proportionally reduce to account for the MI</t>
      </text>
    </comment>
    <comment ref="D10" authorId="14" shapeId="0" xr:uid="{CAC9533E-E0E0-4EFF-BC6D-86B1466D5D52}">
      <text>
        <t>[Threaded comment]
Your version of Excel allows you to read this threaded comment; however, any edits to it will get removed if the file is opened in a newer version of Excel. Learn more: https://go.microsoft.com/fwlink/?linkid=870924
Comment:
    If MI does not total 100% or ownership differs between the 2 leases, you will need to break out differences and proportionally reduce to account for the MI</t>
      </text>
    </comment>
    <comment ref="K13" authorId="15" shapeId="0" xr:uid="{35A706B0-8335-45E2-A926-E31920691F6D}">
      <text>
        <t xml:space="preserve">[Threaded comment]
Your version of Excel allows you to read this threaded comment; however, any edits to it will get removed if the file is opened in a newer version of Excel. Learn more: https://go.microsoft.com/fwlink/?linkid=870924
Comment:
    Special calculation to remove NPRI burden of 20% of RI </t>
      </text>
    </comment>
    <comment ref="K15" authorId="16" shapeId="0" xr:uid="{9B2BBD40-5C62-4573-B3B1-3AD1C2BE4545}">
      <text>
        <t xml:space="preserve">[Threaded comment]
Your version of Excel allows you to read this threaded comment; however, any edits to it will get removed if the file is opened in a newer version of Excel. Learn more: https://go.microsoft.com/fwlink/?linkid=870924
Comment:
    Special calculation for NPRI. Associated Mineral Interest * royalty share (example is 20%) * Lease Royalty
</t>
      </text>
    </comment>
    <comment ref="L20" authorId="17" shapeId="0" xr:uid="{235B00BA-ADCD-4F98-ACA5-F1FEE22A8AF1}">
      <text>
        <t>[Threaded comment]
Your version of Excel allows you to read this threaded comment; however, any edits to it will get removed if the file is opened in a newer version of Excel. Learn more: https://go.microsoft.com/fwlink/?linkid=870924
Comment:
    When totaling the ORRI for the WI burden, this ORRI will need to be proportionately reduced to consider the associated WI (1.375% x 90%)</t>
      </text>
    </comment>
  </commentList>
</comments>
</file>

<file path=xl/sharedStrings.xml><?xml version="1.0" encoding="utf-8"?>
<sst xmlns="http://schemas.openxmlformats.org/spreadsheetml/2006/main" count="197" uniqueCount="132">
  <si>
    <t>Owner #</t>
  </si>
  <si>
    <t>Owner Name</t>
  </si>
  <si>
    <t>Tract</t>
  </si>
  <si>
    <t>Royalty Owner</t>
  </si>
  <si>
    <t>Working Interest Owner</t>
  </si>
  <si>
    <t>Pooling 
Authority</t>
  </si>
  <si>
    <t>Unit WI</t>
  </si>
  <si>
    <t>Footnotes</t>
  </si>
  <si>
    <t>Tract 
Gross 
Acres</t>
  </si>
  <si>
    <t>Unit 
Acres</t>
  </si>
  <si>
    <t>Tract 
Participation 
Factor (TPF)</t>
  </si>
  <si>
    <t>Mineral 
Interest 
(MI)</t>
  </si>
  <si>
    <t>Tract Gross 
NRI</t>
  </si>
  <si>
    <t>Tract 
NWI</t>
  </si>
  <si>
    <t>Election</t>
  </si>
  <si>
    <t>WI</t>
  </si>
  <si>
    <t>Yes</t>
  </si>
  <si>
    <t>RI</t>
  </si>
  <si>
    <t>No</t>
  </si>
  <si>
    <t>ORRI</t>
  </si>
  <si>
    <t>Totals</t>
  </si>
  <si>
    <t>Internal Company</t>
  </si>
  <si>
    <t>ORRI Owner 22</t>
  </si>
  <si>
    <t>ORRI Owner 38</t>
  </si>
  <si>
    <t>ORRI Owner 23</t>
  </si>
  <si>
    <t>ORRI Owner 26</t>
  </si>
  <si>
    <t>ORRI Owner 28</t>
  </si>
  <si>
    <t>ORRI Owner 33</t>
  </si>
  <si>
    <t>ORRI Owner 06</t>
  </si>
  <si>
    <t>ORRI Owner 31</t>
  </si>
  <si>
    <t>ORRI Owner 30</t>
  </si>
  <si>
    <t>ORRI Owner 20</t>
  </si>
  <si>
    <t>ORRI Owner 32</t>
  </si>
  <si>
    <t>ORRI Owner 25</t>
  </si>
  <si>
    <t>ORRI Owner 21</t>
  </si>
  <si>
    <t>ORRI Owner 35</t>
  </si>
  <si>
    <t>ORRI Owner 34</t>
  </si>
  <si>
    <t>ORRI Owner 37</t>
  </si>
  <si>
    <t>ORRI Owner 36</t>
  </si>
  <si>
    <t>Internal Company's WI/NRI</t>
  </si>
  <si>
    <t>Date</t>
  </si>
  <si>
    <t>Internal ORRI Company</t>
  </si>
  <si>
    <t>Internal MI Company</t>
  </si>
  <si>
    <t>(1)</t>
  </si>
  <si>
    <t>(2)</t>
  </si>
  <si>
    <t>Y</t>
  </si>
  <si>
    <t>Attorney</t>
  </si>
  <si>
    <t>Internal MI Company's RI</t>
  </si>
  <si>
    <t>Internal ORRI Company's ORRI</t>
  </si>
  <si>
    <t>Legal Description</t>
  </si>
  <si>
    <t>Certification Date</t>
  </si>
  <si>
    <t>Participating 
Lease
Royalty 
Interest</t>
  </si>
  <si>
    <t xml:space="preserve">Do you need to confirm any owner contact information? </t>
  </si>
  <si>
    <t xml:space="preserve">Payment timing provisions? </t>
  </si>
  <si>
    <t xml:space="preserve">Are deductions allowed? </t>
  </si>
  <si>
    <t xml:space="preserve">Are any of the owners planning to take in kind? </t>
  </si>
  <si>
    <t>Confirm Elections</t>
  </si>
  <si>
    <t>What owners are being placed in suspense? Why? What is required to remove them from suspense?</t>
  </si>
  <si>
    <t>Are owners in suspense on any other wells /properties?</t>
  </si>
  <si>
    <t>Are there any pooling restrictions you need to consider?</t>
  </si>
  <si>
    <t>What wells are tied to this DOI?</t>
  </si>
  <si>
    <t xml:space="preserve">Are all owners in database? </t>
  </si>
  <si>
    <t>Interest
Type</t>
  </si>
  <si>
    <t>Overriding 
Royalty 
Interest
(ORRI)</t>
  </si>
  <si>
    <t>Acquired MI from (prior MI Owner) via Deed dated MM/DD/YY - Bk, Pg</t>
  </si>
  <si>
    <t>Unit 
Net Revenue Interest
(NRI)</t>
  </si>
  <si>
    <r>
      <t>[</t>
    </r>
    <r>
      <rPr>
        <b/>
        <sz val="20"/>
        <color rgb="FFFF0000"/>
        <rFont val="Calibri"/>
        <family val="2"/>
        <scheme val="minor"/>
      </rPr>
      <t>Well/Unit Name</t>
    </r>
    <r>
      <rPr>
        <b/>
        <sz val="20"/>
        <color theme="1"/>
        <rFont val="Calibri"/>
        <family val="2"/>
        <scheme val="minor"/>
      </rPr>
      <t>]</t>
    </r>
  </si>
  <si>
    <t>Deduct Decision</t>
  </si>
  <si>
    <t xml:space="preserve">What formation was the well completed in? </t>
  </si>
  <si>
    <t xml:space="preserve">Review Leases associated with DOI. </t>
  </si>
  <si>
    <t>Questions</t>
  </si>
  <si>
    <t>Questions to consider for the Lease &amp; Contract Review</t>
  </si>
  <si>
    <t>Are the Leases properly tied to the wells/unit?</t>
  </si>
  <si>
    <t xml:space="preserve">Do you need to segregate lease tracts to account for inclusion in and out of the unit? </t>
  </si>
  <si>
    <t>Lands Covered</t>
  </si>
  <si>
    <t>Identify Revenue distribution related requirements in the title opinion, and determine necessary pay codes</t>
  </si>
  <si>
    <t>Are wells/unit details linked to leases/contracts in company database?</t>
  </si>
  <si>
    <t xml:space="preserve">How is the well spaced/pooled? </t>
  </si>
  <si>
    <t>NPRI</t>
  </si>
  <si>
    <t>Current Lessor 1</t>
  </si>
  <si>
    <t>Current Lessor 2</t>
  </si>
  <si>
    <t>ORRI Owner 45</t>
  </si>
  <si>
    <t>Deduct Share</t>
  </si>
  <si>
    <t>Pooling Doc
Bk/Pg</t>
  </si>
  <si>
    <t>Update suspense tracking notes</t>
  </si>
  <si>
    <t>Tract 
Participation 
Factor
(TPF)</t>
  </si>
  <si>
    <t>Tract 
Gross
Acres</t>
  </si>
  <si>
    <t>Internal</t>
  </si>
  <si>
    <t>Non-Op Company B</t>
  </si>
  <si>
    <t>Non-Op Company A</t>
  </si>
  <si>
    <t>Lease 
Royalty
Interest
(LRI)</t>
  </si>
  <si>
    <t>Tract
ID</t>
  </si>
  <si>
    <t>Lease
ID</t>
  </si>
  <si>
    <t>8/8th NRI</t>
  </si>
  <si>
    <t>Total ORRI
Burdens</t>
  </si>
  <si>
    <t>Document changes between title opinion and DOI</t>
  </si>
  <si>
    <t>Producing 
Formation</t>
  </si>
  <si>
    <t xml:space="preserve">Does the database have complete well information (API, Operator, etc.)?  </t>
  </si>
  <si>
    <t>What is the date of first production</t>
  </si>
  <si>
    <t xml:space="preserve">If working from a title opinion note: </t>
  </si>
  <si>
    <t>List other title reviewed for DOI</t>
  </si>
  <si>
    <t>Determine what title needs to be reviewed before DOI is finalized</t>
  </si>
  <si>
    <t>Confirm well(s) is producing from anticipated formation, and ensure your title details match with the producing formation</t>
  </si>
  <si>
    <t>[T00N - R00W]</t>
  </si>
  <si>
    <t>[Formation Name]</t>
  </si>
  <si>
    <t xml:space="preserve">If there are any contracts impacting the DOI (farmouts, drilling agreements, etc.) these will also need to be reviewed. </t>
  </si>
  <si>
    <t xml:space="preserve">If WI goes non-consent (NC or N/C), does company want to suspend ORRI owners tied to the non-consent interest? </t>
  </si>
  <si>
    <t>Does company need to track payout? What are the payout terms? Who needs to be notified of Payout? Which entities should receive payout statements and at what frequency?</t>
  </si>
  <si>
    <t>SAMPLE DATA is used for this DOI workbook</t>
  </si>
  <si>
    <t>Total Unit Acres</t>
  </si>
  <si>
    <t>Twn - Rng</t>
  </si>
  <si>
    <t>Tract 
ID</t>
  </si>
  <si>
    <t>DISCLAIMER</t>
  </si>
  <si>
    <t>Tract Detail Division of Interest (DOI)</t>
  </si>
  <si>
    <t>Owner should be placed in suspense for following reason [requirement x from DOTO] - details on separate tab</t>
  </si>
  <si>
    <t>Lease/Tract Working 
Interest  
(WI)</t>
  </si>
  <si>
    <t>Lease 
Royalty
Interest Burden
(LRI)</t>
  </si>
  <si>
    <t>Section 6: All</t>
  </si>
  <si>
    <t>Section 7: All</t>
  </si>
  <si>
    <t>NPRI Owner (20% of Lessor 1 RI)</t>
  </si>
  <si>
    <t xml:space="preserve">The material provided in this workbook or related presentations and any comments or information provided by the presenter are for educational purposes only and nothing conveyed or provided should be considered legal, accounting or tax advise. Please contact your own attorney, accountant or tax professional with any specific questions you have related to the information provided that are of legal, accounting or tax nature. 
Honeycutt Solutions, LLC makes no claim, promise, or guarantee of any kind about the accuracy, completeness or adequacy of the content of this workbook and expressly disclaims liability for errors and omissions in such content. It is understood that each situation is fact-specific, and the appropriate solution in any situation may vary and the materials and information provided may or may not be relevant to any particular situation. </t>
  </si>
  <si>
    <t xml:space="preserve">Did you notify the owner if they were in suspense? </t>
  </si>
  <si>
    <t xml:space="preserve">Did you know that Lando Solutions allows you to easily include suspense notices with division Order Packets? </t>
  </si>
  <si>
    <t xml:space="preserve">Visit Lando.Solutions for more information. </t>
  </si>
  <si>
    <r>
      <t>•</t>
    </r>
    <r>
      <rPr>
        <sz val="26"/>
        <color rgb="FF000000"/>
        <rFont val="Calibri"/>
        <family val="2"/>
        <scheme val="minor"/>
      </rPr>
      <t xml:space="preserve">Tract Participation Factor </t>
    </r>
    <r>
      <rPr>
        <b/>
        <sz val="26"/>
        <color rgb="FF000000"/>
        <rFont val="Calibri"/>
        <family val="2"/>
        <scheme val="minor"/>
      </rPr>
      <t xml:space="preserve">(TPF): </t>
    </r>
    <r>
      <rPr>
        <sz val="26"/>
        <color rgb="FF000000"/>
        <rFont val="Calibri"/>
        <family val="2"/>
        <scheme val="minor"/>
      </rPr>
      <t>Unit</t>
    </r>
    <r>
      <rPr>
        <b/>
        <sz val="26"/>
        <color rgb="FF000000"/>
        <rFont val="Calibri"/>
        <family val="2"/>
        <scheme val="minor"/>
      </rPr>
      <t xml:space="preserve"> </t>
    </r>
    <r>
      <rPr>
        <sz val="26"/>
        <color rgb="FF000000"/>
        <rFont val="Calibri"/>
        <family val="2"/>
        <scheme val="minor"/>
      </rPr>
      <t>TPF should equal 100% or 1.00</t>
    </r>
  </si>
  <si>
    <t>Tract Gross Acres ÷ Total Unit Acres = Tract TPF</t>
  </si>
  <si>
    <t>Lease Allows</t>
  </si>
  <si>
    <t>Did you know, if you have more than one well in a Unit - Lando let's you easily link wells together and only send one division order</t>
  </si>
  <si>
    <t>Do you have reliable ownership tracking? Visit Lando.Solutions for options on effective ownership management</t>
  </si>
  <si>
    <t>V: 12/2025</t>
  </si>
  <si>
    <t xml:space="preserve">Pooled Unit: more than one lease/tract (see table example above)
Lease Unit: tract acres &amp; total unit acres will usually be equal (typically one tract)
Allocation and Production Sharing Agreement (PSA) Wells: TPF per contract; what % of each tract/unit is contributing to the producing wellbore? considerations include: leases, units, tracts, producing wellbore; Entire preexisting unit ownerships should be considered in the DOI calculation. </t>
  </si>
  <si>
    <t>If you need help with reliable and efficient lease and contract reviews - contact Honeycutt Solutions we can provision thousands of leases in a few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</si>
</sst>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m/d/yy;@"/>
    <numFmt numFmtId="165" formatCode="0.000000%"/>
    <numFmt numFmtId="166" formatCode="_(* #,##0.000000_);_(* \(#,##0.000000\);_(* &quot;-&quot;??_);_(@_)"/>
    <numFmt numFmtId="167" formatCode="_(* #,##0.00000_);_(* \(#,##0.00000\);_(* &quot;-&quot;??_);_(@_)"/>
    <numFmt numFmtId="168" formatCode="0.00000000"/>
    <numFmt numFmtId="169" formatCode="_(* #,##0_);_(* \(#,##0\);_(*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8"/>
      <color theme="1"/>
      <name val="Calibri"/>
      <family val="2"/>
      <scheme val="minor"/>
    </font>
    <font>
      <b/>
      <sz val="22"/>
      <color theme="1"/>
      <name val="Calibri"/>
      <family val="2"/>
      <scheme val="minor"/>
    </font>
    <font>
      <sz val="10"/>
      <color theme="1"/>
      <name val="Calibri"/>
      <family val="2"/>
      <scheme val="minor"/>
    </font>
    <font>
      <b/>
      <sz val="10"/>
      <color theme="1"/>
      <name val="Calibri"/>
      <family val="2"/>
      <scheme val="minor"/>
    </font>
    <font>
      <sz val="11"/>
      <name val="Calibri"/>
      <family val="2"/>
      <scheme val="minor"/>
    </font>
    <font>
      <sz val="11"/>
      <color rgb="FFFFFF00"/>
      <name val="Calibri"/>
      <family val="2"/>
      <scheme val="minor"/>
    </font>
    <font>
      <b/>
      <sz val="11"/>
      <name val="Calibri"/>
      <family val="2"/>
      <scheme val="minor"/>
    </font>
    <font>
      <b/>
      <sz val="16"/>
      <color theme="1"/>
      <name val="Calibri"/>
      <family val="2"/>
      <scheme val="minor"/>
    </font>
    <font>
      <b/>
      <sz val="20"/>
      <color rgb="FFFF0000"/>
      <name val="Calibri"/>
      <family val="2"/>
      <scheme val="minor"/>
    </font>
    <font>
      <u/>
      <sz val="11"/>
      <color theme="1"/>
      <name val="Calibri"/>
      <family val="2"/>
      <scheme val="minor"/>
    </font>
    <font>
      <sz val="11"/>
      <color theme="4"/>
      <name val="Calibri"/>
      <family val="2"/>
      <scheme val="minor"/>
    </font>
    <font>
      <sz val="11"/>
      <color theme="5" tint="-0.249977111117893"/>
      <name val="Calibri"/>
      <family val="2"/>
      <scheme val="minor"/>
    </font>
    <font>
      <b/>
      <u/>
      <sz val="11"/>
      <color theme="1"/>
      <name val="Calibri"/>
      <family val="2"/>
      <scheme val="minor"/>
    </font>
    <font>
      <sz val="18"/>
      <color rgb="FFFF0000"/>
      <name val="Calibri"/>
      <family val="2"/>
      <scheme val="minor"/>
    </font>
    <font>
      <b/>
      <sz val="26"/>
      <color rgb="FFFF0000"/>
      <name val="Calibri"/>
      <family val="2"/>
      <scheme val="minor"/>
    </font>
    <font>
      <b/>
      <sz val="18"/>
      <color rgb="FFFF0000"/>
      <name val="Calibri"/>
      <family val="2"/>
      <scheme val="minor"/>
    </font>
    <font>
      <sz val="26"/>
      <color theme="1"/>
      <name val="Arial"/>
      <family val="2"/>
    </font>
    <font>
      <sz val="26"/>
      <color rgb="FF000000"/>
      <name val="Calibri"/>
      <family val="2"/>
      <scheme val="minor"/>
    </font>
    <font>
      <b/>
      <sz val="26"/>
      <color rgb="FF000000"/>
      <name val="Calibri"/>
      <family val="2"/>
      <scheme val="minor"/>
    </font>
    <font>
      <sz val="9"/>
      <color indexed="81"/>
      <name val="Tahoma"/>
      <charset val="1"/>
    </font>
  </fonts>
  <fills count="13">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CCCC"/>
        <bgColor indexed="64"/>
      </patternFill>
    </fill>
  </fills>
  <borders count="21">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rgb="FFC00000"/>
      </left>
      <right style="thin">
        <color rgb="FFC00000"/>
      </right>
      <top style="thin">
        <color rgb="FFC00000"/>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33">
    <xf numFmtId="0" fontId="0" fillId="0" borderId="0" xfId="0"/>
    <xf numFmtId="0" fontId="3" fillId="2" borderId="1" xfId="0" applyFont="1" applyFill="1" applyBorder="1"/>
    <xf numFmtId="0" fontId="4" fillId="2" borderId="1" xfId="0" applyFont="1" applyFill="1" applyBorder="1" applyAlignment="1">
      <alignment vertical="center"/>
    </xf>
    <xf numFmtId="0" fontId="0" fillId="2" borderId="0" xfId="0" applyFill="1" applyAlignment="1">
      <alignment vertical="top"/>
    </xf>
    <xf numFmtId="0" fontId="5" fillId="2" borderId="1" xfId="0" applyFont="1" applyFill="1" applyBorder="1" applyAlignment="1">
      <alignment vertical="center"/>
    </xf>
    <xf numFmtId="165" fontId="6" fillId="2" borderId="0" xfId="0" applyNumberFormat="1" applyFont="1" applyFill="1" applyAlignment="1">
      <alignment vertical="top"/>
    </xf>
    <xf numFmtId="165" fontId="0" fillId="2" borderId="0" xfId="0" applyNumberFormat="1" applyFill="1" applyAlignment="1">
      <alignment horizontal="center" vertical="top"/>
    </xf>
    <xf numFmtId="0" fontId="2" fillId="2" borderId="3" xfId="0" applyFont="1" applyFill="1" applyBorder="1" applyAlignment="1">
      <alignment horizontal="center" vertical="center"/>
    </xf>
    <xf numFmtId="165" fontId="2" fillId="2" borderId="2" xfId="0" applyNumberFormat="1" applyFont="1" applyFill="1" applyBorder="1" applyAlignment="1">
      <alignment horizontal="center" vertical="center"/>
    </xf>
    <xf numFmtId="0" fontId="2" fillId="2" borderId="0" xfId="0" applyFont="1" applyFill="1" applyAlignment="1">
      <alignment horizontal="center" vertical="center"/>
    </xf>
    <xf numFmtId="0" fontId="2" fillId="2" borderId="3" xfId="0" applyFont="1" applyFill="1" applyBorder="1" applyAlignment="1">
      <alignment horizontal="center" vertical="center" wrapText="1"/>
    </xf>
    <xf numFmtId="167" fontId="2" fillId="2" borderId="3" xfId="1" applyNumberFormat="1" applyFont="1" applyFill="1" applyBorder="1" applyAlignment="1">
      <alignment horizontal="center" vertical="center" wrapText="1"/>
    </xf>
    <xf numFmtId="166" fontId="2" fillId="2" borderId="3" xfId="1" applyNumberFormat="1" applyFont="1" applyFill="1" applyBorder="1" applyAlignment="1">
      <alignment horizontal="center" vertical="center" wrapText="1"/>
    </xf>
    <xf numFmtId="0" fontId="2" fillId="2" borderId="7" xfId="0" applyFont="1" applyFill="1" applyBorder="1" applyAlignment="1">
      <alignment horizontal="right" wrapText="1"/>
    </xf>
    <xf numFmtId="165" fontId="0" fillId="0" borderId="0" xfId="0" applyNumberFormat="1" applyAlignment="1">
      <alignment vertical="top"/>
    </xf>
    <xf numFmtId="0" fontId="0" fillId="0" borderId="0" xfId="0" applyAlignment="1">
      <alignment vertical="top"/>
    </xf>
    <xf numFmtId="0" fontId="0" fillId="0" borderId="0" xfId="0" applyAlignment="1">
      <alignment horizontal="center" vertical="top"/>
    </xf>
    <xf numFmtId="43" fontId="0" fillId="0" borderId="0" xfId="1" applyFont="1" applyFill="1" applyBorder="1" applyAlignment="1">
      <alignment vertical="top"/>
    </xf>
    <xf numFmtId="165" fontId="0" fillId="3" borderId="0" xfId="0" applyNumberFormat="1" applyFill="1" applyAlignment="1">
      <alignment vertical="top"/>
    </xf>
    <xf numFmtId="43" fontId="0" fillId="0" borderId="7" xfId="1" applyFont="1" applyFill="1" applyBorder="1" applyAlignment="1">
      <alignment vertical="top"/>
    </xf>
    <xf numFmtId="0" fontId="0" fillId="7" borderId="18" xfId="0" applyFill="1" applyBorder="1" applyAlignment="1">
      <alignment vertical="top"/>
    </xf>
    <xf numFmtId="0" fontId="0" fillId="7" borderId="1" xfId="0" applyFill="1" applyBorder="1" applyAlignment="1">
      <alignment vertical="top"/>
    </xf>
    <xf numFmtId="0" fontId="0" fillId="7" borderId="1" xfId="0" applyFill="1" applyBorder="1" applyAlignment="1">
      <alignment horizontal="center" vertical="top"/>
    </xf>
    <xf numFmtId="167" fontId="0" fillId="7" borderId="1" xfId="1" applyNumberFormat="1" applyFont="1" applyFill="1" applyBorder="1" applyAlignment="1">
      <alignment vertical="top"/>
    </xf>
    <xf numFmtId="166" fontId="0" fillId="7" borderId="1" xfId="1" applyNumberFormat="1" applyFont="1" applyFill="1" applyBorder="1" applyAlignment="1">
      <alignment vertical="top"/>
    </xf>
    <xf numFmtId="165" fontId="6" fillId="7" borderId="6" xfId="0" applyNumberFormat="1" applyFont="1" applyFill="1" applyBorder="1" applyAlignment="1">
      <alignment vertical="top"/>
    </xf>
    <xf numFmtId="165" fontId="0" fillId="7" borderId="5" xfId="0" applyNumberFormat="1" applyFill="1" applyBorder="1" applyAlignment="1">
      <alignment horizontal="center" vertical="top"/>
    </xf>
    <xf numFmtId="0" fontId="0" fillId="7" borderId="0" xfId="0" applyFill="1" applyAlignment="1">
      <alignment vertical="top"/>
    </xf>
    <xf numFmtId="167" fontId="0" fillId="0" borderId="0" xfId="1" applyNumberFormat="1" applyFont="1" applyAlignment="1">
      <alignment vertical="top"/>
    </xf>
    <xf numFmtId="166" fontId="0" fillId="0" borderId="0" xfId="1" applyNumberFormat="1" applyFont="1" applyAlignment="1">
      <alignment vertical="top"/>
    </xf>
    <xf numFmtId="165" fontId="6" fillId="0" borderId="0" xfId="0" applyNumberFormat="1" applyFont="1" applyAlignment="1">
      <alignment vertical="top"/>
    </xf>
    <xf numFmtId="165" fontId="0" fillId="0" borderId="0" xfId="0" applyNumberFormat="1" applyAlignment="1">
      <alignment horizontal="center" vertical="top"/>
    </xf>
    <xf numFmtId="165" fontId="0" fillId="3" borderId="7" xfId="0" applyNumberFormat="1" applyFill="1" applyBorder="1" applyAlignment="1">
      <alignment vertical="top"/>
    </xf>
    <xf numFmtId="0" fontId="0" fillId="3" borderId="0" xfId="0" applyFill="1" applyAlignment="1">
      <alignment vertical="top"/>
    </xf>
    <xf numFmtId="0" fontId="2" fillId="3" borderId="0" xfId="0" applyFont="1" applyFill="1" applyAlignment="1">
      <alignment horizontal="center" vertical="top"/>
    </xf>
    <xf numFmtId="165" fontId="2" fillId="3" borderId="0" xfId="0" applyNumberFormat="1" applyFont="1" applyFill="1" applyAlignment="1">
      <alignment vertical="top"/>
    </xf>
    <xf numFmtId="169" fontId="0" fillId="0" borderId="0" xfId="1" applyNumberFormat="1" applyFont="1" applyAlignment="1">
      <alignment vertical="top"/>
    </xf>
    <xf numFmtId="169" fontId="0" fillId="0" borderId="0" xfId="0" applyNumberFormat="1" applyAlignment="1">
      <alignment vertical="top"/>
    </xf>
    <xf numFmtId="43" fontId="0" fillId="0" borderId="0" xfId="1" applyFont="1" applyAlignment="1">
      <alignment vertical="top"/>
    </xf>
    <xf numFmtId="14" fontId="0" fillId="0" borderId="0" xfId="0" applyNumberFormat="1" applyAlignment="1">
      <alignment horizontal="center" vertical="top"/>
    </xf>
    <xf numFmtId="165" fontId="8" fillId="0" borderId="0" xfId="2" applyNumberFormat="1" applyFont="1" applyAlignment="1">
      <alignment vertical="top"/>
    </xf>
    <xf numFmtId="0" fontId="11" fillId="2" borderId="1" xfId="0" applyFont="1" applyFill="1" applyBorder="1" applyAlignment="1">
      <alignment horizontal="right" vertical="top"/>
    </xf>
    <xf numFmtId="0" fontId="2" fillId="2" borderId="19" xfId="0" applyFont="1" applyFill="1" applyBorder="1" applyAlignment="1">
      <alignment horizontal="center" vertical="center" wrapText="1"/>
    </xf>
    <xf numFmtId="43" fontId="2" fillId="0" borderId="0" xfId="0" applyNumberFormat="1" applyFont="1"/>
    <xf numFmtId="0" fontId="2" fillId="0" borderId="0" xfId="0" applyFont="1"/>
    <xf numFmtId="0" fontId="0" fillId="2" borderId="0" xfId="0" applyFill="1" applyAlignment="1">
      <alignment horizontal="center" vertical="top"/>
    </xf>
    <xf numFmtId="167" fontId="0" fillId="2" borderId="0" xfId="1" applyNumberFormat="1" applyFont="1" applyFill="1" applyAlignment="1">
      <alignment vertical="top"/>
    </xf>
    <xf numFmtId="166" fontId="0" fillId="2" borderId="0" xfId="1" applyNumberFormat="1" applyFont="1" applyFill="1" applyAlignment="1">
      <alignment vertical="top"/>
    </xf>
    <xf numFmtId="165" fontId="0" fillId="2" borderId="0" xfId="0" applyNumberFormat="1" applyFill="1" applyAlignment="1">
      <alignment vertical="top"/>
    </xf>
    <xf numFmtId="168" fontId="0" fillId="2" borderId="0" xfId="1" applyNumberFormat="1" applyFont="1" applyFill="1" applyAlignment="1">
      <alignment vertical="top"/>
    </xf>
    <xf numFmtId="168" fontId="5" fillId="2" borderId="1" xfId="0" applyNumberFormat="1" applyFont="1" applyFill="1" applyBorder="1" applyAlignment="1">
      <alignment vertical="center"/>
    </xf>
    <xf numFmtId="168" fontId="0" fillId="7" borderId="1" xfId="1" applyNumberFormat="1" applyFont="1" applyFill="1" applyBorder="1" applyAlignment="1">
      <alignment vertical="top"/>
    </xf>
    <xf numFmtId="168" fontId="0" fillId="0" borderId="0" xfId="1" applyNumberFormat="1" applyFont="1" applyAlignment="1">
      <alignment vertical="top"/>
    </xf>
    <xf numFmtId="165" fontId="2" fillId="2" borderId="5" xfId="0" applyNumberFormat="1" applyFont="1" applyFill="1" applyBorder="1" applyAlignment="1">
      <alignment horizontal="center" vertical="center" wrapText="1"/>
    </xf>
    <xf numFmtId="0" fontId="4" fillId="0" borderId="0" xfId="0" applyFont="1"/>
    <xf numFmtId="0" fontId="13" fillId="0" borderId="0" xfId="0" applyFont="1"/>
    <xf numFmtId="0" fontId="0" fillId="0" borderId="0" xfId="0" applyAlignment="1">
      <alignment wrapText="1"/>
    </xf>
    <xf numFmtId="165" fontId="0" fillId="0" borderId="0" xfId="2" applyNumberFormat="1" applyFont="1"/>
    <xf numFmtId="0" fontId="2" fillId="0" borderId="0" xfId="0" applyFont="1" applyAlignment="1">
      <alignment wrapText="1"/>
    </xf>
    <xf numFmtId="0" fontId="2" fillId="0" borderId="0" xfId="0" applyFont="1" applyAlignment="1">
      <alignment horizontal="right" wrapText="1"/>
    </xf>
    <xf numFmtId="166" fontId="14" fillId="0" borderId="4" xfId="1" applyNumberFormat="1" applyFont="1" applyFill="1" applyBorder="1" applyAlignment="1">
      <alignment horizontal="center" vertical="center"/>
    </xf>
    <xf numFmtId="166" fontId="14" fillId="0" borderId="10" xfId="1" applyNumberFormat="1" applyFont="1" applyFill="1" applyBorder="1" applyAlignment="1">
      <alignment horizontal="center" vertical="center"/>
    </xf>
    <xf numFmtId="166" fontId="14" fillId="0" borderId="14" xfId="1" applyNumberFormat="1" applyFont="1" applyFill="1" applyBorder="1" applyAlignment="1">
      <alignment horizontal="center" vertical="center"/>
    </xf>
    <xf numFmtId="166" fontId="14" fillId="0" borderId="17" xfId="1" applyNumberFormat="1" applyFont="1" applyFill="1" applyBorder="1" applyAlignment="1">
      <alignment horizontal="center" vertical="center"/>
    </xf>
    <xf numFmtId="166" fontId="14" fillId="0" borderId="6" xfId="1" applyNumberFormat="1" applyFont="1" applyFill="1" applyBorder="1" applyAlignment="1">
      <alignment horizontal="center" vertical="center"/>
    </xf>
    <xf numFmtId="164" fontId="0" fillId="2" borderId="20" xfId="0" applyNumberFormat="1" applyFill="1" applyBorder="1" applyAlignment="1">
      <alignment vertical="top"/>
    </xf>
    <xf numFmtId="0" fontId="14" fillId="0" borderId="8" xfId="0" applyFont="1" applyBorder="1" applyAlignment="1">
      <alignment horizontal="center" vertical="center"/>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43" fontId="14" fillId="0" borderId="9" xfId="1" applyFont="1" applyFill="1" applyBorder="1" applyAlignment="1">
      <alignment vertical="center"/>
    </xf>
    <xf numFmtId="166" fontId="14" fillId="8" borderId="9" xfId="1" applyNumberFormat="1" applyFont="1" applyFill="1" applyBorder="1" applyAlignment="1">
      <alignment vertical="center"/>
    </xf>
    <xf numFmtId="167" fontId="14" fillId="8" borderId="9" xfId="1" applyNumberFormat="1" applyFont="1" applyFill="1" applyBorder="1" applyAlignment="1">
      <alignment vertical="center"/>
    </xf>
    <xf numFmtId="168" fontId="14" fillId="8" borderId="9" xfId="1" applyNumberFormat="1" applyFont="1" applyFill="1" applyBorder="1" applyAlignment="1">
      <alignment vertical="center"/>
    </xf>
    <xf numFmtId="167" fontId="14" fillId="0" borderId="8" xfId="1" applyNumberFormat="1" applyFont="1" applyFill="1" applyBorder="1" applyAlignment="1">
      <alignment vertical="center"/>
    </xf>
    <xf numFmtId="166" fontId="14" fillId="0" borderId="9" xfId="1" applyNumberFormat="1" applyFont="1" applyFill="1" applyBorder="1" applyAlignment="1">
      <alignment vertical="center"/>
    </xf>
    <xf numFmtId="167" fontId="14" fillId="0" borderId="9" xfId="1" applyNumberFormat="1" applyFont="1" applyFill="1" applyBorder="1" applyAlignment="1">
      <alignment vertical="center"/>
    </xf>
    <xf numFmtId="167" fontId="0" fillId="0" borderId="4" xfId="1" applyNumberFormat="1" applyFont="1" applyFill="1" applyBorder="1" applyAlignment="1">
      <alignment vertical="center"/>
    </xf>
    <xf numFmtId="0" fontId="0" fillId="0" borderId="9" xfId="0" applyBorder="1" applyAlignment="1">
      <alignment horizontal="center" vertical="center"/>
    </xf>
    <xf numFmtId="165" fontId="0" fillId="3" borderId="9" xfId="0" applyNumberFormat="1" applyFill="1" applyBorder="1" applyAlignment="1">
      <alignment vertical="center"/>
    </xf>
    <xf numFmtId="165" fontId="0" fillId="3" borderId="4" xfId="0" applyNumberFormat="1" applyFill="1" applyBorder="1" applyAlignment="1">
      <alignment vertical="center"/>
    </xf>
    <xf numFmtId="165" fontId="6" fillId="0" borderId="10" xfId="0" quotePrefix="1" applyNumberFormat="1" applyFont="1" applyBorder="1" applyAlignment="1">
      <alignment vertical="center" wrapText="1"/>
    </xf>
    <xf numFmtId="165" fontId="0" fillId="0" borderId="11" xfId="0" quotePrefix="1" applyNumberFormat="1" applyBorder="1" applyAlignment="1">
      <alignment horizontal="center" vertical="center"/>
    </xf>
    <xf numFmtId="165" fontId="15" fillId="0" borderId="0" xfId="2" applyNumberFormat="1" applyFont="1" applyAlignment="1">
      <alignment vertical="center"/>
    </xf>
    <xf numFmtId="0" fontId="0" fillId="0" borderId="0" xfId="0" applyAlignment="1">
      <alignment vertical="center"/>
    </xf>
    <xf numFmtId="0" fontId="14" fillId="0" borderId="12" xfId="0" applyFont="1" applyBorder="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vertical="center"/>
    </xf>
    <xf numFmtId="43" fontId="14" fillId="0" borderId="0" xfId="1" applyFont="1" applyFill="1" applyBorder="1" applyAlignment="1">
      <alignment vertical="center"/>
    </xf>
    <xf numFmtId="166" fontId="14" fillId="8" borderId="0" xfId="1" applyNumberFormat="1" applyFont="1" applyFill="1" applyBorder="1" applyAlignment="1">
      <alignment vertical="center"/>
    </xf>
    <xf numFmtId="167" fontId="14" fillId="8" borderId="0" xfId="1" applyNumberFormat="1" applyFont="1" applyFill="1" applyBorder="1" applyAlignment="1">
      <alignment vertical="center"/>
    </xf>
    <xf numFmtId="168" fontId="14" fillId="8" borderId="0" xfId="1" applyNumberFormat="1" applyFont="1" applyFill="1" applyBorder="1" applyAlignment="1">
      <alignment vertical="center"/>
    </xf>
    <xf numFmtId="167" fontId="14" fillId="0" borderId="12" xfId="1" applyNumberFormat="1" applyFont="1" applyFill="1" applyBorder="1" applyAlignment="1">
      <alignment vertical="center"/>
    </xf>
    <xf numFmtId="167" fontId="14" fillId="0" borderId="0" xfId="1" applyNumberFormat="1" applyFont="1" applyFill="1" applyBorder="1" applyAlignment="1">
      <alignment vertical="center"/>
    </xf>
    <xf numFmtId="167" fontId="0" fillId="0" borderId="10" xfId="1" applyNumberFormat="1" applyFont="1" applyFill="1" applyBorder="1" applyAlignment="1">
      <alignment horizontal="center" vertical="center"/>
    </xf>
    <xf numFmtId="0" fontId="0" fillId="0" borderId="0" xfId="0" applyAlignment="1">
      <alignment horizontal="center" vertical="center"/>
    </xf>
    <xf numFmtId="165" fontId="0" fillId="0" borderId="10" xfId="0" applyNumberFormat="1" applyBorder="1" applyAlignment="1">
      <alignment vertical="center"/>
    </xf>
    <xf numFmtId="0" fontId="14" fillId="3" borderId="0" xfId="0" applyFont="1" applyFill="1" applyAlignment="1">
      <alignment vertical="center" wrapText="1"/>
    </xf>
    <xf numFmtId="167" fontId="14" fillId="6" borderId="12" xfId="1" applyNumberFormat="1" applyFont="1" applyFill="1" applyBorder="1" applyAlignment="1">
      <alignment vertical="center"/>
    </xf>
    <xf numFmtId="167" fontId="14" fillId="4" borderId="0" xfId="1" applyNumberFormat="1" applyFont="1" applyFill="1" applyBorder="1" applyAlignment="1">
      <alignment vertical="center"/>
    </xf>
    <xf numFmtId="166" fontId="14" fillId="6" borderId="0" xfId="1" applyNumberFormat="1" applyFont="1" applyFill="1" applyBorder="1" applyAlignment="1">
      <alignment vertical="center"/>
    </xf>
    <xf numFmtId="167" fontId="0" fillId="0" borderId="10" xfId="1" applyNumberFormat="1" applyFont="1" applyFill="1" applyBorder="1" applyAlignment="1">
      <alignment vertical="center"/>
    </xf>
    <xf numFmtId="165" fontId="0" fillId="3" borderId="0" xfId="0" applyNumberFormat="1" applyFill="1" applyAlignment="1">
      <alignment vertical="center"/>
    </xf>
    <xf numFmtId="165" fontId="0" fillId="3" borderId="10" xfId="0" applyNumberFormat="1" applyFill="1" applyBorder="1" applyAlignment="1">
      <alignment vertical="center"/>
    </xf>
    <xf numFmtId="165" fontId="8" fillId="0" borderId="0" xfId="2" applyNumberFormat="1" applyFont="1" applyAlignment="1">
      <alignment vertical="center"/>
    </xf>
    <xf numFmtId="0" fontId="14" fillId="0" borderId="13" xfId="0" applyFont="1" applyBorder="1" applyAlignment="1">
      <alignment horizontal="center" vertical="center"/>
    </xf>
    <xf numFmtId="0" fontId="14" fillId="0" borderId="7" xfId="0" applyFont="1" applyBorder="1" applyAlignment="1">
      <alignment vertical="center"/>
    </xf>
    <xf numFmtId="0" fontId="14" fillId="0" borderId="7" xfId="0" applyFont="1" applyBorder="1" applyAlignment="1">
      <alignment horizontal="center" vertical="center" wrapText="1"/>
    </xf>
    <xf numFmtId="0" fontId="14" fillId="0" borderId="7" xfId="0" applyFont="1" applyBorder="1" applyAlignment="1">
      <alignment horizontal="center" vertical="center"/>
    </xf>
    <xf numFmtId="43" fontId="14" fillId="0" borderId="7" xfId="1" applyFont="1" applyFill="1" applyBorder="1" applyAlignment="1">
      <alignment vertical="center"/>
    </xf>
    <xf numFmtId="168" fontId="14" fillId="8" borderId="7" xfId="1" applyNumberFormat="1" applyFont="1" applyFill="1" applyBorder="1" applyAlignment="1">
      <alignment vertical="center"/>
    </xf>
    <xf numFmtId="167" fontId="14" fillId="6" borderId="18" xfId="1" applyNumberFormat="1" applyFont="1" applyFill="1" applyBorder="1" applyAlignment="1">
      <alignment vertical="center"/>
    </xf>
    <xf numFmtId="167" fontId="14" fillId="5" borderId="1" xfId="1" applyNumberFormat="1" applyFont="1" applyFill="1" applyBorder="1" applyAlignment="1">
      <alignment vertical="center"/>
    </xf>
    <xf numFmtId="166" fontId="14" fillId="6" borderId="1" xfId="1" applyNumberFormat="1" applyFont="1" applyFill="1" applyBorder="1" applyAlignment="1">
      <alignment vertical="center"/>
    </xf>
    <xf numFmtId="167" fontId="14" fillId="0" borderId="1" xfId="1" applyNumberFormat="1" applyFont="1" applyFill="1" applyBorder="1" applyAlignment="1">
      <alignment vertical="center"/>
    </xf>
    <xf numFmtId="167" fontId="0" fillId="0" borderId="6" xfId="1" applyNumberFormat="1" applyFont="1" applyFill="1" applyBorder="1" applyAlignment="1">
      <alignment horizontal="center" vertical="center"/>
    </xf>
    <xf numFmtId="0" fontId="0" fillId="0" borderId="7" xfId="0" applyBorder="1" applyAlignment="1">
      <alignment horizontal="center" vertical="center"/>
    </xf>
    <xf numFmtId="165" fontId="0" fillId="0" borderId="7" xfId="0" applyNumberFormat="1" applyBorder="1" applyAlignment="1">
      <alignment vertical="center"/>
    </xf>
    <xf numFmtId="165" fontId="0" fillId="0" borderId="14" xfId="0" applyNumberFormat="1" applyBorder="1" applyAlignment="1">
      <alignment vertical="center"/>
    </xf>
    <xf numFmtId="0" fontId="14" fillId="0" borderId="15" xfId="0" applyFont="1" applyBorder="1" applyAlignment="1">
      <alignment vertical="center"/>
    </xf>
    <xf numFmtId="0" fontId="14" fillId="0" borderId="15" xfId="0" applyFont="1" applyBorder="1" applyAlignment="1">
      <alignment horizontal="center" vertical="center" wrapText="1"/>
    </xf>
    <xf numFmtId="166" fontId="14" fillId="0" borderId="8" xfId="1" applyNumberFormat="1" applyFont="1" applyFill="1" applyBorder="1" applyAlignment="1">
      <alignment vertical="center"/>
    </xf>
    <xf numFmtId="167" fontId="14" fillId="9" borderId="0" xfId="1" applyNumberFormat="1" applyFont="1" applyFill="1" applyBorder="1" applyAlignment="1">
      <alignment vertical="center"/>
    </xf>
    <xf numFmtId="167" fontId="0" fillId="9" borderId="0" xfId="1" applyNumberFormat="1" applyFont="1" applyFill="1" applyBorder="1" applyAlignment="1">
      <alignment vertical="center"/>
    </xf>
    <xf numFmtId="0" fontId="0" fillId="0" borderId="0" xfId="0" applyAlignment="1">
      <alignment horizontal="center" vertical="center" wrapText="1"/>
    </xf>
    <xf numFmtId="165" fontId="0" fillId="9" borderId="0" xfId="0" applyNumberFormat="1" applyFill="1" applyAlignment="1">
      <alignment vertical="center"/>
    </xf>
    <xf numFmtId="165" fontId="6" fillId="0" borderId="11" xfId="0" applyNumberFormat="1" applyFont="1" applyBorder="1" applyAlignment="1">
      <alignment vertical="center" wrapText="1"/>
    </xf>
    <xf numFmtId="165" fontId="15" fillId="0" borderId="10" xfId="0" applyNumberFormat="1" applyFont="1" applyBorder="1" applyAlignment="1">
      <alignment horizontal="center" vertical="center"/>
    </xf>
    <xf numFmtId="0" fontId="14" fillId="0" borderId="0" xfId="0" applyFont="1" applyAlignment="1">
      <alignment vertical="center"/>
    </xf>
    <xf numFmtId="166" fontId="14" fillId="0" borderId="12" xfId="1" applyNumberFormat="1" applyFont="1" applyFill="1" applyBorder="1" applyAlignment="1">
      <alignment vertical="center"/>
    </xf>
    <xf numFmtId="0" fontId="14" fillId="3" borderId="7" xfId="0" applyFont="1" applyFill="1" applyBorder="1" applyAlignment="1">
      <alignment vertical="center" wrapText="1"/>
    </xf>
    <xf numFmtId="166" fontId="14" fillId="0" borderId="1" xfId="1" applyNumberFormat="1" applyFont="1" applyFill="1" applyBorder="1" applyAlignment="1">
      <alignment vertical="center"/>
    </xf>
    <xf numFmtId="166" fontId="14" fillId="5" borderId="6" xfId="1" applyNumberFormat="1" applyFont="1" applyFill="1" applyBorder="1" applyAlignment="1">
      <alignment vertical="center"/>
    </xf>
    <xf numFmtId="165" fontId="6" fillId="0" borderId="11" xfId="0" quotePrefix="1" applyNumberFormat="1" applyFont="1" applyBorder="1" applyAlignment="1">
      <alignment vertical="center" wrapText="1"/>
    </xf>
    <xf numFmtId="165" fontId="0" fillId="0" borderId="10" xfId="0" applyNumberFormat="1" applyBorder="1" applyAlignment="1">
      <alignment horizontal="center" vertical="center"/>
    </xf>
    <xf numFmtId="0" fontId="0" fillId="0" borderId="7" xfId="0" applyBorder="1" applyAlignment="1">
      <alignment vertical="center"/>
    </xf>
    <xf numFmtId="0" fontId="14" fillId="0" borderId="16" xfId="0" applyFont="1" applyBorder="1" applyAlignment="1">
      <alignment horizontal="center" vertical="center"/>
    </xf>
    <xf numFmtId="0" fontId="14" fillId="0" borderId="15" xfId="0" applyFont="1" applyBorder="1" applyAlignment="1">
      <alignment vertical="center" wrapText="1"/>
    </xf>
    <xf numFmtId="0" fontId="14" fillId="0" borderId="15" xfId="0" applyFont="1" applyBorder="1" applyAlignment="1">
      <alignment horizontal="center" vertical="center"/>
    </xf>
    <xf numFmtId="43" fontId="14" fillId="0" borderId="15" xfId="1" applyFont="1" applyFill="1" applyBorder="1" applyAlignment="1">
      <alignment vertical="center"/>
    </xf>
    <xf numFmtId="0" fontId="0" fillId="0" borderId="15" xfId="0" applyBorder="1" applyAlignment="1">
      <alignment vertical="center"/>
    </xf>
    <xf numFmtId="0" fontId="14" fillId="0" borderId="0" xfId="0" applyFont="1" applyAlignment="1">
      <alignment vertical="center" wrapText="1"/>
    </xf>
    <xf numFmtId="0" fontId="14" fillId="3" borderId="10" xfId="0" applyFont="1" applyFill="1" applyBorder="1" applyAlignment="1">
      <alignment vertical="center" wrapText="1"/>
    </xf>
    <xf numFmtId="0" fontId="14" fillId="0" borderId="7" xfId="0" applyFont="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43" fontId="14" fillId="0" borderId="1" xfId="1" applyFont="1" applyFill="1" applyBorder="1" applyAlignment="1">
      <alignment vertical="center"/>
    </xf>
    <xf numFmtId="166" fontId="14" fillId="0" borderId="0" xfId="1" applyNumberFormat="1" applyFont="1" applyFill="1" applyBorder="1" applyAlignment="1">
      <alignment vertical="center"/>
    </xf>
    <xf numFmtId="0" fontId="14" fillId="3" borderId="4" xfId="0" applyFont="1" applyFill="1" applyBorder="1" applyAlignment="1">
      <alignment vertical="center" wrapText="1"/>
    </xf>
    <xf numFmtId="0" fontId="14" fillId="0" borderId="10" xfId="0" applyFont="1" applyBorder="1" applyAlignment="1">
      <alignment vertical="center"/>
    </xf>
    <xf numFmtId="165" fontId="0" fillId="0" borderId="0" xfId="0" applyNumberFormat="1" applyAlignment="1">
      <alignment vertical="center"/>
    </xf>
    <xf numFmtId="166" fontId="14" fillId="0" borderId="4" xfId="1" applyNumberFormat="1" applyFont="1" applyFill="1" applyBorder="1" applyAlignment="1">
      <alignment vertical="center"/>
    </xf>
    <xf numFmtId="166" fontId="14" fillId="0" borderId="10" xfId="1" applyNumberFormat="1" applyFont="1" applyFill="1" applyBorder="1" applyAlignment="1">
      <alignment vertical="center"/>
    </xf>
    <xf numFmtId="167" fontId="14" fillId="10" borderId="9" xfId="1" applyNumberFormat="1" applyFont="1" applyFill="1" applyBorder="1" applyAlignment="1">
      <alignment vertical="center"/>
    </xf>
    <xf numFmtId="166" fontId="14" fillId="10" borderId="9" xfId="1" applyNumberFormat="1" applyFont="1" applyFill="1" applyBorder="1" applyAlignment="1">
      <alignment vertical="center"/>
    </xf>
    <xf numFmtId="166" fontId="14" fillId="10" borderId="0" xfId="1" applyNumberFormat="1" applyFont="1" applyFill="1" applyBorder="1" applyAlignment="1">
      <alignment vertical="center"/>
    </xf>
    <xf numFmtId="166" fontId="14" fillId="11" borderId="0" xfId="1" applyNumberFormat="1" applyFont="1" applyFill="1" applyBorder="1" applyAlignment="1">
      <alignment vertical="center"/>
    </xf>
    <xf numFmtId="167" fontId="14" fillId="11" borderId="0" xfId="1" applyNumberFormat="1" applyFont="1" applyFill="1" applyBorder="1" applyAlignment="1">
      <alignment vertical="center"/>
    </xf>
    <xf numFmtId="167" fontId="14" fillId="10" borderId="0" xfId="1" applyNumberFormat="1" applyFont="1" applyFill="1" applyBorder="1" applyAlignment="1">
      <alignment vertical="center"/>
    </xf>
    <xf numFmtId="0" fontId="0" fillId="0" borderId="0" xfId="0" applyAlignment="1">
      <alignment horizontal="left" indent="3"/>
    </xf>
    <xf numFmtId="165" fontId="8" fillId="0" borderId="13" xfId="2" applyNumberFormat="1" applyFont="1" applyBorder="1" applyAlignment="1">
      <alignment vertical="center"/>
    </xf>
    <xf numFmtId="165" fontId="10" fillId="7" borderId="0" xfId="2" applyNumberFormat="1" applyFont="1" applyFill="1" applyAlignment="1">
      <alignment vertical="top"/>
    </xf>
    <xf numFmtId="0" fontId="2" fillId="0" borderId="0" xfId="0" applyFont="1" applyAlignment="1">
      <alignment horizontal="right"/>
    </xf>
    <xf numFmtId="0" fontId="18" fillId="0" borderId="0" xfId="0" applyFont="1" applyAlignment="1">
      <alignment horizontal="right"/>
    </xf>
    <xf numFmtId="0" fontId="14" fillId="2" borderId="0" xfId="0" quotePrefix="1" applyFont="1" applyFill="1" applyAlignment="1">
      <alignment vertical="top"/>
    </xf>
    <xf numFmtId="0" fontId="14" fillId="2" borderId="0" xfId="0" applyFont="1" applyFill="1" applyAlignment="1">
      <alignment vertical="top"/>
    </xf>
    <xf numFmtId="0" fontId="14" fillId="2" borderId="0" xfId="0" applyFont="1" applyFill="1" applyAlignment="1">
      <alignment horizontal="center" vertical="top"/>
    </xf>
    <xf numFmtId="167" fontId="14" fillId="2" borderId="0" xfId="1" applyNumberFormat="1" applyFont="1" applyFill="1" applyAlignment="1">
      <alignment vertical="top"/>
    </xf>
    <xf numFmtId="166" fontId="14" fillId="2" borderId="0" xfId="1" applyNumberFormat="1" applyFont="1" applyFill="1" applyAlignment="1">
      <alignment vertical="top"/>
    </xf>
    <xf numFmtId="168" fontId="14" fillId="2" borderId="0" xfId="1" applyNumberFormat="1" applyFont="1" applyFill="1" applyAlignment="1">
      <alignment vertical="top"/>
    </xf>
    <xf numFmtId="0" fontId="0" fillId="2" borderId="0" xfId="0" quotePrefix="1" applyFill="1" applyAlignment="1">
      <alignment vertical="top"/>
    </xf>
    <xf numFmtId="169" fontId="0" fillId="2" borderId="0" xfId="1" applyNumberFormat="1" applyFont="1" applyFill="1" applyAlignment="1">
      <alignment vertical="top"/>
    </xf>
    <xf numFmtId="169" fontId="0" fillId="2" borderId="0" xfId="0" applyNumberFormat="1" applyFill="1" applyAlignment="1">
      <alignment vertical="top"/>
    </xf>
    <xf numFmtId="165" fontId="16" fillId="2" borderId="0" xfId="0" applyNumberFormat="1" applyFont="1" applyFill="1" applyAlignment="1">
      <alignment horizontal="center" vertical="top"/>
    </xf>
    <xf numFmtId="0" fontId="12" fillId="2" borderId="0" xfId="0" applyFont="1" applyFill="1" applyAlignment="1">
      <alignment vertical="top"/>
    </xf>
    <xf numFmtId="0" fontId="19" fillId="2" borderId="0" xfId="0" applyFont="1" applyFill="1" applyAlignment="1">
      <alignment vertical="top"/>
    </xf>
    <xf numFmtId="166" fontId="14" fillId="12" borderId="12" xfId="1" applyNumberFormat="1" applyFont="1" applyFill="1" applyBorder="1" applyAlignment="1">
      <alignment vertical="center"/>
    </xf>
    <xf numFmtId="168" fontId="14" fillId="6" borderId="9" xfId="1" applyNumberFormat="1" applyFont="1" applyFill="1" applyBorder="1" applyAlignment="1">
      <alignment vertical="center"/>
    </xf>
    <xf numFmtId="168" fontId="14" fillId="6" borderId="0" xfId="1" applyNumberFormat="1" applyFont="1" applyFill="1" applyBorder="1" applyAlignment="1">
      <alignment vertical="center"/>
    </xf>
    <xf numFmtId="168" fontId="14" fillId="6" borderId="15" xfId="1" applyNumberFormat="1" applyFont="1" applyFill="1" applyBorder="1" applyAlignment="1">
      <alignment vertical="center"/>
    </xf>
    <xf numFmtId="168" fontId="14" fillId="6" borderId="7" xfId="1" applyNumberFormat="1" applyFont="1" applyFill="1" applyBorder="1" applyAlignment="1">
      <alignment vertical="center"/>
    </xf>
    <xf numFmtId="168" fontId="14" fillId="6" borderId="1" xfId="1" applyNumberFormat="1" applyFont="1" applyFill="1" applyBorder="1" applyAlignment="1">
      <alignment vertical="center"/>
    </xf>
    <xf numFmtId="166" fontId="14" fillId="12" borderId="8" xfId="1" applyNumberFormat="1" applyFont="1" applyFill="1" applyBorder="1" applyAlignment="1">
      <alignment vertical="center"/>
    </xf>
    <xf numFmtId="166" fontId="14" fillId="8" borderId="4" xfId="1" applyNumberFormat="1" applyFont="1" applyFill="1" applyBorder="1" applyAlignment="1">
      <alignment vertical="center"/>
    </xf>
    <xf numFmtId="166" fontId="14" fillId="8" borderId="10" xfId="1" applyNumberFormat="1" applyFont="1" applyFill="1" applyBorder="1" applyAlignment="1">
      <alignment vertical="center"/>
    </xf>
    <xf numFmtId="166" fontId="14" fillId="12" borderId="18" xfId="1" applyNumberFormat="1" applyFont="1" applyFill="1" applyBorder="1" applyAlignment="1">
      <alignment vertical="center"/>
    </xf>
    <xf numFmtId="167" fontId="14" fillId="8" borderId="1" xfId="1" applyNumberFormat="1" applyFont="1" applyFill="1" applyBorder="1" applyAlignment="1">
      <alignment vertical="center"/>
    </xf>
    <xf numFmtId="166" fontId="14" fillId="8" borderId="6" xfId="1" applyNumberFormat="1" applyFont="1" applyFill="1" applyBorder="1" applyAlignment="1">
      <alignment vertical="center"/>
    </xf>
    <xf numFmtId="167" fontId="14" fillId="0" borderId="15" xfId="1" applyNumberFormat="1" applyFont="1" applyFill="1" applyBorder="1" applyAlignment="1">
      <alignment vertical="center"/>
    </xf>
    <xf numFmtId="167" fontId="14" fillId="0" borderId="7" xfId="1" applyNumberFormat="1" applyFont="1" applyFill="1" applyBorder="1" applyAlignment="1">
      <alignment vertical="center"/>
    </xf>
    <xf numFmtId="165" fontId="0" fillId="3" borderId="0" xfId="2" applyNumberFormat="1" applyFont="1" applyFill="1" applyBorder="1" applyAlignment="1">
      <alignment vertical="center" wrapText="1"/>
    </xf>
    <xf numFmtId="165" fontId="2" fillId="7" borderId="1" xfId="0" applyNumberFormat="1" applyFont="1" applyFill="1" applyBorder="1" applyAlignment="1">
      <alignment vertical="top"/>
    </xf>
    <xf numFmtId="165" fontId="2" fillId="7" borderId="6" xfId="0" applyNumberFormat="1" applyFont="1" applyFill="1" applyBorder="1" applyAlignment="1">
      <alignment vertical="top"/>
    </xf>
    <xf numFmtId="167" fontId="14" fillId="9" borderId="8" xfId="1" applyNumberFormat="1" applyFont="1" applyFill="1" applyBorder="1" applyAlignment="1">
      <alignment vertical="center"/>
    </xf>
    <xf numFmtId="167" fontId="14" fillId="9" borderId="9" xfId="1" applyNumberFormat="1" applyFont="1" applyFill="1" applyBorder="1" applyAlignment="1">
      <alignment vertical="center"/>
    </xf>
    <xf numFmtId="167" fontId="0" fillId="9" borderId="9" xfId="1" applyNumberFormat="1" applyFont="1" applyFill="1" applyBorder="1" applyAlignment="1">
      <alignment vertical="center"/>
    </xf>
    <xf numFmtId="0" fontId="0" fillId="0" borderId="9" xfId="0" applyBorder="1" applyAlignment="1">
      <alignment horizontal="center" vertical="center" wrapText="1"/>
    </xf>
    <xf numFmtId="165" fontId="0" fillId="9" borderId="9" xfId="0" applyNumberFormat="1" applyFill="1" applyBorder="1" applyAlignment="1">
      <alignment vertical="center"/>
    </xf>
    <xf numFmtId="165" fontId="0" fillId="0" borderId="4" xfId="0" applyNumberFormat="1" applyBorder="1" applyAlignment="1">
      <alignment vertical="center"/>
    </xf>
    <xf numFmtId="167" fontId="14" fillId="9" borderId="12" xfId="1" applyNumberFormat="1" applyFont="1" applyFill="1" applyBorder="1" applyAlignment="1">
      <alignment vertical="center"/>
    </xf>
    <xf numFmtId="165" fontId="0" fillId="3" borderId="10" xfId="2" applyNumberFormat="1" applyFont="1" applyFill="1" applyBorder="1" applyAlignment="1">
      <alignment vertical="center" wrapText="1"/>
    </xf>
    <xf numFmtId="167" fontId="14" fillId="9" borderId="18" xfId="1" applyNumberFormat="1" applyFont="1" applyFill="1" applyBorder="1" applyAlignment="1">
      <alignment vertical="center"/>
    </xf>
    <xf numFmtId="167" fontId="14" fillId="9" borderId="1" xfId="1" applyNumberFormat="1" applyFont="1" applyFill="1" applyBorder="1" applyAlignment="1">
      <alignment vertical="center"/>
    </xf>
    <xf numFmtId="167" fontId="0" fillId="9" borderId="1" xfId="1" applyNumberFormat="1" applyFont="1" applyFill="1" applyBorder="1" applyAlignment="1">
      <alignment vertical="center"/>
    </xf>
    <xf numFmtId="0" fontId="0" fillId="0" borderId="1" xfId="0" applyBorder="1" applyAlignment="1">
      <alignment horizontal="center" vertical="center" wrapText="1"/>
    </xf>
    <xf numFmtId="165" fontId="0" fillId="9" borderId="1" xfId="0" applyNumberFormat="1" applyFill="1" applyBorder="1" applyAlignment="1">
      <alignment vertical="center"/>
    </xf>
    <xf numFmtId="165" fontId="0" fillId="0" borderId="6" xfId="0" applyNumberFormat="1" applyBorder="1" applyAlignment="1">
      <alignment vertical="center"/>
    </xf>
    <xf numFmtId="0" fontId="20" fillId="0" borderId="0" xfId="0" applyFont="1" applyAlignment="1">
      <alignment horizontal="left" vertical="center" indent="3" readingOrder="1"/>
    </xf>
    <xf numFmtId="0" fontId="21" fillId="0" borderId="0" xfId="0" applyFont="1" applyAlignment="1">
      <alignment horizontal="left" vertical="center" readingOrder="1"/>
    </xf>
    <xf numFmtId="0" fontId="14" fillId="0" borderId="2" xfId="0" applyFont="1" applyBorder="1" applyAlignment="1">
      <alignment horizontal="center" vertical="center"/>
    </xf>
    <xf numFmtId="0" fontId="14" fillId="0" borderId="11" xfId="0" applyFont="1" applyBorder="1" applyAlignment="1">
      <alignment horizontal="center" vertical="center"/>
    </xf>
    <xf numFmtId="0" fontId="14" fillId="0" borderId="5" xfId="0" applyFont="1" applyBorder="1" applyAlignment="1">
      <alignment horizontal="center" vertical="center"/>
    </xf>
    <xf numFmtId="0" fontId="17" fillId="0" borderId="0" xfId="0" applyFont="1" applyAlignment="1">
      <alignment horizontal="left" vertical="top" wrapText="1"/>
    </xf>
    <xf numFmtId="165" fontId="7" fillId="2" borderId="4" xfId="0" applyNumberFormat="1" applyFont="1" applyFill="1" applyBorder="1" applyAlignment="1">
      <alignment horizontal="left" textRotation="90"/>
    </xf>
    <xf numFmtId="165" fontId="7" fillId="2" borderId="6" xfId="0" applyNumberFormat="1" applyFont="1" applyFill="1" applyBorder="1" applyAlignment="1">
      <alignment horizontal="left" textRotation="90"/>
    </xf>
    <xf numFmtId="0" fontId="2" fillId="2" borderId="19" xfId="0" applyFont="1" applyFill="1" applyBorder="1" applyAlignment="1">
      <alignment horizontal="center" vertical="center"/>
    </xf>
    <xf numFmtId="0" fontId="2" fillId="2" borderId="3" xfId="0" applyFont="1" applyFill="1" applyBorder="1" applyAlignment="1">
      <alignment horizontal="center" vertical="center"/>
    </xf>
    <xf numFmtId="168" fontId="2" fillId="2" borderId="8" xfId="1" applyNumberFormat="1" applyFont="1" applyFill="1" applyBorder="1" applyAlignment="1">
      <alignment horizontal="center" vertical="center" wrapText="1"/>
    </xf>
    <xf numFmtId="168" fontId="2" fillId="2" borderId="18" xfId="1"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165" fontId="2" fillId="2" borderId="2" xfId="0" applyNumberFormat="1" applyFont="1" applyFill="1" applyBorder="1" applyAlignment="1">
      <alignment horizontal="center" vertical="center"/>
    </xf>
    <xf numFmtId="165" fontId="2" fillId="2" borderId="5" xfId="0" applyNumberFormat="1" applyFont="1" applyFill="1" applyBorder="1" applyAlignment="1">
      <alignment horizontal="center" vertical="center"/>
    </xf>
    <xf numFmtId="165" fontId="2" fillId="2" borderId="2" xfId="0" applyNumberFormat="1" applyFont="1" applyFill="1" applyBorder="1" applyAlignment="1">
      <alignment horizontal="center" vertical="center" wrapText="1"/>
    </xf>
    <xf numFmtId="0" fontId="14" fillId="2" borderId="9" xfId="0" applyFont="1" applyFill="1" applyBorder="1" applyAlignment="1">
      <alignment horizontal="left" vertical="top"/>
    </xf>
    <xf numFmtId="0" fontId="0" fillId="3" borderId="0" xfId="0" applyFill="1" applyAlignment="1">
      <alignment horizontal="right" vertical="top"/>
    </xf>
    <xf numFmtId="0" fontId="9" fillId="0" borderId="0" xfId="0" applyFont="1" applyAlignment="1">
      <alignment horizontal="center" vertical="top" wrapText="1"/>
    </xf>
    <xf numFmtId="0" fontId="0" fillId="0" borderId="0" xfId="0" applyAlignment="1">
      <alignment horizontal="left" vertical="top" wrapText="1"/>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114300</xdr:rowOff>
    </xdr:from>
    <xdr:to>
      <xdr:col>0</xdr:col>
      <xdr:colOff>2813050</xdr:colOff>
      <xdr:row>2</xdr:row>
      <xdr:rowOff>388071</xdr:rowOff>
    </xdr:to>
    <xdr:pic>
      <xdr:nvPicPr>
        <xdr:cNvPr id="3" name="Picture 2" descr="A picture containing clock&#10;&#10;Description automatically generated">
          <a:extLst>
            <a:ext uri="{FF2B5EF4-FFF2-40B4-BE49-F238E27FC236}">
              <a16:creationId xmlns:a16="http://schemas.microsoft.com/office/drawing/2014/main" id="{11E55380-3C53-4EB0-A0E1-9B8E414690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14300"/>
          <a:ext cx="2765425" cy="6547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34925</xdr:colOff>
      <xdr:row>0</xdr:row>
      <xdr:rowOff>38099</xdr:rowOff>
    </xdr:from>
    <xdr:to>
      <xdr:col>3</xdr:col>
      <xdr:colOff>9396</xdr:colOff>
      <xdr:row>2</xdr:row>
      <xdr:rowOff>234950</xdr:rowOff>
    </xdr:to>
    <xdr:pic>
      <xdr:nvPicPr>
        <xdr:cNvPr id="6" name="Picture 5" descr="A picture containing clock&#10;&#10;Description automatically generated">
          <a:extLst>
            <a:ext uri="{FF2B5EF4-FFF2-40B4-BE49-F238E27FC236}">
              <a16:creationId xmlns:a16="http://schemas.microsoft.com/office/drawing/2014/main" id="{65C8C1F6-81F5-514A-93A5-26AF71A15E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925" y="38099"/>
          <a:ext cx="3057396" cy="72390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rica Honeycutt" id="{FE4470F0-8256-4342-9A6D-D306B2DE3345}" userId="5af056efde1cbc9c" providerId="Windows Live"/>
  <person displayName="Erica Honeycutt" id="{E3FA935E-16A7-476A-955D-61A67125B3D9}" userId="S::erica@honeycuttsolutions.com::a9c32107-eb2f-4c25-8b0d-9fed311c0e4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 dT="2023-08-19T13:11:34.87" personId="{FE4470F0-8256-4342-9A6D-D306B2DE3345}" id="{E5CBDC50-5AC1-469B-A2FF-11F05855B681}">
    <text>Owner # from Database</text>
  </threadedComment>
  <threadedComment ref="T5" dT="2023-08-21T13:56:15.71" personId="{FE4470F0-8256-4342-9A6D-D306B2DE3345}" id="{26521F54-D4E1-407D-B5C2-F98FE3AF6FAE}">
    <text>WI * MI * TPF</text>
  </threadedComment>
  <threadedComment ref="H6" dT="2023-08-23T02:31:02.81" personId="{FE4470F0-8256-4342-9A6D-D306B2DE3345}" id="{CEE77A86-C70D-4978-8505-F73111B84B70}">
    <text>Tract Gross Acres / Total Unit Acres</text>
  </threadedComment>
  <threadedComment ref="I6" dT="2023-08-20T22:01:21.10" personId="{FE4470F0-8256-4342-9A6D-D306B2DE3345}" id="{6D916848-77E3-4C4D-9DB6-68A5E6C02EF0}">
    <text>Lessor / Mineral Owner's Interest in Tract</text>
  </threadedComment>
  <threadedComment ref="J6" dT="2023-08-20T21:59:57.37" personId="{FE4470F0-8256-4342-9A6D-D306B2DE3345}" id="{2C2CADE9-8674-4B4F-9D8B-CF55033AEFBB}">
    <text>Gross Royalty % listed in Lease</text>
  </threadedComment>
  <threadedComment ref="K6" dT="2023-08-21T13:38:59.61" personId="{FE4470F0-8256-4342-9A6D-D306B2DE3345}" id="{E0670460-F400-48C0-B03F-D6CFC840E674}">
    <text>Royalty Share comes from Lessor/Mineral Owner's interest (unlike an ORRI which is burdened from the working interest share</text>
  </threadedComment>
  <threadedComment ref="N6" dT="2023-08-20T21:59:57.37" personId="{FE4470F0-8256-4342-9A6D-D306B2DE3345}" id="{446E23AD-B513-4C6A-B586-CB83D94D76FA}">
    <text>Gross Royalty % listed in Lease</text>
  </threadedComment>
  <threadedComment ref="N6" dT="2023-08-20T22:09:32.05" personId="{FE4470F0-8256-4342-9A6D-D306B2DE3345}" id="{D4101DC6-27E4-46EA-A384-B05BD88DBC8E}" parentId="{446E23AD-B513-4C6A-B586-CB83D94D76FA}">
    <text>Burden Type 1a</text>
  </threadedComment>
  <threadedComment ref="O6" dT="2023-08-20T22:09:48.63" personId="{FE4470F0-8256-4342-9A6D-D306B2DE3345}" id="{D6E9CEE0-5644-45AD-AF28-4C5285EEF4B1}">
    <text>Burden Type 1b</text>
  </threadedComment>
  <threadedComment ref="P6" dT="2023-08-21T13:57:51.42" personId="{FE4470F0-8256-4342-9A6D-D306B2DE3345}" id="{7510810A-33CA-4A2E-9CCD-DAD20EE18DEC}">
    <text>WI, less burdens (LRI, ORRI)</text>
  </threadedComment>
  <threadedComment ref="Q6" dT="2023-08-21T14:00:39.42" personId="{FE4470F0-8256-4342-9A6D-D306B2DE3345}" id="{7F742342-B5FE-460F-82DA-0939485F1ADC}">
    <text>Gross NRI * WI</text>
  </threadedComment>
  <threadedComment ref="R6" dT="2023-08-20T22:08:57.52" personId="{FE4470F0-8256-4342-9A6D-D306B2DE3345}" id="{B52FD973-4ABA-4F56-9E7F-2C5E8E74B72D}">
    <text>If parties go non-consent or you encounter carried WI situations, you will need to tract Before Payout (BPO) and After Payout (APO) interests</text>
  </threadedComment>
  <threadedComment ref="D7" dT="2023-08-20T22:06:32.70" personId="{FE4470F0-8256-4342-9A6D-D306B2DE3345}" id="{D6E4A533-FC48-49F2-88EC-CF8356654783}">
    <text>If MI does not total 100% or ownership differs between the 2 leases, you will need to break out differences and proportionally reduce to account for the MI</text>
  </threadedComment>
  <threadedComment ref="D8" dT="2023-08-21T13:50:31.29" personId="{FE4470F0-8256-4342-9A6D-D306B2DE3345}" id="{3D4276F5-FCB1-4173-8976-0D8783AF1C6D}">
    <text>If MI does not total 100% or ownership differs between the 2 leases, you will need to break out differences and proportionally reduce to account for the MI</text>
  </threadedComment>
  <threadedComment ref="D9" dT="2023-08-20T22:06:32.70" personId="{FE4470F0-8256-4342-9A6D-D306B2DE3345}" id="{8DFA625F-D9A9-4E29-94D2-5605548A3651}">
    <text>If MI does not total 100% or ownership differs between the 2 leases, you will need to break out differences and proportionally reduce to account for the MI</text>
  </threadedComment>
  <threadedComment ref="D10" dT="2023-08-21T13:50:31.29" personId="{FE4470F0-8256-4342-9A6D-D306B2DE3345}" id="{CAC9533E-E0E0-4EFF-BC6D-86B1466D5D52}">
    <text>If MI does not total 100% or ownership differs between the 2 leases, you will need to break out differences and proportionally reduce to account for the MI</text>
  </threadedComment>
  <threadedComment ref="K13" dT="2025-12-09T14:08:19.93" personId="{E3FA935E-16A7-476A-955D-61A67125B3D9}" id="{35A706B0-8335-45E2-A926-E31920691F6D}">
    <text xml:space="preserve">Special calculation to remove NPRI burden of 20% of RI </text>
  </threadedComment>
  <threadedComment ref="K15" dT="2023-08-20T22:02:31.26" personId="{FE4470F0-8256-4342-9A6D-D306B2DE3345}" id="{9B2BBD40-5C62-4573-B3B1-3AD1C2BE4545}">
    <text xml:space="preserve">Special calculation for NPRI. Associated Mineral Interest * royalty share (example is 20%) * Lease Royalty
</text>
  </threadedComment>
  <threadedComment ref="L20" dT="2023-08-23T02:33:46.29" personId="{FE4470F0-8256-4342-9A6D-D306B2DE3345}" id="{235B00BA-ADCD-4F98-ACA5-F1FEE22A8AF1}">
    <text>When totaling the ORRI for the WI burden, this ORRI will need to be proportionately reduced to consider the associated WI (1.375% x 90%)</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1FB15-69F5-417D-ACDA-58E237CE30B4}">
  <sheetPr>
    <tabColor rgb="FFFF0000"/>
  </sheetPr>
  <dimension ref="A3:A25"/>
  <sheetViews>
    <sheetView view="pageBreakPreview" zoomScale="60" zoomScaleNormal="100" workbookViewId="0">
      <selection activeCell="A5" sqref="A5:A25"/>
    </sheetView>
  </sheetViews>
  <sheetFormatPr defaultRowHeight="14.4" x14ac:dyDescent="0.3"/>
  <cols>
    <col min="1" max="1" width="129.44140625" customWidth="1"/>
  </cols>
  <sheetData>
    <row r="3" spans="1:1" ht="33.6" x14ac:dyDescent="0.65">
      <c r="A3" s="162" t="s">
        <v>112</v>
      </c>
    </row>
    <row r="5" spans="1:1" x14ac:dyDescent="0.3">
      <c r="A5" s="211" t="s">
        <v>120</v>
      </c>
    </row>
    <row r="6" spans="1:1" x14ac:dyDescent="0.3">
      <c r="A6" s="211"/>
    </row>
    <row r="7" spans="1:1" x14ac:dyDescent="0.3">
      <c r="A7" s="211"/>
    </row>
    <row r="8" spans="1:1" x14ac:dyDescent="0.3">
      <c r="A8" s="211"/>
    </row>
    <row r="9" spans="1:1" x14ac:dyDescent="0.3">
      <c r="A9" s="211"/>
    </row>
    <row r="10" spans="1:1" x14ac:dyDescent="0.3">
      <c r="A10" s="211"/>
    </row>
    <row r="11" spans="1:1" x14ac:dyDescent="0.3">
      <c r="A11" s="211"/>
    </row>
    <row r="12" spans="1:1" x14ac:dyDescent="0.3">
      <c r="A12" s="211"/>
    </row>
    <row r="13" spans="1:1" x14ac:dyDescent="0.3">
      <c r="A13" s="211"/>
    </row>
    <row r="14" spans="1:1" x14ac:dyDescent="0.3">
      <c r="A14" s="211"/>
    </row>
    <row r="15" spans="1:1" x14ac:dyDescent="0.3">
      <c r="A15" s="211"/>
    </row>
    <row r="16" spans="1:1" x14ac:dyDescent="0.3">
      <c r="A16" s="211"/>
    </row>
    <row r="17" spans="1:1" x14ac:dyDescent="0.3">
      <c r="A17" s="211"/>
    </row>
    <row r="18" spans="1:1" x14ac:dyDescent="0.3">
      <c r="A18" s="211"/>
    </row>
    <row r="19" spans="1:1" x14ac:dyDescent="0.3">
      <c r="A19" s="211"/>
    </row>
    <row r="20" spans="1:1" x14ac:dyDescent="0.3">
      <c r="A20" s="211"/>
    </row>
    <row r="21" spans="1:1" x14ac:dyDescent="0.3">
      <c r="A21" s="211"/>
    </row>
    <row r="22" spans="1:1" x14ac:dyDescent="0.3">
      <c r="A22" s="211"/>
    </row>
    <row r="23" spans="1:1" x14ac:dyDescent="0.3">
      <c r="A23" s="211"/>
    </row>
    <row r="24" spans="1:1" x14ac:dyDescent="0.3">
      <c r="A24" s="211"/>
    </row>
    <row r="25" spans="1:1" x14ac:dyDescent="0.3">
      <c r="A25" s="211"/>
    </row>
  </sheetData>
  <mergeCells count="1">
    <mergeCell ref="A5:A2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5F01B-D40B-482D-8FD9-B36E0DE3B817}">
  <sheetPr>
    <tabColor rgb="FFFFFF00"/>
    <pageSetUpPr fitToPage="1"/>
  </sheetPr>
  <dimension ref="A1:Y57"/>
  <sheetViews>
    <sheetView tabSelected="1" view="pageBreakPreview" zoomScale="85" zoomScaleNormal="100" zoomScaleSheetLayoutView="85" workbookViewId="0">
      <selection activeCell="E2" sqref="E2"/>
    </sheetView>
  </sheetViews>
  <sheetFormatPr defaultColWidth="8.88671875" defaultRowHeight="14.4" x14ac:dyDescent="0.3"/>
  <cols>
    <col min="1" max="1" width="8.88671875" style="15"/>
    <col min="2" max="2" width="29.109375" style="15" customWidth="1"/>
    <col min="3" max="3" width="8.109375" style="16" customWidth="1"/>
    <col min="4" max="4" width="10.109375" style="16" customWidth="1"/>
    <col min="5" max="5" width="5.44140625" style="15" bestFit="1" customWidth="1"/>
    <col min="6" max="6" width="8.44140625" style="15" bestFit="1" customWidth="1"/>
    <col min="7" max="7" width="10.6640625" style="15" customWidth="1"/>
    <col min="8" max="8" width="12.33203125" style="15" bestFit="1" customWidth="1"/>
    <col min="9" max="9" width="10.6640625" style="15" customWidth="1"/>
    <col min="10" max="10" width="9.44140625" style="28" bestFit="1" customWidth="1"/>
    <col min="11" max="11" width="14.6640625" style="29" customWidth="1"/>
    <col min="12" max="12" width="10.88671875" style="52" bestFit="1" customWidth="1"/>
    <col min="13" max="13" width="12" style="28" customWidth="1"/>
    <col min="14" max="14" width="10" style="15" bestFit="1" customWidth="1"/>
    <col min="15" max="15" width="10.5546875" style="15" bestFit="1" customWidth="1"/>
    <col min="16" max="17" width="9.44140625" style="15" bestFit="1" customWidth="1"/>
    <col min="18" max="18" width="9" style="15" bestFit="1" customWidth="1"/>
    <col min="19" max="19" width="14.77734375" style="16" customWidth="1"/>
    <col min="20" max="20" width="13" style="14" bestFit="1" customWidth="1"/>
    <col min="21" max="21" width="18" style="14" bestFit="1" customWidth="1"/>
    <col min="22" max="22" width="3.33203125" style="30" bestFit="1" customWidth="1"/>
    <col min="23" max="23" width="11.88671875" style="31" bestFit="1" customWidth="1"/>
    <col min="24" max="24" width="14" style="15" bestFit="1" customWidth="1"/>
    <col min="25" max="16384" width="8.88671875" style="15"/>
  </cols>
  <sheetData>
    <row r="1" spans="1:24" s="3" customFormat="1" x14ac:dyDescent="0.3">
      <c r="C1" s="45"/>
      <c r="D1" s="45"/>
      <c r="J1" s="46"/>
      <c r="K1" s="47"/>
      <c r="L1" s="49"/>
      <c r="M1" s="46"/>
      <c r="S1" s="45"/>
      <c r="T1" s="48"/>
      <c r="U1" s="6" t="s">
        <v>129</v>
      </c>
      <c r="V1" s="5"/>
      <c r="W1" s="6"/>
    </row>
    <row r="2" spans="1:24" s="3" customFormat="1" ht="25.8" x14ac:dyDescent="0.3">
      <c r="C2" s="45"/>
      <c r="D2" s="45"/>
      <c r="J2" s="46"/>
      <c r="K2" s="47"/>
      <c r="L2" s="49"/>
      <c r="M2" s="46"/>
      <c r="R2" s="173" t="str">
        <f>IF(T36&lt;&gt;1,"YOUR WI does not total 100%","")</f>
        <v/>
      </c>
      <c r="S2" s="45"/>
      <c r="T2" s="48"/>
      <c r="U2" s="48"/>
      <c r="V2" s="5"/>
      <c r="W2" s="6"/>
    </row>
    <row r="3" spans="1:24" s="3" customFormat="1" ht="25.8" x14ac:dyDescent="0.3">
      <c r="C3" s="45"/>
      <c r="D3" s="45"/>
      <c r="G3" s="174" t="s">
        <v>108</v>
      </c>
      <c r="J3" s="46"/>
      <c r="K3" s="47"/>
      <c r="L3" s="49"/>
      <c r="M3" s="46"/>
      <c r="R3" s="173" t="str">
        <f>IF(U36&lt;&gt;1,"YOUR NRI does not total 100%","")</f>
        <v/>
      </c>
      <c r="S3" s="45"/>
      <c r="T3" s="48"/>
      <c r="U3" s="48"/>
      <c r="V3" s="5"/>
      <c r="W3" s="6"/>
    </row>
    <row r="4" spans="1:24" s="3" customFormat="1" ht="29.4" thickBot="1" x14ac:dyDescent="0.55000000000000004">
      <c r="A4" s="1" t="s">
        <v>66</v>
      </c>
      <c r="B4" s="2"/>
      <c r="C4" s="2"/>
      <c r="D4" s="2"/>
      <c r="E4" s="2"/>
      <c r="G4" s="4"/>
      <c r="H4" s="4"/>
      <c r="I4" s="4" t="s">
        <v>113</v>
      </c>
      <c r="J4" s="4"/>
      <c r="K4" s="4"/>
      <c r="L4" s="50"/>
      <c r="M4" s="4"/>
      <c r="N4" s="4"/>
      <c r="O4" s="4"/>
      <c r="P4" s="4"/>
      <c r="Q4" s="4"/>
      <c r="R4" s="4"/>
      <c r="S4" s="4"/>
      <c r="T4" s="41" t="s">
        <v>40</v>
      </c>
      <c r="U4" s="65"/>
      <c r="V4" s="5"/>
      <c r="W4" s="6"/>
      <c r="X4" s="6"/>
    </row>
    <row r="5" spans="1:24" s="9" customFormat="1" ht="15" thickBot="1" x14ac:dyDescent="0.35">
      <c r="A5" s="227" t="s">
        <v>0</v>
      </c>
      <c r="B5" s="229" t="s">
        <v>1</v>
      </c>
      <c r="C5" s="231" t="s">
        <v>62</v>
      </c>
      <c r="D5" s="231" t="s">
        <v>92</v>
      </c>
      <c r="E5" s="215" t="s">
        <v>2</v>
      </c>
      <c r="F5" s="215"/>
      <c r="G5" s="215"/>
      <c r="H5" s="215"/>
      <c r="I5" s="214" t="s">
        <v>3</v>
      </c>
      <c r="J5" s="215"/>
      <c r="K5" s="215"/>
      <c r="L5" s="216" t="s">
        <v>63</v>
      </c>
      <c r="M5" s="215" t="s">
        <v>4</v>
      </c>
      <c r="N5" s="215"/>
      <c r="O5" s="215"/>
      <c r="P5" s="215"/>
      <c r="Q5" s="215"/>
      <c r="R5" s="215"/>
      <c r="S5" s="218" t="s">
        <v>5</v>
      </c>
      <c r="T5" s="220" t="s">
        <v>6</v>
      </c>
      <c r="U5" s="222" t="s">
        <v>65</v>
      </c>
      <c r="V5" s="212" t="s">
        <v>7</v>
      </c>
      <c r="W5" s="8"/>
    </row>
    <row r="6" spans="1:24" s="9" customFormat="1" ht="72.599999999999994" thickBot="1" x14ac:dyDescent="0.35">
      <c r="A6" s="228"/>
      <c r="B6" s="230"/>
      <c r="C6" s="232"/>
      <c r="D6" s="228"/>
      <c r="E6" s="10" t="s">
        <v>91</v>
      </c>
      <c r="F6" s="10" t="s">
        <v>8</v>
      </c>
      <c r="G6" s="10" t="s">
        <v>9</v>
      </c>
      <c r="H6" s="10" t="s">
        <v>10</v>
      </c>
      <c r="I6" s="42" t="s">
        <v>11</v>
      </c>
      <c r="J6" s="10" t="s">
        <v>90</v>
      </c>
      <c r="K6" s="12" t="s">
        <v>51</v>
      </c>
      <c r="L6" s="217"/>
      <c r="M6" s="11" t="s">
        <v>115</v>
      </c>
      <c r="N6" s="10" t="s">
        <v>116</v>
      </c>
      <c r="O6" s="10" t="s">
        <v>94</v>
      </c>
      <c r="P6" s="10" t="s">
        <v>12</v>
      </c>
      <c r="Q6" s="10" t="s">
        <v>13</v>
      </c>
      <c r="R6" s="7" t="s">
        <v>14</v>
      </c>
      <c r="S6" s="219"/>
      <c r="T6" s="221"/>
      <c r="U6" s="221"/>
      <c r="V6" s="213"/>
      <c r="W6" s="53" t="s">
        <v>67</v>
      </c>
      <c r="X6" s="13" t="s">
        <v>82</v>
      </c>
    </row>
    <row r="7" spans="1:24" s="83" customFormat="1" x14ac:dyDescent="0.3">
      <c r="A7" s="66">
        <v>10</v>
      </c>
      <c r="B7" s="147" t="s">
        <v>21</v>
      </c>
      <c r="C7" s="208" t="s">
        <v>15</v>
      </c>
      <c r="D7" s="67">
        <v>1700</v>
      </c>
      <c r="E7" s="68">
        <v>1</v>
      </c>
      <c r="F7" s="69">
        <v>645.96</v>
      </c>
      <c r="G7" s="69">
        <f>F7+F11</f>
        <v>1285.1600000000001</v>
      </c>
      <c r="H7" s="60">
        <f>F7/G7</f>
        <v>0.50263002272090629</v>
      </c>
      <c r="I7" s="120">
        <v>0.75</v>
      </c>
      <c r="J7" s="71"/>
      <c r="K7" s="70"/>
      <c r="L7" s="72"/>
      <c r="M7" s="73">
        <v>0.9</v>
      </c>
      <c r="N7" s="153">
        <v>0.25</v>
      </c>
      <c r="O7" s="74">
        <v>0</v>
      </c>
      <c r="P7" s="75">
        <f>1-N7-O7</f>
        <v>0.75</v>
      </c>
      <c r="Q7" s="75">
        <f>P7*M7</f>
        <v>0.67500000000000004</v>
      </c>
      <c r="R7" s="76" t="s">
        <v>87</v>
      </c>
      <c r="S7" s="77"/>
      <c r="T7" s="78">
        <f>M7*H7*I7</f>
        <v>0.33927526533661173</v>
      </c>
      <c r="U7" s="79">
        <f>Q7*H7*I7</f>
        <v>0.25445644900245884</v>
      </c>
      <c r="V7" s="80"/>
      <c r="W7" s="81" t="s">
        <v>16</v>
      </c>
      <c r="X7" s="82">
        <f>(U7+U8+U11)+((U13+U15+U14))*(T7+T8+T11)</f>
        <v>0.78809175511220397</v>
      </c>
    </row>
    <row r="8" spans="1:24" s="83" customFormat="1" x14ac:dyDescent="0.3">
      <c r="A8" s="84">
        <v>10</v>
      </c>
      <c r="B8" s="141" t="s">
        <v>21</v>
      </c>
      <c r="C8" s="209" t="s">
        <v>15</v>
      </c>
      <c r="D8" s="85">
        <v>1900</v>
      </c>
      <c r="E8" s="86">
        <v>1</v>
      </c>
      <c r="F8" s="87">
        <v>645.96</v>
      </c>
      <c r="G8" s="87">
        <f>F8+F12</f>
        <v>1285.1600000000001</v>
      </c>
      <c r="H8" s="61">
        <f>F8/G8</f>
        <v>0.50263002272090629</v>
      </c>
      <c r="I8" s="128">
        <v>0.25</v>
      </c>
      <c r="J8" s="89"/>
      <c r="K8" s="88"/>
      <c r="L8" s="90"/>
      <c r="M8" s="91">
        <v>0.9</v>
      </c>
      <c r="N8" s="155">
        <v>0.1875</v>
      </c>
      <c r="O8" s="146">
        <v>0</v>
      </c>
      <c r="P8" s="92">
        <f t="shared" ref="P8:P12" si="0">1-N8-O8</f>
        <v>0.8125</v>
      </c>
      <c r="Q8" s="92">
        <f>P8*M8</f>
        <v>0.73125000000000007</v>
      </c>
      <c r="R8" s="100" t="s">
        <v>87</v>
      </c>
      <c r="S8" s="94"/>
      <c r="T8" s="101">
        <f t="shared" ref="T8:T12" si="1">M8*H8*I8</f>
        <v>0.11309175511220391</v>
      </c>
      <c r="U8" s="102">
        <f>Q8*H8*I8</f>
        <v>9.1887051028665692E-2</v>
      </c>
      <c r="V8" s="80"/>
      <c r="W8" s="81" t="s">
        <v>16</v>
      </c>
      <c r="X8" s="82"/>
    </row>
    <row r="9" spans="1:24" s="83" customFormat="1" x14ac:dyDescent="0.3">
      <c r="A9" s="84">
        <v>3671</v>
      </c>
      <c r="B9" s="148" t="s">
        <v>89</v>
      </c>
      <c r="C9" s="209" t="s">
        <v>15</v>
      </c>
      <c r="D9" s="85">
        <v>1700</v>
      </c>
      <c r="E9" s="86">
        <v>1</v>
      </c>
      <c r="F9" s="87">
        <v>645.96</v>
      </c>
      <c r="G9" s="87">
        <v>1285.1600000000001</v>
      </c>
      <c r="H9" s="61">
        <f t="shared" ref="H9" si="2">F9/G9</f>
        <v>0.50263002272090629</v>
      </c>
      <c r="I9" s="128">
        <v>0.75</v>
      </c>
      <c r="J9" s="89"/>
      <c r="K9" s="88"/>
      <c r="L9" s="90"/>
      <c r="M9" s="91">
        <v>0.1</v>
      </c>
      <c r="N9" s="154">
        <v>0.25</v>
      </c>
      <c r="O9" s="92">
        <v>0</v>
      </c>
      <c r="P9" s="92">
        <f t="shared" si="0"/>
        <v>0.75</v>
      </c>
      <c r="Q9" s="92">
        <f t="shared" ref="Q9" si="3">P9*M9</f>
        <v>7.5000000000000011E-2</v>
      </c>
      <c r="R9" s="93" t="s">
        <v>45</v>
      </c>
      <c r="S9" s="94"/>
      <c r="T9" s="149">
        <f t="shared" si="1"/>
        <v>3.7697251704067972E-2</v>
      </c>
      <c r="U9" s="95">
        <f>Q9*H9*I9</f>
        <v>2.8272938778050982E-2</v>
      </c>
      <c r="V9" s="80"/>
      <c r="W9" s="81" t="s">
        <v>16</v>
      </c>
      <c r="X9" s="82">
        <f>((U9+U12+U10)+((U13+U15+U14)*(T9+T10+T12)))</f>
        <v>8.7565750568022668E-2</v>
      </c>
    </row>
    <row r="10" spans="1:24" s="83" customFormat="1" x14ac:dyDescent="0.3">
      <c r="A10" s="84">
        <v>3671</v>
      </c>
      <c r="B10" s="148" t="s">
        <v>89</v>
      </c>
      <c r="C10" s="209" t="s">
        <v>15</v>
      </c>
      <c r="D10" s="85">
        <v>1900</v>
      </c>
      <c r="E10" s="86">
        <v>1</v>
      </c>
      <c r="F10" s="87">
        <v>645.96</v>
      </c>
      <c r="G10" s="87">
        <v>1285.1600000000001</v>
      </c>
      <c r="H10" s="61">
        <f t="shared" ref="H10" si="4">F10/G10</f>
        <v>0.50263002272090629</v>
      </c>
      <c r="I10" s="128">
        <v>0.25</v>
      </c>
      <c r="J10" s="89"/>
      <c r="K10" s="88"/>
      <c r="L10" s="90"/>
      <c r="M10" s="91">
        <v>0.1</v>
      </c>
      <c r="N10" s="155">
        <v>0.1875</v>
      </c>
      <c r="O10" s="92">
        <v>0</v>
      </c>
      <c r="P10" s="92">
        <f t="shared" si="0"/>
        <v>0.8125</v>
      </c>
      <c r="Q10" s="92">
        <f t="shared" ref="Q10" si="5">P10*M10</f>
        <v>8.1250000000000003E-2</v>
      </c>
      <c r="R10" s="93" t="s">
        <v>45</v>
      </c>
      <c r="S10" s="94"/>
      <c r="T10" s="149">
        <f t="shared" si="1"/>
        <v>1.2565750568022657E-2</v>
      </c>
      <c r="U10" s="95">
        <f>Q10*H10*I10</f>
        <v>1.020967233651841E-2</v>
      </c>
      <c r="V10" s="80"/>
      <c r="W10" s="81"/>
      <c r="X10" s="82"/>
    </row>
    <row r="11" spans="1:24" s="83" customFormat="1" x14ac:dyDescent="0.3">
      <c r="A11" s="84">
        <v>10</v>
      </c>
      <c r="B11" s="96" t="s">
        <v>21</v>
      </c>
      <c r="C11" s="209" t="s">
        <v>15</v>
      </c>
      <c r="D11" s="85">
        <v>1800</v>
      </c>
      <c r="E11" s="86">
        <v>2</v>
      </c>
      <c r="F11" s="87">
        <v>639.20000000000005</v>
      </c>
      <c r="G11" s="87">
        <v>1285.1600000000001</v>
      </c>
      <c r="H11" s="61">
        <f>F11/G11</f>
        <v>0.49736997727909366</v>
      </c>
      <c r="I11" s="175">
        <v>1</v>
      </c>
      <c r="J11" s="89"/>
      <c r="K11" s="88"/>
      <c r="L11" s="90"/>
      <c r="M11" s="97">
        <v>0.9</v>
      </c>
      <c r="N11" s="98">
        <v>0.125</v>
      </c>
      <c r="O11" s="99">
        <v>0.125</v>
      </c>
      <c r="P11" s="92">
        <f t="shared" si="0"/>
        <v>0.75</v>
      </c>
      <c r="Q11" s="92">
        <f>P11*M11</f>
        <v>0.67500000000000004</v>
      </c>
      <c r="R11" s="100" t="s">
        <v>87</v>
      </c>
      <c r="S11" s="94"/>
      <c r="T11" s="101">
        <f>M11*H11*I11</f>
        <v>0.44763297955118431</v>
      </c>
      <c r="U11" s="102">
        <f>Q11*H11*I11</f>
        <v>0.33572473466338826</v>
      </c>
      <c r="V11" s="80"/>
      <c r="W11" s="81" t="s">
        <v>16</v>
      </c>
      <c r="X11" s="103"/>
    </row>
    <row r="12" spans="1:24" s="83" customFormat="1" ht="15" thickBot="1" x14ac:dyDescent="0.35">
      <c r="A12" s="104">
        <v>2563</v>
      </c>
      <c r="B12" s="105" t="s">
        <v>88</v>
      </c>
      <c r="C12" s="210" t="s">
        <v>15</v>
      </c>
      <c r="D12" s="106">
        <v>1800</v>
      </c>
      <c r="E12" s="107">
        <v>2</v>
      </c>
      <c r="F12" s="108">
        <v>639.20000000000005</v>
      </c>
      <c r="G12" s="108">
        <v>1285.1600000000001</v>
      </c>
      <c r="H12" s="62">
        <f t="shared" ref="H12:H35" si="6">F12/G12</f>
        <v>0.49736997727909366</v>
      </c>
      <c r="I12" s="128">
        <v>1</v>
      </c>
      <c r="J12" s="89"/>
      <c r="K12" s="88"/>
      <c r="L12" s="109"/>
      <c r="M12" s="110">
        <v>0.1</v>
      </c>
      <c r="N12" s="111">
        <v>0.125</v>
      </c>
      <c r="O12" s="112">
        <v>0.125</v>
      </c>
      <c r="P12" s="113">
        <f t="shared" si="0"/>
        <v>0.75</v>
      </c>
      <c r="Q12" s="113">
        <f t="shared" ref="Q12" si="7">P12*M12</f>
        <v>7.5000000000000011E-2</v>
      </c>
      <c r="R12" s="114" t="s">
        <v>45</v>
      </c>
      <c r="S12" s="115"/>
      <c r="T12" s="116">
        <f t="shared" si="1"/>
        <v>4.973699772790937E-2</v>
      </c>
      <c r="U12" s="117">
        <f>Q12*H12</f>
        <v>3.7302748295932033E-2</v>
      </c>
      <c r="V12" s="80"/>
      <c r="W12" s="81" t="s">
        <v>16</v>
      </c>
      <c r="X12" s="103"/>
    </row>
    <row r="13" spans="1:24" s="83" customFormat="1" ht="28.8" x14ac:dyDescent="0.3">
      <c r="A13" s="84">
        <v>2000</v>
      </c>
      <c r="B13" s="118" t="s">
        <v>79</v>
      </c>
      <c r="C13" s="208" t="s">
        <v>17</v>
      </c>
      <c r="D13" s="119">
        <v>1700</v>
      </c>
      <c r="E13" s="86">
        <v>1</v>
      </c>
      <c r="F13" s="87">
        <v>645.96</v>
      </c>
      <c r="G13" s="87">
        <v>1285.1600000000001</v>
      </c>
      <c r="H13" s="61">
        <f t="shared" si="6"/>
        <v>0.50263002272090629</v>
      </c>
      <c r="I13" s="120">
        <v>0.75</v>
      </c>
      <c r="J13" s="152">
        <v>0.25</v>
      </c>
      <c r="K13" s="150">
        <f>(I13*J13)*(1-0.2)</f>
        <v>0.15000000000000002</v>
      </c>
      <c r="L13" s="90"/>
      <c r="M13" s="89"/>
      <c r="N13" s="89"/>
      <c r="O13" s="121"/>
      <c r="P13" s="121"/>
      <c r="Q13" s="121"/>
      <c r="R13" s="122"/>
      <c r="S13" s="123" t="s">
        <v>83</v>
      </c>
      <c r="T13" s="124"/>
      <c r="U13" s="95">
        <f>K13*H13</f>
        <v>7.5394503408135957E-2</v>
      </c>
      <c r="V13" s="125"/>
      <c r="W13" s="126" t="s">
        <v>18</v>
      </c>
      <c r="X13" s="82">
        <v>0</v>
      </c>
    </row>
    <row r="14" spans="1:24" s="83" customFormat="1" x14ac:dyDescent="0.3">
      <c r="A14" s="84">
        <v>2333</v>
      </c>
      <c r="B14" s="127" t="s">
        <v>80</v>
      </c>
      <c r="C14" s="209" t="s">
        <v>17</v>
      </c>
      <c r="D14" s="85">
        <v>1900</v>
      </c>
      <c r="E14" s="86">
        <v>1</v>
      </c>
      <c r="F14" s="87">
        <v>645.96</v>
      </c>
      <c r="G14" s="87">
        <v>1285.1600000000001</v>
      </c>
      <c r="H14" s="61">
        <f t="shared" si="6"/>
        <v>0.50263002272090629</v>
      </c>
      <c r="I14" s="128">
        <v>0.25</v>
      </c>
      <c r="J14" s="156">
        <v>0.1875</v>
      </c>
      <c r="K14" s="151">
        <f>(I14*J14)</f>
        <v>4.6875E-2</v>
      </c>
      <c r="L14" s="90"/>
      <c r="M14" s="89"/>
      <c r="N14" s="89"/>
      <c r="O14" s="121"/>
      <c r="P14" s="121"/>
      <c r="Q14" s="121"/>
      <c r="R14" s="122"/>
      <c r="S14" s="123" t="s">
        <v>126</v>
      </c>
      <c r="T14" s="124"/>
      <c r="U14" s="95">
        <f>K14*H14</f>
        <v>2.3560782315042481E-2</v>
      </c>
      <c r="V14" s="125"/>
      <c r="W14" s="126" t="s">
        <v>18</v>
      </c>
      <c r="X14" s="82">
        <v>0</v>
      </c>
    </row>
    <row r="15" spans="1:24" s="83" customFormat="1" ht="28.8" x14ac:dyDescent="0.3">
      <c r="A15" s="84">
        <v>2512</v>
      </c>
      <c r="B15" s="127" t="s">
        <v>119</v>
      </c>
      <c r="C15" s="209" t="s">
        <v>78</v>
      </c>
      <c r="D15" s="85">
        <v>1700</v>
      </c>
      <c r="E15" s="86">
        <v>1</v>
      </c>
      <c r="F15" s="87">
        <v>645.96</v>
      </c>
      <c r="G15" s="87">
        <v>1285.1600000000001</v>
      </c>
      <c r="H15" s="61">
        <f t="shared" si="6"/>
        <v>0.50263002272090629</v>
      </c>
      <c r="I15" s="128">
        <v>0</v>
      </c>
      <c r="J15" s="157">
        <v>0.25</v>
      </c>
      <c r="K15" s="151">
        <f>(I13*0.2*J15)</f>
        <v>3.7500000000000006E-2</v>
      </c>
      <c r="L15" s="90"/>
      <c r="M15" s="89"/>
      <c r="N15" s="89"/>
      <c r="O15" s="121"/>
      <c r="P15" s="121"/>
      <c r="Q15" s="121"/>
      <c r="R15" s="122"/>
      <c r="S15" s="123" t="s">
        <v>83</v>
      </c>
      <c r="T15" s="124"/>
      <c r="U15" s="95">
        <f>K15*H15</f>
        <v>1.8848625852033989E-2</v>
      </c>
      <c r="V15" s="125"/>
      <c r="W15" s="126" t="s">
        <v>18</v>
      </c>
      <c r="X15" s="82">
        <v>0</v>
      </c>
    </row>
    <row r="16" spans="1:24" s="134" customFormat="1" ht="29.4" thickBot="1" x14ac:dyDescent="0.35">
      <c r="A16" s="104">
        <v>11</v>
      </c>
      <c r="B16" s="129" t="s">
        <v>42</v>
      </c>
      <c r="C16" s="210" t="s">
        <v>17</v>
      </c>
      <c r="D16" s="106">
        <v>1800</v>
      </c>
      <c r="E16" s="107">
        <v>2</v>
      </c>
      <c r="F16" s="108">
        <v>639.20000000000005</v>
      </c>
      <c r="G16" s="108">
        <v>1285.1600000000001</v>
      </c>
      <c r="H16" s="62">
        <f t="shared" si="6"/>
        <v>0.49736997727909366</v>
      </c>
      <c r="I16" s="130">
        <v>1</v>
      </c>
      <c r="J16" s="98">
        <v>0.125</v>
      </c>
      <c r="K16" s="131">
        <f>(J16*I16)</f>
        <v>0.125</v>
      </c>
      <c r="L16" s="90"/>
      <c r="M16" s="89"/>
      <c r="N16" s="89"/>
      <c r="O16" s="121"/>
      <c r="P16" s="121"/>
      <c r="Q16" s="121"/>
      <c r="R16" s="122"/>
      <c r="S16" s="123" t="s">
        <v>83</v>
      </c>
      <c r="T16" s="124"/>
      <c r="U16" s="189">
        <f>K16*H16</f>
        <v>6.2171247159886707E-2</v>
      </c>
      <c r="V16" s="132" t="s">
        <v>43</v>
      </c>
      <c r="W16" s="133" t="s">
        <v>16</v>
      </c>
      <c r="X16" s="103">
        <f>U16</f>
        <v>6.2171247159886707E-2</v>
      </c>
    </row>
    <row r="17" spans="1:24" s="139" customFormat="1" x14ac:dyDescent="0.3">
      <c r="A17" s="135">
        <v>3422</v>
      </c>
      <c r="B17" s="136" t="s">
        <v>22</v>
      </c>
      <c r="C17" s="208" t="s">
        <v>19</v>
      </c>
      <c r="D17" s="119">
        <v>1800</v>
      </c>
      <c r="E17" s="137">
        <v>2</v>
      </c>
      <c r="F17" s="138">
        <v>639.20000000000005</v>
      </c>
      <c r="G17" s="138">
        <v>1285.1600000000001</v>
      </c>
      <c r="H17" s="63">
        <f t="shared" si="6"/>
        <v>0.49736997727909366</v>
      </c>
      <c r="I17" s="181">
        <v>1</v>
      </c>
      <c r="J17" s="71"/>
      <c r="K17" s="182"/>
      <c r="L17" s="176">
        <f>((1/3)*0.0475*0.125)</f>
        <v>1.9791666666666664E-3</v>
      </c>
      <c r="M17" s="75">
        <f>M11+M12</f>
        <v>1</v>
      </c>
      <c r="N17" s="192"/>
      <c r="O17" s="193"/>
      <c r="P17" s="193"/>
      <c r="Q17" s="193"/>
      <c r="R17" s="194"/>
      <c r="S17" s="195"/>
      <c r="T17" s="196"/>
      <c r="U17" s="197">
        <f>L17*H17*M17*I17</f>
        <v>9.843780800315395E-4</v>
      </c>
      <c r="V17" s="80"/>
      <c r="W17" s="133" t="s">
        <v>16</v>
      </c>
      <c r="X17" s="103">
        <f>U17</f>
        <v>9.843780800315395E-4</v>
      </c>
    </row>
    <row r="18" spans="1:24" s="83" customFormat="1" x14ac:dyDescent="0.3">
      <c r="A18" s="84">
        <v>3438</v>
      </c>
      <c r="B18" s="140" t="s">
        <v>23</v>
      </c>
      <c r="C18" s="209" t="s">
        <v>19</v>
      </c>
      <c r="D18" s="85">
        <v>1800</v>
      </c>
      <c r="E18" s="86">
        <v>2</v>
      </c>
      <c r="F18" s="87">
        <v>639.20000000000005</v>
      </c>
      <c r="G18" s="87">
        <v>1285.1600000000001</v>
      </c>
      <c r="H18" s="61">
        <f t="shared" si="6"/>
        <v>0.49736997727909366</v>
      </c>
      <c r="I18" s="175">
        <v>1</v>
      </c>
      <c r="J18" s="89"/>
      <c r="K18" s="183"/>
      <c r="L18" s="177">
        <f>((1/3)*0.0475*0.125)</f>
        <v>1.9791666666666664E-3</v>
      </c>
      <c r="M18" s="92">
        <f>M11+M12</f>
        <v>1</v>
      </c>
      <c r="N18" s="198"/>
      <c r="O18" s="121"/>
      <c r="P18" s="121"/>
      <c r="Q18" s="121"/>
      <c r="R18" s="122"/>
      <c r="S18" s="123"/>
      <c r="T18" s="124"/>
      <c r="U18" s="95">
        <f t="shared" ref="U18:U35" si="8">L18*H18*M18*I18</f>
        <v>9.843780800315395E-4</v>
      </c>
      <c r="V18" s="80"/>
      <c r="W18" s="133" t="s">
        <v>16</v>
      </c>
      <c r="X18" s="103">
        <f t="shared" ref="X18:X35" si="9">U18</f>
        <v>9.843780800315395E-4</v>
      </c>
    </row>
    <row r="19" spans="1:24" s="83" customFormat="1" x14ac:dyDescent="0.3">
      <c r="A19" s="84">
        <v>3423</v>
      </c>
      <c r="B19" s="140" t="s">
        <v>24</v>
      </c>
      <c r="C19" s="209" t="s">
        <v>19</v>
      </c>
      <c r="D19" s="85">
        <v>1800</v>
      </c>
      <c r="E19" s="86">
        <v>2</v>
      </c>
      <c r="F19" s="87">
        <v>639.20000000000005</v>
      </c>
      <c r="G19" s="87">
        <v>1285.1600000000001</v>
      </c>
      <c r="H19" s="61">
        <f t="shared" si="6"/>
        <v>0.49736997727909366</v>
      </c>
      <c r="I19" s="175">
        <v>1</v>
      </c>
      <c r="J19" s="89"/>
      <c r="K19" s="183"/>
      <c r="L19" s="177">
        <f>((1/3)*0.0475*0.125)</f>
        <v>1.9791666666666664E-3</v>
      </c>
      <c r="M19" s="92">
        <f>M11+M12</f>
        <v>1</v>
      </c>
      <c r="N19" s="198"/>
      <c r="O19" s="121"/>
      <c r="P19" s="121"/>
      <c r="Q19" s="121"/>
      <c r="R19" s="122"/>
      <c r="S19" s="123"/>
      <c r="T19" s="124"/>
      <c r="U19" s="95">
        <f t="shared" si="8"/>
        <v>9.843780800315395E-4</v>
      </c>
      <c r="V19" s="80" t="s">
        <v>44</v>
      </c>
      <c r="W19" s="133" t="s">
        <v>16</v>
      </c>
      <c r="X19" s="103">
        <f t="shared" si="9"/>
        <v>9.843780800315395E-4</v>
      </c>
    </row>
    <row r="20" spans="1:24" s="83" customFormat="1" x14ac:dyDescent="0.3">
      <c r="A20" s="84">
        <v>3426</v>
      </c>
      <c r="B20" s="140" t="s">
        <v>81</v>
      </c>
      <c r="C20" s="209" t="s">
        <v>19</v>
      </c>
      <c r="D20" s="85">
        <v>1800</v>
      </c>
      <c r="E20" s="86">
        <v>2</v>
      </c>
      <c r="F20" s="87">
        <v>639.20000000000005</v>
      </c>
      <c r="G20" s="87">
        <v>1285.1600000000001</v>
      </c>
      <c r="H20" s="61">
        <f t="shared" ref="H20" si="10">F20/G20</f>
        <v>0.49736997727909366</v>
      </c>
      <c r="I20" s="175">
        <v>1</v>
      </c>
      <c r="J20" s="89"/>
      <c r="K20" s="183"/>
      <c r="L20" s="178">
        <f>0.25*0.44*0.125</f>
        <v>1.375E-2</v>
      </c>
      <c r="M20" s="187">
        <v>0.9</v>
      </c>
      <c r="N20" s="198"/>
      <c r="O20" s="121"/>
      <c r="P20" s="121"/>
      <c r="Q20" s="121"/>
      <c r="R20" s="122"/>
      <c r="S20" s="123"/>
      <c r="T20" s="124"/>
      <c r="U20" s="95">
        <f t="shared" si="8"/>
        <v>6.1549534688287843E-3</v>
      </c>
      <c r="V20" s="80"/>
      <c r="W20" s="133" t="s">
        <v>16</v>
      </c>
      <c r="X20" s="103">
        <f t="shared" ref="X20" si="11">U20</f>
        <v>6.1549534688287843E-3</v>
      </c>
    </row>
    <row r="21" spans="1:24" s="83" customFormat="1" x14ac:dyDescent="0.3">
      <c r="A21" s="84">
        <v>3426</v>
      </c>
      <c r="B21" s="140" t="s">
        <v>25</v>
      </c>
      <c r="C21" s="209" t="s">
        <v>19</v>
      </c>
      <c r="D21" s="85">
        <v>1800</v>
      </c>
      <c r="E21" s="86">
        <v>2</v>
      </c>
      <c r="F21" s="87">
        <v>639.20000000000005</v>
      </c>
      <c r="G21" s="87">
        <v>1285.1600000000001</v>
      </c>
      <c r="H21" s="61">
        <f t="shared" si="6"/>
        <v>0.49736997727909366</v>
      </c>
      <c r="I21" s="175">
        <v>1</v>
      </c>
      <c r="J21" s="89"/>
      <c r="K21" s="183"/>
      <c r="L21" s="179">
        <f>0.25*0.44*0.125</f>
        <v>1.375E-2</v>
      </c>
      <c r="M21" s="188">
        <v>0.1</v>
      </c>
      <c r="N21" s="198"/>
      <c r="O21" s="121"/>
      <c r="P21" s="121"/>
      <c r="Q21" s="121"/>
      <c r="R21" s="122"/>
      <c r="S21" s="123"/>
      <c r="T21" s="124"/>
      <c r="U21" s="95">
        <f t="shared" si="8"/>
        <v>6.8388371875875383E-4</v>
      </c>
      <c r="V21" s="80"/>
      <c r="W21" s="133" t="s">
        <v>16</v>
      </c>
      <c r="X21" s="103">
        <f t="shared" si="9"/>
        <v>6.8388371875875383E-4</v>
      </c>
    </row>
    <row r="22" spans="1:24" s="83" customFormat="1" x14ac:dyDescent="0.3">
      <c r="A22" s="84">
        <v>3428</v>
      </c>
      <c r="B22" s="140" t="s">
        <v>26</v>
      </c>
      <c r="C22" s="209" t="s">
        <v>19</v>
      </c>
      <c r="D22" s="85">
        <v>1800</v>
      </c>
      <c r="E22" s="86">
        <v>2</v>
      </c>
      <c r="F22" s="87">
        <v>639.20000000000005</v>
      </c>
      <c r="G22" s="87">
        <v>1285.1600000000001</v>
      </c>
      <c r="H22" s="61">
        <f t="shared" si="6"/>
        <v>0.49736997727909366</v>
      </c>
      <c r="I22" s="175">
        <v>1</v>
      </c>
      <c r="J22" s="89"/>
      <c r="K22" s="183"/>
      <c r="L22" s="177">
        <v>6.2500000000000003E-3</v>
      </c>
      <c r="M22" s="92">
        <f>M11+M12</f>
        <v>1</v>
      </c>
      <c r="N22" s="198"/>
      <c r="O22" s="121"/>
      <c r="P22" s="121"/>
      <c r="Q22" s="121"/>
      <c r="R22" s="122"/>
      <c r="S22" s="123"/>
      <c r="T22" s="124"/>
      <c r="U22" s="95">
        <f t="shared" si="8"/>
        <v>3.1085623579943356E-3</v>
      </c>
      <c r="V22" s="80"/>
      <c r="W22" s="133" t="s">
        <v>16</v>
      </c>
      <c r="X22" s="103">
        <f t="shared" si="9"/>
        <v>3.1085623579943356E-3</v>
      </c>
    </row>
    <row r="23" spans="1:24" s="83" customFormat="1" x14ac:dyDescent="0.3">
      <c r="A23" s="84">
        <v>3433</v>
      </c>
      <c r="B23" s="140" t="s">
        <v>27</v>
      </c>
      <c r="C23" s="209" t="s">
        <v>19</v>
      </c>
      <c r="D23" s="85">
        <v>1800</v>
      </c>
      <c r="E23" s="86">
        <v>2</v>
      </c>
      <c r="F23" s="87">
        <v>639.20000000000005</v>
      </c>
      <c r="G23" s="87">
        <v>1285.1600000000001</v>
      </c>
      <c r="H23" s="61">
        <f t="shared" si="6"/>
        <v>0.49736997727909366</v>
      </c>
      <c r="I23" s="175">
        <v>1</v>
      </c>
      <c r="J23" s="89"/>
      <c r="K23" s="183"/>
      <c r="L23" s="177">
        <v>6.2500000000000003E-3</v>
      </c>
      <c r="M23" s="92">
        <f>M11+M12</f>
        <v>1</v>
      </c>
      <c r="N23" s="198"/>
      <c r="O23" s="121"/>
      <c r="P23" s="121"/>
      <c r="Q23" s="121"/>
      <c r="R23" s="122"/>
      <c r="S23" s="123"/>
      <c r="T23" s="124"/>
      <c r="U23" s="95">
        <f t="shared" si="8"/>
        <v>3.1085623579943356E-3</v>
      </c>
      <c r="V23" s="80"/>
      <c r="W23" s="133" t="s">
        <v>16</v>
      </c>
      <c r="X23" s="103">
        <f t="shared" si="9"/>
        <v>3.1085623579943356E-3</v>
      </c>
    </row>
    <row r="24" spans="1:24" s="83" customFormat="1" x14ac:dyDescent="0.3">
      <c r="A24" s="84">
        <v>3429</v>
      </c>
      <c r="B24" s="140" t="s">
        <v>28</v>
      </c>
      <c r="C24" s="209" t="s">
        <v>19</v>
      </c>
      <c r="D24" s="85">
        <v>1800</v>
      </c>
      <c r="E24" s="86">
        <v>2</v>
      </c>
      <c r="F24" s="87">
        <v>639.20000000000005</v>
      </c>
      <c r="G24" s="87">
        <v>1285.1600000000001</v>
      </c>
      <c r="H24" s="61">
        <f t="shared" si="6"/>
        <v>0.49736997727909366</v>
      </c>
      <c r="I24" s="175">
        <v>1</v>
      </c>
      <c r="J24" s="89"/>
      <c r="K24" s="183"/>
      <c r="L24" s="177">
        <f>0.25*0.125</f>
        <v>3.125E-2</v>
      </c>
      <c r="M24" s="92">
        <f>M11+M12</f>
        <v>1</v>
      </c>
      <c r="N24" s="198"/>
      <c r="O24" s="121"/>
      <c r="P24" s="121"/>
      <c r="Q24" s="121"/>
      <c r="R24" s="122"/>
      <c r="S24" s="123"/>
      <c r="T24" s="124"/>
      <c r="U24" s="95">
        <f t="shared" si="8"/>
        <v>1.5542811789971677E-2</v>
      </c>
      <c r="V24" s="80"/>
      <c r="W24" s="133" t="s">
        <v>16</v>
      </c>
      <c r="X24" s="103">
        <f t="shared" si="9"/>
        <v>1.5542811789971677E-2</v>
      </c>
    </row>
    <row r="25" spans="1:24" s="83" customFormat="1" x14ac:dyDescent="0.3">
      <c r="A25" s="84">
        <v>3431</v>
      </c>
      <c r="B25" s="140" t="s">
        <v>29</v>
      </c>
      <c r="C25" s="209" t="s">
        <v>19</v>
      </c>
      <c r="D25" s="85">
        <v>1800</v>
      </c>
      <c r="E25" s="86">
        <v>2</v>
      </c>
      <c r="F25" s="87">
        <v>639.20000000000005</v>
      </c>
      <c r="G25" s="87">
        <v>1285.1600000000001</v>
      </c>
      <c r="H25" s="61">
        <f t="shared" si="6"/>
        <v>0.49736997727909366</v>
      </c>
      <c r="I25" s="175">
        <v>1</v>
      </c>
      <c r="J25" s="89"/>
      <c r="K25" s="183"/>
      <c r="L25" s="177">
        <f>0.0475*0.125</f>
        <v>5.9375000000000001E-3</v>
      </c>
      <c r="M25" s="92">
        <f>M11+M12</f>
        <v>1</v>
      </c>
      <c r="N25" s="198"/>
      <c r="O25" s="121"/>
      <c r="P25" s="121"/>
      <c r="Q25" s="121"/>
      <c r="R25" s="122"/>
      <c r="S25" s="123"/>
      <c r="T25" s="124"/>
      <c r="U25" s="95">
        <f t="shared" si="8"/>
        <v>2.9531342400946187E-3</v>
      </c>
      <c r="V25" s="80"/>
      <c r="W25" s="133" t="s">
        <v>16</v>
      </c>
      <c r="X25" s="103">
        <f t="shared" si="9"/>
        <v>2.9531342400946187E-3</v>
      </c>
    </row>
    <row r="26" spans="1:24" s="83" customFormat="1" x14ac:dyDescent="0.3">
      <c r="A26" s="84">
        <v>3424</v>
      </c>
      <c r="B26" s="141" t="s">
        <v>41</v>
      </c>
      <c r="C26" s="209" t="s">
        <v>19</v>
      </c>
      <c r="D26" s="85">
        <v>1800</v>
      </c>
      <c r="E26" s="86">
        <v>2</v>
      </c>
      <c r="F26" s="87">
        <v>639.20000000000005</v>
      </c>
      <c r="G26" s="87">
        <v>1285.1600000000001</v>
      </c>
      <c r="H26" s="61">
        <f t="shared" si="6"/>
        <v>0.49736997727909366</v>
      </c>
      <c r="I26" s="175">
        <v>1</v>
      </c>
      <c r="J26" s="89"/>
      <c r="K26" s="183"/>
      <c r="L26" s="177">
        <f>0.25*0.44*0.125</f>
        <v>1.375E-2</v>
      </c>
      <c r="M26" s="92">
        <f>M11+M12</f>
        <v>1</v>
      </c>
      <c r="N26" s="198"/>
      <c r="O26" s="121"/>
      <c r="P26" s="121"/>
      <c r="Q26" s="121"/>
      <c r="R26" s="122"/>
      <c r="S26" s="123"/>
      <c r="T26" s="124"/>
      <c r="U26" s="199">
        <f>L26*H26*M26*I26</f>
        <v>6.8388371875875379E-3</v>
      </c>
      <c r="V26" s="80"/>
      <c r="W26" s="133" t="s">
        <v>16</v>
      </c>
      <c r="X26" s="103">
        <f t="shared" si="9"/>
        <v>6.8388371875875379E-3</v>
      </c>
    </row>
    <row r="27" spans="1:24" s="83" customFormat="1" x14ac:dyDescent="0.3">
      <c r="A27" s="84">
        <v>3430</v>
      </c>
      <c r="B27" s="140" t="s">
        <v>30</v>
      </c>
      <c r="C27" s="209" t="s">
        <v>19</v>
      </c>
      <c r="D27" s="85">
        <v>1800</v>
      </c>
      <c r="E27" s="86">
        <v>2</v>
      </c>
      <c r="F27" s="87">
        <v>639.20000000000005</v>
      </c>
      <c r="G27" s="87">
        <v>1285.1600000000001</v>
      </c>
      <c r="H27" s="61">
        <f t="shared" si="6"/>
        <v>0.49736997727909366</v>
      </c>
      <c r="I27" s="175">
        <v>1</v>
      </c>
      <c r="J27" s="89"/>
      <c r="K27" s="183"/>
      <c r="L27" s="177">
        <f>0.25*0.44*0.125</f>
        <v>1.375E-2</v>
      </c>
      <c r="M27" s="92">
        <f>M11+M12</f>
        <v>1</v>
      </c>
      <c r="N27" s="198"/>
      <c r="O27" s="121"/>
      <c r="P27" s="121"/>
      <c r="Q27" s="121"/>
      <c r="R27" s="122"/>
      <c r="S27" s="123"/>
      <c r="T27" s="124"/>
      <c r="U27" s="95">
        <f t="shared" si="8"/>
        <v>6.8388371875875379E-3</v>
      </c>
      <c r="V27" s="80"/>
      <c r="W27" s="133" t="s">
        <v>16</v>
      </c>
      <c r="X27" s="103">
        <f t="shared" si="9"/>
        <v>6.8388371875875379E-3</v>
      </c>
    </row>
    <row r="28" spans="1:24" s="83" customFormat="1" x14ac:dyDescent="0.3">
      <c r="A28" s="84">
        <v>3420</v>
      </c>
      <c r="B28" s="140" t="s">
        <v>31</v>
      </c>
      <c r="C28" s="209" t="s">
        <v>19</v>
      </c>
      <c r="D28" s="85">
        <v>1800</v>
      </c>
      <c r="E28" s="86">
        <v>2</v>
      </c>
      <c r="F28" s="87">
        <v>639.20000000000005</v>
      </c>
      <c r="G28" s="87">
        <v>1285.1600000000001</v>
      </c>
      <c r="H28" s="61">
        <f t="shared" si="6"/>
        <v>0.49736997727909366</v>
      </c>
      <c r="I28" s="175">
        <v>1</v>
      </c>
      <c r="J28" s="89"/>
      <c r="K28" s="183"/>
      <c r="L28" s="177">
        <v>2.5000000000000001E-3</v>
      </c>
      <c r="M28" s="92">
        <f>M11+M12</f>
        <v>1</v>
      </c>
      <c r="N28" s="198"/>
      <c r="O28" s="121"/>
      <c r="P28" s="121"/>
      <c r="Q28" s="121"/>
      <c r="R28" s="122"/>
      <c r="S28" s="123"/>
      <c r="T28" s="124"/>
      <c r="U28" s="95">
        <f t="shared" si="8"/>
        <v>1.2434249431977342E-3</v>
      </c>
      <c r="V28" s="80"/>
      <c r="W28" s="133" t="s">
        <v>16</v>
      </c>
      <c r="X28" s="103">
        <f t="shared" si="9"/>
        <v>1.2434249431977342E-3</v>
      </c>
    </row>
    <row r="29" spans="1:24" s="83" customFormat="1" x14ac:dyDescent="0.3">
      <c r="A29" s="84">
        <v>3432</v>
      </c>
      <c r="B29" s="140" t="s">
        <v>32</v>
      </c>
      <c r="C29" s="209" t="s">
        <v>19</v>
      </c>
      <c r="D29" s="85">
        <v>1800</v>
      </c>
      <c r="E29" s="86">
        <v>2</v>
      </c>
      <c r="F29" s="87">
        <v>639.20000000000005</v>
      </c>
      <c r="G29" s="87">
        <v>1285.1600000000001</v>
      </c>
      <c r="H29" s="61">
        <f t="shared" si="6"/>
        <v>0.49736997727909366</v>
      </c>
      <c r="I29" s="175">
        <v>1</v>
      </c>
      <c r="J29" s="89"/>
      <c r="K29" s="183"/>
      <c r="L29" s="177">
        <f>0.0475*0.125</f>
        <v>5.9375000000000001E-3</v>
      </c>
      <c r="M29" s="92">
        <f>M11+M12</f>
        <v>1</v>
      </c>
      <c r="N29" s="198"/>
      <c r="O29" s="121"/>
      <c r="P29" s="121"/>
      <c r="Q29" s="121"/>
      <c r="R29" s="122"/>
      <c r="S29" s="123"/>
      <c r="T29" s="124"/>
      <c r="U29" s="95">
        <f t="shared" si="8"/>
        <v>2.9531342400946187E-3</v>
      </c>
      <c r="V29" s="80"/>
      <c r="W29" s="133" t="s">
        <v>16</v>
      </c>
      <c r="X29" s="103">
        <f t="shared" si="9"/>
        <v>2.9531342400946187E-3</v>
      </c>
    </row>
    <row r="30" spans="1:24" s="83" customFormat="1" x14ac:dyDescent="0.3">
      <c r="A30" s="84">
        <v>3425</v>
      </c>
      <c r="B30" s="140" t="s">
        <v>33</v>
      </c>
      <c r="C30" s="209" t="s">
        <v>19</v>
      </c>
      <c r="D30" s="85">
        <v>1800</v>
      </c>
      <c r="E30" s="86">
        <v>2</v>
      </c>
      <c r="F30" s="87">
        <v>639.20000000000005</v>
      </c>
      <c r="G30" s="87">
        <v>1285.1600000000001</v>
      </c>
      <c r="H30" s="61">
        <f t="shared" si="6"/>
        <v>0.49736997727909366</v>
      </c>
      <c r="I30" s="175">
        <v>1</v>
      </c>
      <c r="J30" s="89"/>
      <c r="K30" s="183"/>
      <c r="L30" s="177">
        <f>0.25*0.44*0.125</f>
        <v>1.375E-2</v>
      </c>
      <c r="M30" s="92">
        <v>1</v>
      </c>
      <c r="N30" s="198"/>
      <c r="O30" s="121"/>
      <c r="P30" s="121"/>
      <c r="Q30" s="121"/>
      <c r="R30" s="122"/>
      <c r="S30" s="123"/>
      <c r="T30" s="124"/>
      <c r="U30" s="95">
        <f t="shared" si="8"/>
        <v>6.8388371875875379E-3</v>
      </c>
      <c r="V30" s="80"/>
      <c r="W30" s="133" t="s">
        <v>16</v>
      </c>
      <c r="X30" s="103">
        <f t="shared" si="9"/>
        <v>6.8388371875875379E-3</v>
      </c>
    </row>
    <row r="31" spans="1:24" s="83" customFormat="1" x14ac:dyDescent="0.3">
      <c r="A31" s="84">
        <v>3421</v>
      </c>
      <c r="B31" s="140" t="s">
        <v>34</v>
      </c>
      <c r="C31" s="209" t="s">
        <v>19</v>
      </c>
      <c r="D31" s="85">
        <v>1800</v>
      </c>
      <c r="E31" s="86">
        <v>2</v>
      </c>
      <c r="F31" s="87">
        <v>639.20000000000005</v>
      </c>
      <c r="G31" s="87">
        <v>1285.1600000000001</v>
      </c>
      <c r="H31" s="61">
        <f t="shared" si="6"/>
        <v>0.49736997727909366</v>
      </c>
      <c r="I31" s="175">
        <v>1</v>
      </c>
      <c r="J31" s="89"/>
      <c r="K31" s="183"/>
      <c r="L31" s="177">
        <f>(0.0475*0.125)-(0.2*0.0475*0.125)</f>
        <v>4.7499999999999999E-3</v>
      </c>
      <c r="M31" s="92">
        <f>M11+M12</f>
        <v>1</v>
      </c>
      <c r="N31" s="198"/>
      <c r="O31" s="121"/>
      <c r="P31" s="121"/>
      <c r="Q31" s="121"/>
      <c r="R31" s="122"/>
      <c r="S31" s="123"/>
      <c r="T31" s="124"/>
      <c r="U31" s="95">
        <f t="shared" si="8"/>
        <v>2.3625073920756946E-3</v>
      </c>
      <c r="V31" s="80"/>
      <c r="W31" s="133" t="s">
        <v>16</v>
      </c>
      <c r="X31" s="103">
        <f t="shared" si="9"/>
        <v>2.3625073920756946E-3</v>
      </c>
    </row>
    <row r="32" spans="1:24" s="83" customFormat="1" x14ac:dyDescent="0.3">
      <c r="A32" s="84">
        <v>3435</v>
      </c>
      <c r="B32" s="140" t="s">
        <v>35</v>
      </c>
      <c r="C32" s="209" t="s">
        <v>19</v>
      </c>
      <c r="D32" s="85">
        <v>1800</v>
      </c>
      <c r="E32" s="86">
        <v>2</v>
      </c>
      <c r="F32" s="87">
        <v>639.20000000000005</v>
      </c>
      <c r="G32" s="87">
        <v>1285.1600000000001</v>
      </c>
      <c r="H32" s="61">
        <f t="shared" si="6"/>
        <v>0.49736997727909366</v>
      </c>
      <c r="I32" s="175">
        <v>1</v>
      </c>
      <c r="J32" s="89"/>
      <c r="K32" s="183"/>
      <c r="L32" s="177">
        <f>0.05*0.0475*0.125</f>
        <v>2.9687500000000005E-4</v>
      </c>
      <c r="M32" s="92">
        <f>M11+M12</f>
        <v>1</v>
      </c>
      <c r="N32" s="198"/>
      <c r="O32" s="121"/>
      <c r="P32" s="121"/>
      <c r="Q32" s="121"/>
      <c r="R32" s="122"/>
      <c r="S32" s="123"/>
      <c r="T32" s="124"/>
      <c r="U32" s="95">
        <f t="shared" si="8"/>
        <v>1.4765671200473094E-4</v>
      </c>
      <c r="V32" s="80"/>
      <c r="W32" s="133" t="s">
        <v>16</v>
      </c>
      <c r="X32" s="103">
        <f t="shared" si="9"/>
        <v>1.4765671200473094E-4</v>
      </c>
    </row>
    <row r="33" spans="1:25" s="83" customFormat="1" x14ac:dyDescent="0.3">
      <c r="A33" s="84">
        <v>3434</v>
      </c>
      <c r="B33" s="140" t="s">
        <v>36</v>
      </c>
      <c r="C33" s="209" t="s">
        <v>19</v>
      </c>
      <c r="D33" s="85">
        <v>1800</v>
      </c>
      <c r="E33" s="86">
        <v>2</v>
      </c>
      <c r="F33" s="87">
        <v>639.20000000000005</v>
      </c>
      <c r="G33" s="87">
        <v>1285.1600000000001</v>
      </c>
      <c r="H33" s="61">
        <f t="shared" si="6"/>
        <v>0.49736997727909366</v>
      </c>
      <c r="I33" s="175">
        <v>1</v>
      </c>
      <c r="J33" s="89"/>
      <c r="K33" s="183"/>
      <c r="L33" s="177">
        <f>0.05*0.0475*0.125</f>
        <v>2.9687500000000005E-4</v>
      </c>
      <c r="M33" s="92">
        <f>M11+M12</f>
        <v>1</v>
      </c>
      <c r="N33" s="198"/>
      <c r="O33" s="121"/>
      <c r="P33" s="121"/>
      <c r="Q33" s="121"/>
      <c r="R33" s="122"/>
      <c r="S33" s="123"/>
      <c r="T33" s="124"/>
      <c r="U33" s="95">
        <f t="shared" si="8"/>
        <v>1.4765671200473094E-4</v>
      </c>
      <c r="V33" s="80"/>
      <c r="W33" s="133" t="s">
        <v>16</v>
      </c>
      <c r="X33" s="103">
        <f t="shared" si="9"/>
        <v>1.4765671200473094E-4</v>
      </c>
    </row>
    <row r="34" spans="1:25" s="83" customFormat="1" x14ac:dyDescent="0.3">
      <c r="A34" s="84">
        <v>3437</v>
      </c>
      <c r="B34" s="140" t="s">
        <v>37</v>
      </c>
      <c r="C34" s="209" t="s">
        <v>19</v>
      </c>
      <c r="D34" s="85">
        <v>1800</v>
      </c>
      <c r="E34" s="86">
        <v>2</v>
      </c>
      <c r="F34" s="87">
        <v>639.20000000000005</v>
      </c>
      <c r="G34" s="87">
        <v>1285.1600000000001</v>
      </c>
      <c r="H34" s="61">
        <f t="shared" si="6"/>
        <v>0.49736997727909366</v>
      </c>
      <c r="I34" s="175">
        <v>1</v>
      </c>
      <c r="J34" s="89"/>
      <c r="K34" s="183"/>
      <c r="L34" s="177">
        <f>0.05*0.0475*0.125</f>
        <v>2.9687500000000005E-4</v>
      </c>
      <c r="M34" s="92">
        <f>M11+M12</f>
        <v>1</v>
      </c>
      <c r="N34" s="198"/>
      <c r="O34" s="121"/>
      <c r="P34" s="121"/>
      <c r="Q34" s="121"/>
      <c r="R34" s="122"/>
      <c r="S34" s="123"/>
      <c r="T34" s="124"/>
      <c r="U34" s="95">
        <f t="shared" si="8"/>
        <v>1.4765671200473094E-4</v>
      </c>
      <c r="V34" s="80"/>
      <c r="W34" s="133" t="s">
        <v>16</v>
      </c>
      <c r="X34" s="103">
        <f t="shared" si="9"/>
        <v>1.4765671200473094E-4</v>
      </c>
    </row>
    <row r="35" spans="1:25" s="83" customFormat="1" ht="15" thickBot="1" x14ac:dyDescent="0.35">
      <c r="A35" s="104">
        <v>3436</v>
      </c>
      <c r="B35" s="142" t="s">
        <v>38</v>
      </c>
      <c r="C35" s="210" t="s">
        <v>19</v>
      </c>
      <c r="D35" s="143">
        <v>1800</v>
      </c>
      <c r="E35" s="144">
        <v>2</v>
      </c>
      <c r="F35" s="145">
        <v>639.20000000000005</v>
      </c>
      <c r="G35" s="145">
        <v>1285.1600000000001</v>
      </c>
      <c r="H35" s="64">
        <f t="shared" si="6"/>
        <v>0.49736997727909366</v>
      </c>
      <c r="I35" s="184">
        <v>1</v>
      </c>
      <c r="J35" s="185"/>
      <c r="K35" s="186"/>
      <c r="L35" s="180">
        <f>0.05*0.0475*0.125</f>
        <v>2.9687500000000005E-4</v>
      </c>
      <c r="M35" s="113">
        <f>M11+M12</f>
        <v>1</v>
      </c>
      <c r="N35" s="200"/>
      <c r="O35" s="201"/>
      <c r="P35" s="201"/>
      <c r="Q35" s="201"/>
      <c r="R35" s="202"/>
      <c r="S35" s="203"/>
      <c r="T35" s="204"/>
      <c r="U35" s="205">
        <f t="shared" si="8"/>
        <v>1.4765671200473094E-4</v>
      </c>
      <c r="V35" s="80"/>
      <c r="W35" s="133" t="s">
        <v>16</v>
      </c>
      <c r="X35" s="159">
        <f t="shared" si="9"/>
        <v>1.4765671200473094E-4</v>
      </c>
    </row>
    <row r="36" spans="1:25" s="27" customFormat="1" ht="15" thickBot="1" x14ac:dyDescent="0.35">
      <c r="A36" s="20"/>
      <c r="B36" s="21"/>
      <c r="C36" s="22"/>
      <c r="D36" s="22"/>
      <c r="E36" s="21"/>
      <c r="F36" s="21"/>
      <c r="G36" s="21"/>
      <c r="H36" s="21"/>
      <c r="I36" s="21"/>
      <c r="J36" s="23"/>
      <c r="K36" s="24"/>
      <c r="L36" s="51"/>
      <c r="M36" s="23"/>
      <c r="N36" s="21"/>
      <c r="O36" s="21"/>
      <c r="P36" s="21"/>
      <c r="Q36" s="21"/>
      <c r="R36" s="21"/>
      <c r="S36" s="22"/>
      <c r="T36" s="190">
        <f>SUM(T7:T35)</f>
        <v>1</v>
      </c>
      <c r="U36" s="191">
        <f>SUM(U7:U35)</f>
        <v>0.99999999999999956</v>
      </c>
      <c r="V36" s="25"/>
      <c r="W36" s="26"/>
      <c r="X36" s="160">
        <f>SUM(X7:X35)</f>
        <v>0.99999999999999967</v>
      </c>
    </row>
    <row r="37" spans="1:25" x14ac:dyDescent="0.3">
      <c r="A37" s="163" t="s">
        <v>43</v>
      </c>
      <c r="B37" s="223" t="s">
        <v>64</v>
      </c>
      <c r="C37" s="223"/>
      <c r="D37" s="223"/>
      <c r="E37" s="223"/>
      <c r="F37" s="223"/>
      <c r="G37" s="223"/>
      <c r="H37" s="223"/>
      <c r="I37" s="223"/>
      <c r="J37" s="223"/>
      <c r="K37" s="223"/>
      <c r="L37" s="223"/>
      <c r="M37" s="223"/>
      <c r="N37" s="223"/>
      <c r="O37" s="223"/>
      <c r="P37" s="3"/>
      <c r="Q37" s="3"/>
      <c r="R37" s="3"/>
      <c r="S37" s="45"/>
      <c r="T37" s="48"/>
      <c r="U37" s="48"/>
      <c r="V37" s="5"/>
      <c r="W37" s="172" t="s">
        <v>93</v>
      </c>
      <c r="X37" s="40"/>
    </row>
    <row r="38" spans="1:25" x14ac:dyDescent="0.3">
      <c r="A38" s="163" t="s">
        <v>44</v>
      </c>
      <c r="B38" s="164" t="s">
        <v>114</v>
      </c>
      <c r="C38" s="165"/>
      <c r="D38" s="165"/>
      <c r="E38" s="164"/>
      <c r="F38" s="164"/>
      <c r="G38" s="164"/>
      <c r="H38" s="164"/>
      <c r="I38" s="164"/>
      <c r="J38" s="166"/>
      <c r="K38" s="167"/>
      <c r="L38" s="168"/>
      <c r="M38" s="166"/>
      <c r="N38" s="164"/>
      <c r="O38" s="164"/>
      <c r="P38" s="3"/>
      <c r="Q38" s="224" t="s">
        <v>39</v>
      </c>
      <c r="R38" s="224"/>
      <c r="S38" s="224"/>
      <c r="T38" s="18">
        <f>T11+T7+T8</f>
        <v>0.89999999999999991</v>
      </c>
      <c r="U38" s="18">
        <f>U11+U7+U8</f>
        <v>0.68206823469451272</v>
      </c>
      <c r="V38" s="18"/>
      <c r="W38" s="18">
        <f>U38/T38</f>
        <v>0.75785359410501418</v>
      </c>
      <c r="X38" s="40"/>
    </row>
    <row r="39" spans="1:25" x14ac:dyDescent="0.3">
      <c r="A39" s="169"/>
      <c r="B39" s="3"/>
      <c r="C39" s="45"/>
      <c r="D39" s="45"/>
      <c r="E39" s="3"/>
      <c r="F39" s="3"/>
      <c r="G39" s="3"/>
      <c r="H39" s="3"/>
      <c r="I39" s="3"/>
      <c r="J39" s="46"/>
      <c r="K39" s="47"/>
      <c r="L39" s="49"/>
      <c r="M39" s="46"/>
      <c r="N39" s="3"/>
      <c r="O39" s="3"/>
      <c r="P39" s="3"/>
      <c r="Q39" s="224" t="s">
        <v>47</v>
      </c>
      <c r="R39" s="224"/>
      <c r="S39" s="224"/>
      <c r="T39" s="18">
        <v>0</v>
      </c>
      <c r="U39" s="18">
        <f>+U16</f>
        <v>6.2171247159886707E-2</v>
      </c>
      <c r="V39" s="18"/>
      <c r="W39" s="18">
        <f>U39</f>
        <v>6.2171247159886707E-2</v>
      </c>
      <c r="X39" s="40"/>
    </row>
    <row r="40" spans="1:25" x14ac:dyDescent="0.3">
      <c r="A40" s="3"/>
      <c r="B40" s="3"/>
      <c r="C40" s="45"/>
      <c r="D40" s="45"/>
      <c r="E40" s="3"/>
      <c r="F40" s="3"/>
      <c r="G40" s="3"/>
      <c r="H40" s="3"/>
      <c r="I40" s="3"/>
      <c r="J40" s="46"/>
      <c r="K40" s="47"/>
      <c r="L40" s="49"/>
      <c r="M40" s="46"/>
      <c r="N40" s="3"/>
      <c r="O40" s="3"/>
      <c r="P40" s="3"/>
      <c r="Q40" s="224" t="s">
        <v>48</v>
      </c>
      <c r="R40" s="224"/>
      <c r="S40" s="224"/>
      <c r="T40" s="32">
        <v>0</v>
      </c>
      <c r="U40" s="32">
        <f>U26</f>
        <v>6.8388371875875379E-3</v>
      </c>
      <c r="V40" s="18"/>
      <c r="W40" s="32">
        <f>U40</f>
        <v>6.8388371875875379E-3</v>
      </c>
    </row>
    <row r="41" spans="1:25" x14ac:dyDescent="0.3">
      <c r="A41" s="3"/>
      <c r="B41" s="3"/>
      <c r="C41" s="45"/>
      <c r="D41" s="45"/>
      <c r="E41" s="3"/>
      <c r="F41" s="3"/>
      <c r="G41" s="3"/>
      <c r="H41" s="3"/>
      <c r="I41" s="3"/>
      <c r="J41" s="46"/>
      <c r="K41" s="47"/>
      <c r="L41" s="49"/>
      <c r="M41" s="46"/>
      <c r="N41" s="3"/>
      <c r="O41" s="3"/>
      <c r="P41" s="3"/>
      <c r="Q41" s="18"/>
      <c r="R41" s="33"/>
      <c r="S41" s="34" t="s">
        <v>20</v>
      </c>
      <c r="T41" s="35">
        <f>SUM(T38:T40)</f>
        <v>0.89999999999999991</v>
      </c>
      <c r="U41" s="35">
        <f>SUM(U38:U40)</f>
        <v>0.75107831904198696</v>
      </c>
      <c r="V41" s="18"/>
      <c r="W41" s="35">
        <f>U41/T41</f>
        <v>0.83453146560220781</v>
      </c>
    </row>
    <row r="42" spans="1:25" x14ac:dyDescent="0.3">
      <c r="A42" s="3"/>
      <c r="B42" s="3"/>
      <c r="C42" s="45"/>
      <c r="D42" s="45"/>
      <c r="E42" s="3"/>
      <c r="F42" s="3"/>
      <c r="G42" s="3"/>
      <c r="H42" s="3"/>
      <c r="I42" s="3"/>
      <c r="J42" s="46"/>
      <c r="K42" s="170"/>
      <c r="L42" s="49"/>
      <c r="M42" s="170"/>
      <c r="N42" s="171"/>
      <c r="O42" s="3"/>
      <c r="P42" s="3"/>
      <c r="Q42" s="3"/>
      <c r="R42" s="3"/>
      <c r="S42" s="45"/>
      <c r="T42" s="48"/>
      <c r="U42" s="48"/>
      <c r="V42" s="5"/>
      <c r="W42" s="6"/>
    </row>
    <row r="43" spans="1:25" x14ac:dyDescent="0.3">
      <c r="K43" s="36"/>
      <c r="M43" s="36"/>
      <c r="N43" s="37"/>
    </row>
    <row r="44" spans="1:25" x14ac:dyDescent="0.3">
      <c r="K44" s="36"/>
      <c r="M44" s="36"/>
      <c r="N44" s="37"/>
      <c r="Y44" s="225"/>
    </row>
    <row r="45" spans="1:25" x14ac:dyDescent="0.3">
      <c r="B45" s="226"/>
      <c r="K45" s="38"/>
      <c r="M45" s="36"/>
      <c r="N45" s="37"/>
      <c r="Y45" s="225"/>
    </row>
    <row r="46" spans="1:25" x14ac:dyDescent="0.3">
      <c r="B46" s="226"/>
      <c r="K46" s="36"/>
      <c r="M46" s="36"/>
      <c r="N46" s="37"/>
      <c r="Y46" s="225"/>
    </row>
    <row r="47" spans="1:25" x14ac:dyDescent="0.3">
      <c r="B47" s="226"/>
      <c r="K47" s="36"/>
      <c r="M47" s="36"/>
      <c r="N47" s="37"/>
      <c r="Y47" s="225"/>
    </row>
    <row r="48" spans="1:25" x14ac:dyDescent="0.3">
      <c r="B48" s="226"/>
      <c r="K48" s="36"/>
      <c r="M48" s="36"/>
      <c r="N48" s="37"/>
      <c r="Y48" s="225"/>
    </row>
    <row r="49" spans="3:25" x14ac:dyDescent="0.3">
      <c r="C49" s="39"/>
      <c r="K49" s="36"/>
      <c r="M49" s="36"/>
      <c r="N49" s="37"/>
      <c r="Y49" s="225"/>
    </row>
    <row r="50" spans="3:25" x14ac:dyDescent="0.3">
      <c r="K50" s="36"/>
      <c r="M50" s="36"/>
      <c r="N50" s="37"/>
      <c r="Y50" s="225"/>
    </row>
    <row r="51" spans="3:25" x14ac:dyDescent="0.3">
      <c r="K51" s="36"/>
      <c r="M51" s="36"/>
      <c r="N51" s="37"/>
      <c r="Y51" s="225"/>
    </row>
    <row r="52" spans="3:25" x14ac:dyDescent="0.3">
      <c r="Y52" s="225"/>
    </row>
    <row r="53" spans="3:25" x14ac:dyDescent="0.3">
      <c r="Y53" s="225"/>
    </row>
    <row r="54" spans="3:25" x14ac:dyDescent="0.3">
      <c r="Y54" s="225"/>
    </row>
    <row r="55" spans="3:25" x14ac:dyDescent="0.3">
      <c r="Y55" s="225"/>
    </row>
    <row r="56" spans="3:25" x14ac:dyDescent="0.3">
      <c r="Y56" s="225"/>
    </row>
    <row r="57" spans="3:25" x14ac:dyDescent="0.3">
      <c r="Y57" s="225"/>
    </row>
  </sheetData>
  <autoFilter ref="A1:X41" xr:uid="{4495F01B-D40B-482D-8FD9-B36E0DE3B817}"/>
  <mergeCells count="18">
    <mergeCell ref="A5:A6"/>
    <mergeCell ref="B5:B6"/>
    <mergeCell ref="C5:C6"/>
    <mergeCell ref="D5:D6"/>
    <mergeCell ref="E5:H5"/>
    <mergeCell ref="B37:O37"/>
    <mergeCell ref="Q39:S39"/>
    <mergeCell ref="Y44:Y57"/>
    <mergeCell ref="B45:B48"/>
    <mergeCell ref="Q38:S38"/>
    <mergeCell ref="Q40:S40"/>
    <mergeCell ref="V5:V6"/>
    <mergeCell ref="I5:K5"/>
    <mergeCell ref="L5:L6"/>
    <mergeCell ref="M5:R5"/>
    <mergeCell ref="S5:S6"/>
    <mergeCell ref="T5:T6"/>
    <mergeCell ref="U5:U6"/>
  </mergeCells>
  <printOptions horizontalCentered="1" gridLines="1"/>
  <pageMargins left="0.7" right="0.7" top="0.75" bottom="0.75" header="0.3" footer="0.3"/>
  <pageSetup paperSize="5" scale="62" orientation="landscape" r:id="rId1"/>
  <rowBreaks count="1" manualBreakCount="1">
    <brk id="36"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32134-A876-4501-B943-EC7D02B60171}">
  <dimension ref="A1:F17"/>
  <sheetViews>
    <sheetView workbookViewId="0">
      <selection activeCell="B11" sqref="B11:F17"/>
    </sheetView>
  </sheetViews>
  <sheetFormatPr defaultRowHeight="14.4" x14ac:dyDescent="0.3"/>
  <cols>
    <col min="1" max="1" width="6.5546875" bestFit="1" customWidth="1"/>
    <col min="2" max="2" width="12.88671875" bestFit="1" customWidth="1"/>
    <col min="3" max="3" width="15.5546875" bestFit="1" customWidth="1"/>
    <col min="4" max="4" width="16.6640625" bestFit="1" customWidth="1"/>
    <col min="5" max="5" width="10.33203125" bestFit="1" customWidth="1"/>
    <col min="6" max="6" width="12.33203125" bestFit="1" customWidth="1"/>
  </cols>
  <sheetData>
    <row r="1" spans="1:6" ht="33.6" x14ac:dyDescent="0.3">
      <c r="A1" s="206" t="s">
        <v>124</v>
      </c>
    </row>
    <row r="2" spans="1:6" ht="33.6" x14ac:dyDescent="0.3">
      <c r="B2" s="207" t="s">
        <v>125</v>
      </c>
    </row>
    <row r="4" spans="1:6" ht="57.6" x14ac:dyDescent="0.3">
      <c r="A4" s="58" t="s">
        <v>111</v>
      </c>
      <c r="B4" s="44" t="s">
        <v>110</v>
      </c>
      <c r="C4" s="44" t="s">
        <v>49</v>
      </c>
      <c r="D4" s="58" t="s">
        <v>96</v>
      </c>
      <c r="E4" s="59" t="s">
        <v>86</v>
      </c>
      <c r="F4" s="59" t="s">
        <v>85</v>
      </c>
    </row>
    <row r="5" spans="1:6" x14ac:dyDescent="0.3">
      <c r="A5" s="16">
        <v>1</v>
      </c>
      <c r="B5" s="16" t="s">
        <v>103</v>
      </c>
      <c r="C5" t="s">
        <v>117</v>
      </c>
      <c r="D5" t="s">
        <v>104</v>
      </c>
      <c r="E5" s="17">
        <v>645.96</v>
      </c>
      <c r="F5" s="57">
        <f>E5/E7</f>
        <v>0.50263002272090629</v>
      </c>
    </row>
    <row r="6" spans="1:6" x14ac:dyDescent="0.3">
      <c r="A6" s="16">
        <v>2</v>
      </c>
      <c r="B6" s="16" t="s">
        <v>103</v>
      </c>
      <c r="C6" t="s">
        <v>118</v>
      </c>
      <c r="D6" t="s">
        <v>104</v>
      </c>
      <c r="E6" s="19">
        <v>639.20000000000005</v>
      </c>
      <c r="F6" s="57">
        <f>E6/E7</f>
        <v>0.49736997727909366</v>
      </c>
    </row>
    <row r="7" spans="1:6" x14ac:dyDescent="0.3">
      <c r="D7" s="161" t="s">
        <v>109</v>
      </c>
      <c r="E7" s="43">
        <f>SUM(E5:E6)</f>
        <v>1285.1600000000001</v>
      </c>
    </row>
    <row r="11" spans="1:6" x14ac:dyDescent="0.3">
      <c r="B11" s="226" t="s">
        <v>130</v>
      </c>
      <c r="C11" s="226"/>
      <c r="D11" s="226"/>
      <c r="E11" s="226"/>
      <c r="F11" s="226"/>
    </row>
    <row r="12" spans="1:6" x14ac:dyDescent="0.3">
      <c r="B12" s="226"/>
      <c r="C12" s="226"/>
      <c r="D12" s="226"/>
      <c r="E12" s="226"/>
      <c r="F12" s="226"/>
    </row>
    <row r="13" spans="1:6" x14ac:dyDescent="0.3">
      <c r="B13" s="226"/>
      <c r="C13" s="226"/>
      <c r="D13" s="226"/>
      <c r="E13" s="226"/>
      <c r="F13" s="226"/>
    </row>
    <row r="14" spans="1:6" x14ac:dyDescent="0.3">
      <c r="B14" s="226"/>
      <c r="C14" s="226"/>
      <c r="D14" s="226"/>
      <c r="E14" s="226"/>
      <c r="F14" s="226"/>
    </row>
    <row r="15" spans="1:6" x14ac:dyDescent="0.3">
      <c r="B15" s="226"/>
      <c r="C15" s="226"/>
      <c r="D15" s="226"/>
      <c r="E15" s="226"/>
      <c r="F15" s="226"/>
    </row>
    <row r="16" spans="1:6" x14ac:dyDescent="0.3">
      <c r="B16" s="226"/>
      <c r="C16" s="226"/>
      <c r="D16" s="226"/>
      <c r="E16" s="226"/>
      <c r="F16" s="226"/>
    </row>
    <row r="17" spans="2:6" x14ac:dyDescent="0.3">
      <c r="B17" s="226"/>
      <c r="C17" s="226"/>
      <c r="D17" s="226"/>
      <c r="E17" s="226"/>
      <c r="F17" s="226"/>
    </row>
  </sheetData>
  <mergeCells count="1">
    <mergeCell ref="B11:F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12A9-826C-4FFD-ADED-93BB440360EC}">
  <dimension ref="A2:A8"/>
  <sheetViews>
    <sheetView workbookViewId="0">
      <selection activeCell="A8" sqref="A8"/>
    </sheetView>
  </sheetViews>
  <sheetFormatPr defaultRowHeight="14.4" x14ac:dyDescent="0.3"/>
  <cols>
    <col min="1" max="1" width="68.109375" bestFit="1" customWidth="1"/>
  </cols>
  <sheetData>
    <row r="2" spans="1:1" x14ac:dyDescent="0.3">
      <c r="A2" t="s">
        <v>60</v>
      </c>
    </row>
    <row r="3" spans="1:1" x14ac:dyDescent="0.3">
      <c r="A3" t="s">
        <v>68</v>
      </c>
    </row>
    <row r="4" spans="1:1" x14ac:dyDescent="0.3">
      <c r="A4" t="s">
        <v>77</v>
      </c>
    </row>
    <row r="5" spans="1:1" x14ac:dyDescent="0.3">
      <c r="A5" t="s">
        <v>97</v>
      </c>
    </row>
    <row r="6" spans="1:1" x14ac:dyDescent="0.3">
      <c r="A6" t="s">
        <v>98</v>
      </c>
    </row>
    <row r="7" spans="1:1" x14ac:dyDescent="0.3">
      <c r="A7" t="s">
        <v>76</v>
      </c>
    </row>
    <row r="8" spans="1:1" x14ac:dyDescent="0.3">
      <c r="A8"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A51C7-24CB-44DA-BC58-EBBD9214CDB3}">
  <dimension ref="A1:A10"/>
  <sheetViews>
    <sheetView workbookViewId="0">
      <selection activeCell="A10" sqref="A10"/>
    </sheetView>
  </sheetViews>
  <sheetFormatPr defaultRowHeight="14.4" x14ac:dyDescent="0.3"/>
  <cols>
    <col min="1" max="1" width="58.44140625" bestFit="1" customWidth="1"/>
  </cols>
  <sheetData>
    <row r="1" spans="1:1" ht="28.8" x14ac:dyDescent="0.3">
      <c r="A1" s="56" t="s">
        <v>102</v>
      </c>
    </row>
    <row r="2" spans="1:1" x14ac:dyDescent="0.3">
      <c r="A2" t="s">
        <v>99</v>
      </c>
    </row>
    <row r="3" spans="1:1" x14ac:dyDescent="0.3">
      <c r="A3" s="158" t="s">
        <v>46</v>
      </c>
    </row>
    <row r="4" spans="1:1" x14ac:dyDescent="0.3">
      <c r="A4" s="158" t="s">
        <v>40</v>
      </c>
    </row>
    <row r="5" spans="1:1" x14ac:dyDescent="0.3">
      <c r="A5" s="158" t="s">
        <v>50</v>
      </c>
    </row>
    <row r="6" spans="1:1" x14ac:dyDescent="0.3">
      <c r="A6" s="158" t="s">
        <v>74</v>
      </c>
    </row>
    <row r="7" spans="1:1" x14ac:dyDescent="0.3">
      <c r="A7" t="s">
        <v>101</v>
      </c>
    </row>
    <row r="8" spans="1:1" x14ac:dyDescent="0.3">
      <c r="A8" t="s">
        <v>100</v>
      </c>
    </row>
    <row r="9" spans="1:1" ht="28.8" x14ac:dyDescent="0.3">
      <c r="A9" s="56" t="s">
        <v>75</v>
      </c>
    </row>
    <row r="10" spans="1:1" x14ac:dyDescent="0.3">
      <c r="A10" t="s">
        <v>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61FF1-88FB-4DF5-A3A3-1E3F0A33E220}">
  <dimension ref="A1:A4"/>
  <sheetViews>
    <sheetView workbookViewId="0">
      <selection activeCell="A4" sqref="A4"/>
    </sheetView>
  </sheetViews>
  <sheetFormatPr defaultRowHeight="14.4" x14ac:dyDescent="0.3"/>
  <cols>
    <col min="1" max="1" width="49.6640625" bestFit="1" customWidth="1"/>
  </cols>
  <sheetData>
    <row r="1" spans="1:1" x14ac:dyDescent="0.3">
      <c r="A1" t="s">
        <v>61</v>
      </c>
    </row>
    <row r="2" spans="1:1" x14ac:dyDescent="0.3">
      <c r="A2" t="s">
        <v>52</v>
      </c>
    </row>
    <row r="3" spans="1:1" x14ac:dyDescent="0.3">
      <c r="A3" t="s">
        <v>58</v>
      </c>
    </row>
    <row r="4" spans="1:1" x14ac:dyDescent="0.3">
      <c r="A4"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9646F-23C3-4D74-9CDE-BA6A7F5F9DFA}">
  <dimension ref="A1:A16"/>
  <sheetViews>
    <sheetView workbookViewId="0">
      <selection activeCell="A16" sqref="A16"/>
    </sheetView>
  </sheetViews>
  <sheetFormatPr defaultRowHeight="14.4" x14ac:dyDescent="0.3"/>
  <cols>
    <col min="1" max="1" width="99" bestFit="1" customWidth="1"/>
  </cols>
  <sheetData>
    <row r="1" spans="1:1" ht="23.4" x14ac:dyDescent="0.45">
      <c r="A1" s="54" t="s">
        <v>71</v>
      </c>
    </row>
    <row r="3" spans="1:1" x14ac:dyDescent="0.3">
      <c r="A3" t="s">
        <v>69</v>
      </c>
    </row>
    <row r="4" spans="1:1" x14ac:dyDescent="0.3">
      <c r="A4" t="s">
        <v>105</v>
      </c>
    </row>
    <row r="6" spans="1:1" x14ac:dyDescent="0.3">
      <c r="A6" s="55" t="s">
        <v>70</v>
      </c>
    </row>
    <row r="7" spans="1:1" x14ac:dyDescent="0.3">
      <c r="A7" t="s">
        <v>53</v>
      </c>
    </row>
    <row r="8" spans="1:1" x14ac:dyDescent="0.3">
      <c r="A8" t="s">
        <v>54</v>
      </c>
    </row>
    <row r="9" spans="1:1" x14ac:dyDescent="0.3">
      <c r="A9" t="s">
        <v>56</v>
      </c>
    </row>
    <row r="10" spans="1:1" x14ac:dyDescent="0.3">
      <c r="A10" t="s">
        <v>106</v>
      </c>
    </row>
    <row r="11" spans="1:1" ht="28.8" x14ac:dyDescent="0.3">
      <c r="A11" s="56" t="s">
        <v>107</v>
      </c>
    </row>
    <row r="12" spans="1:1" x14ac:dyDescent="0.3">
      <c r="A12" t="s">
        <v>55</v>
      </c>
    </row>
    <row r="13" spans="1:1" x14ac:dyDescent="0.3">
      <c r="A13" t="s">
        <v>59</v>
      </c>
    </row>
    <row r="14" spans="1:1" x14ac:dyDescent="0.3">
      <c r="A14" t="s">
        <v>72</v>
      </c>
    </row>
    <row r="15" spans="1:1" x14ac:dyDescent="0.3">
      <c r="A15" t="s">
        <v>73</v>
      </c>
    </row>
    <row r="16" spans="1:1" x14ac:dyDescent="0.3">
      <c r="A16" t="s">
        <v>131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CF828-36E5-41B8-BBCF-44E2BC62CB9B}">
  <dimension ref="A1:A6"/>
  <sheetViews>
    <sheetView workbookViewId="0">
      <selection activeCell="C12" sqref="C12"/>
    </sheetView>
  </sheetViews>
  <sheetFormatPr defaultRowHeight="14.4" x14ac:dyDescent="0.3"/>
  <cols>
    <col min="1" max="1" width="87.88671875" bestFit="1" customWidth="1"/>
  </cols>
  <sheetData>
    <row r="1" spans="1:1" x14ac:dyDescent="0.3">
      <c r="A1" t="s">
        <v>57</v>
      </c>
    </row>
    <row r="2" spans="1:1" x14ac:dyDescent="0.3">
      <c r="A2" t="s">
        <v>84</v>
      </c>
    </row>
    <row r="3" spans="1:1" x14ac:dyDescent="0.3">
      <c r="A3" t="s">
        <v>121</v>
      </c>
    </row>
    <row r="5" spans="1:1" x14ac:dyDescent="0.3">
      <c r="A5" t="s">
        <v>122</v>
      </c>
    </row>
    <row r="6" spans="1:1" x14ac:dyDescent="0.3">
      <c r="A6"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Disclaimer</vt:lpstr>
      <vt:lpstr>DOI Summary</vt:lpstr>
      <vt:lpstr>Tracts</vt:lpstr>
      <vt:lpstr>Wells</vt:lpstr>
      <vt:lpstr>Title</vt:lpstr>
      <vt:lpstr>Owner Details</vt:lpstr>
      <vt:lpstr>Leases&amp;Contracts</vt:lpstr>
      <vt:lpstr>Suspense</vt:lpstr>
      <vt:lpstr>'DOI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Honeycutt</dc:creator>
  <cp:lastModifiedBy>Erica Honeycutt</cp:lastModifiedBy>
  <cp:lastPrinted>2023-08-24T02:46:04Z</cp:lastPrinted>
  <dcterms:created xsi:type="dcterms:W3CDTF">2023-04-27T01:48:25Z</dcterms:created>
  <dcterms:modified xsi:type="dcterms:W3CDTF">2025-12-09T14:16:10Z</dcterms:modified>
</cp:coreProperties>
</file>