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Greg/Documents/&amp;&amp;&amp;/Apps - Excel/"/>
    </mc:Choice>
  </mc:AlternateContent>
  <xr:revisionPtr revIDLastSave="0" documentId="13_ncr:1_{F224E8FB-582F-C34E-828E-8087EDFF4729}" xr6:coauthVersionLast="47" xr6:coauthVersionMax="47" xr10:uidLastSave="{00000000-0000-0000-0000-000000000000}"/>
  <bookViews>
    <workbookView xWindow="1740" yWindow="1520" windowWidth="25200" windowHeight="19180" tabRatio="500" xr2:uid="{00000000-000D-0000-FFFF-FFFF00000000}"/>
  </bookViews>
  <sheets>
    <sheet name="Cone" sheetId="2" r:id="rId1"/>
    <sheet name="Air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" i="2" l="1"/>
  <c r="P12" i="2"/>
  <c r="P10" i="2"/>
  <c r="R12" i="2"/>
  <c r="R10" i="2"/>
  <c r="M41" i="2"/>
  <c r="M43" i="2"/>
  <c r="M36" i="2"/>
  <c r="D3" i="2"/>
  <c r="C2" i="3"/>
  <c r="C11" i="3"/>
  <c r="H10" i="2"/>
  <c r="B9" i="2"/>
  <c r="B13" i="2" s="1"/>
  <c r="D4" i="2"/>
  <c r="I34" i="2"/>
  <c r="R11" i="2" l="1"/>
  <c r="P11" i="2" s="1"/>
  <c r="H39" i="2"/>
  <c r="H11" i="2"/>
  <c r="B10" i="2"/>
  <c r="R14" i="2" s="1"/>
  <c r="P14" i="2" s="1"/>
  <c r="D5" i="2"/>
  <c r="H35" i="2"/>
  <c r="C7" i="3" s="1"/>
  <c r="D34" i="2" l="1"/>
  <c r="H12" i="2"/>
  <c r="C3" i="3"/>
  <c r="C14" i="3" s="1"/>
  <c r="I14" i="3" s="1"/>
  <c r="E15" i="3" s="1"/>
  <c r="B16" i="2"/>
  <c r="D33" i="2" s="1"/>
  <c r="D35" i="2" l="1"/>
  <c r="R13" i="2"/>
  <c r="P13" i="2" s="1"/>
  <c r="D39" i="2"/>
  <c r="E14" i="3" s="1"/>
  <c r="D37" i="2" l="1"/>
  <c r="R15" i="2" s="1"/>
  <c r="P15" i="2" s="1"/>
  <c r="D43" i="2"/>
  <c r="E35" i="2"/>
  <c r="D40" i="2"/>
  <c r="H33" i="2" s="1"/>
  <c r="M38" i="2" s="1"/>
  <c r="D38" i="2"/>
  <c r="D42" i="2" s="1"/>
  <c r="C6" i="3" l="1"/>
  <c r="D14" i="3" s="1"/>
  <c r="H34" i="2"/>
  <c r="C4" i="3"/>
  <c r="M42" i="2"/>
  <c r="P41" i="2" s="1"/>
  <c r="P42" i="2" l="1"/>
  <c r="F14" i="3"/>
  <c r="G14" i="3" s="1"/>
  <c r="J14" i="3" s="1"/>
  <c r="K14" i="3" s="1"/>
  <c r="H37" i="2"/>
  <c r="H38" i="2" s="1"/>
  <c r="C5" i="3"/>
  <c r="J38" i="2" l="1"/>
  <c r="R16" i="2"/>
  <c r="P16" i="2" s="1"/>
  <c r="D15" i="3"/>
  <c r="F15" i="3" s="1"/>
  <c r="H14" i="3"/>
  <c r="L14" i="3" s="1"/>
  <c r="M14" i="3" s="1"/>
  <c r="C15" i="3" s="1"/>
  <c r="I15" i="3" s="1"/>
  <c r="D16" i="3" l="1"/>
  <c r="G15" i="3"/>
  <c r="J15" i="3" s="1"/>
  <c r="K15" i="3" s="1"/>
  <c r="H15" i="3"/>
  <c r="L15" i="3" l="1"/>
  <c r="M15" i="3" s="1"/>
  <c r="C16" i="3" s="1"/>
  <c r="I16" i="3" s="1"/>
  <c r="E16" i="3" l="1"/>
  <c r="F16" i="3" s="1"/>
  <c r="H16" i="3" l="1"/>
  <c r="D17" i="3"/>
  <c r="G16" i="3"/>
  <c r="J16" i="3" s="1"/>
  <c r="K16" i="3" s="1"/>
  <c r="L16" i="3" l="1"/>
  <c r="M16" i="3" s="1"/>
  <c r="C17" i="3" s="1"/>
  <c r="I17" i="3" l="1"/>
  <c r="E17" i="3"/>
  <c r="F17" i="3" s="1"/>
  <c r="H17" i="3" l="1"/>
  <c r="G17" i="3"/>
  <c r="J17" i="3" s="1"/>
  <c r="K17" i="3" s="1"/>
  <c r="D18" i="3"/>
  <c r="L17" i="3" l="1"/>
  <c r="M17" i="3" s="1"/>
  <c r="C18" i="3" s="1"/>
  <c r="I18" i="3" l="1"/>
  <c r="E18" i="3"/>
  <c r="F18" i="3" s="1"/>
  <c r="G18" i="3" l="1"/>
  <c r="J18" i="3" s="1"/>
  <c r="H18" i="3"/>
  <c r="K18" i="3" l="1"/>
  <c r="L18" i="3"/>
  <c r="M18" i="3" l="1"/>
</calcChain>
</file>

<file path=xl/sharedStrings.xml><?xml version="1.0" encoding="utf-8"?>
<sst xmlns="http://schemas.openxmlformats.org/spreadsheetml/2006/main" count="112" uniqueCount="50">
  <si>
    <t>V1</t>
  </si>
  <si>
    <t>V2</t>
  </si>
  <si>
    <t>H</t>
  </si>
  <si>
    <t>α</t>
  </si>
  <si>
    <t>φ'</t>
  </si>
  <si>
    <t>a</t>
  </si>
  <si>
    <t>D</t>
  </si>
  <si>
    <t>s</t>
  </si>
  <si>
    <t>Vi+1</t>
  </si>
  <si>
    <t>L</t>
  </si>
  <si>
    <t>ΣL</t>
  </si>
  <si>
    <t>ΣH</t>
  </si>
  <si>
    <t>deg</t>
  </si>
  <si>
    <t>kg/s</t>
  </si>
  <si>
    <t>m/s</t>
  </si>
  <si>
    <t>m</t>
  </si>
  <si>
    <t>m/s2</t>
  </si>
  <si>
    <t>D/2</t>
  </si>
  <si>
    <t>Vy0</t>
  </si>
  <si>
    <t>Vx0</t>
  </si>
  <si>
    <t>ΔD</t>
  </si>
  <si>
    <t>t</t>
  </si>
  <si>
    <t>in.</t>
  </si>
  <si>
    <t>h</t>
  </si>
  <si>
    <t xml:space="preserve"> </t>
  </si>
  <si>
    <t>a0</t>
  </si>
  <si>
    <t xml:space="preserve">m </t>
  </si>
  <si>
    <t>S'</t>
  </si>
  <si>
    <r>
      <rPr>
        <sz val="12"/>
        <color theme="1"/>
        <rFont val="Symbol"/>
        <charset val="2"/>
      </rPr>
      <t>D</t>
    </r>
    <r>
      <rPr>
        <sz val="12"/>
        <color theme="1"/>
        <rFont val="Calibri"/>
        <family val="2"/>
        <scheme val="minor"/>
      </rPr>
      <t>S'</t>
    </r>
  </si>
  <si>
    <t>No.</t>
  </si>
  <si>
    <t>V</t>
  </si>
  <si>
    <t>(Vi+1)x</t>
  </si>
  <si>
    <t>V0</t>
  </si>
  <si>
    <t>Y</t>
  </si>
  <si>
    <r>
      <t>a</t>
    </r>
    <r>
      <rPr>
        <sz val="12"/>
        <color theme="1"/>
        <rFont val="Arial"/>
        <family val="2"/>
      </rPr>
      <t>i+1</t>
    </r>
  </si>
  <si>
    <t>(Vi+1)y</t>
  </si>
  <si>
    <t>q</t>
  </si>
  <si>
    <t>Vx</t>
  </si>
  <si>
    <t>Vy</t>
  </si>
  <si>
    <t>S</t>
  </si>
  <si>
    <t>ai+1</t>
  </si>
  <si>
    <t>X</t>
  </si>
  <si>
    <t>Dc</t>
  </si>
  <si>
    <t>(Dc-D)/2</t>
  </si>
  <si>
    <t xml:space="preserve">           </t>
  </si>
  <si>
    <t>b</t>
  </si>
  <si>
    <t>c</t>
  </si>
  <si>
    <t>z</t>
  </si>
  <si>
    <t>x</t>
  </si>
  <si>
    <t>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</si>
</sst>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3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FF"/>
      <name val="Calibri"/>
      <family val="2"/>
      <scheme val="minor"/>
    </font>
    <font>
      <sz val="12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Symbol"/>
      <charset val="2"/>
    </font>
    <font>
      <sz val="12"/>
      <color theme="1"/>
      <name val="Arial"/>
      <family val="2"/>
    </font>
    <font>
      <sz val="12"/>
      <color theme="1"/>
      <name val="Calibri"/>
      <family val="2"/>
      <charset val="2"/>
      <scheme val="minor"/>
    </font>
    <font>
      <sz val="12"/>
      <color rgb="FF0096FF"/>
      <name val="Calibri"/>
      <family val="2"/>
      <scheme val="minor"/>
    </font>
    <font>
      <sz val="12"/>
      <color rgb="FF000000"/>
      <name val="Symbol"/>
      <charset val="2"/>
    </font>
    <font>
      <sz val="12"/>
      <color rgb="FF0070C0"/>
      <name val="Calibri"/>
      <family val="2"/>
      <scheme val="minor"/>
    </font>
    <font>
      <sz val="12"/>
      <color rgb="FF0054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9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2" fontId="1" fillId="0" borderId="0" xfId="0" applyNumberFormat="1" applyFont="1"/>
    <xf numFmtId="2" fontId="0" fillId="0" borderId="0" xfId="0" applyNumberFormat="1"/>
    <xf numFmtId="164" fontId="0" fillId="0" borderId="0" xfId="0" applyNumberFormat="1"/>
    <xf numFmtId="0" fontId="6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" fillId="0" borderId="0" xfId="0" applyFont="1"/>
    <xf numFmtId="164" fontId="1" fillId="0" borderId="0" xfId="0" applyNumberFormat="1" applyFont="1"/>
    <xf numFmtId="0" fontId="0" fillId="0" borderId="0" xfId="0" applyAlignment="1">
      <alignment horizontal="right"/>
    </xf>
    <xf numFmtId="0" fontId="6" fillId="0" borderId="0" xfId="0" applyFont="1" applyAlignment="1">
      <alignment horizontal="right"/>
    </xf>
    <xf numFmtId="1" fontId="0" fillId="0" borderId="0" xfId="0" applyNumberFormat="1" applyAlignment="1">
      <alignment horizontal="center"/>
    </xf>
  </cellXfs>
  <cellStyles count="7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Normal" xfId="0" builtinId="0"/>
  </cellStyles>
  <dxfs count="0"/>
  <tableStyles count="0" defaultTableStyle="TableStyleMedium9" defaultPivotStyle="PivotStyleMedium4"/>
  <colors>
    <mruColors>
      <color rgb="FF005493"/>
      <color rgb="FF009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7" Type="http://schemas.openxmlformats.org/officeDocument/2006/relationships/image" Target="../media/image9.png"/><Relationship Id="rId2" Type="http://schemas.openxmlformats.org/officeDocument/2006/relationships/image" Target="../media/image4.emf"/><Relationship Id="rId1" Type="http://schemas.openxmlformats.org/officeDocument/2006/relationships/image" Target="../media/image3.emf"/><Relationship Id="rId6" Type="http://schemas.openxmlformats.org/officeDocument/2006/relationships/image" Target="../media/image8.png"/><Relationship Id="rId5" Type="http://schemas.openxmlformats.org/officeDocument/2006/relationships/image" Target="../media/image7.emf"/><Relationship Id="rId4" Type="http://schemas.openxmlformats.org/officeDocument/2006/relationships/image" Target="../media/image6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152400</xdr:colOff>
      <xdr:row>18</xdr:row>
      <xdr:rowOff>101600</xdr:rowOff>
    </xdr:from>
    <xdr:to>
      <xdr:col>6</xdr:col>
      <xdr:colOff>788670</xdr:colOff>
      <xdr:row>25</xdr:row>
      <xdr:rowOff>123190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3149600"/>
          <a:ext cx="3315970" cy="1355090"/>
        </a:xfrm>
        <a:prstGeom prst="rect">
          <a:avLst/>
        </a:prstGeom>
        <a:solidFill>
          <a:srgbClr val="FFFFFF"/>
        </a:solidFill>
        <a:ln>
          <a:noFill/>
        </a:ln>
      </xdr:spPr>
    </xdr:pic>
    <xdr:clientData/>
  </xdr:twoCellAnchor>
  <xdr:twoCellAnchor editAs="oneCell">
    <xdr:from>
      <xdr:col>0</xdr:col>
      <xdr:colOff>114300</xdr:colOff>
      <xdr:row>18</xdr:row>
      <xdr:rowOff>177800</xdr:rowOff>
    </xdr:from>
    <xdr:to>
      <xdr:col>2</xdr:col>
      <xdr:colOff>60960</xdr:colOff>
      <xdr:row>29</xdr:row>
      <xdr:rowOff>142240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225800"/>
          <a:ext cx="1597660" cy="2059940"/>
        </a:xfrm>
        <a:prstGeom prst="rect">
          <a:avLst/>
        </a:prstGeom>
        <a:solidFill>
          <a:srgbClr val="FFFFFF"/>
        </a:solidFill>
        <a:ln>
          <a:noFill/>
        </a:ln>
      </xdr:spPr>
    </xdr:pic>
    <xdr:clientData/>
  </xdr:twoCellAnchor>
  <xdr:twoCellAnchor editAs="oneCell">
    <xdr:from>
      <xdr:col>0</xdr:col>
      <xdr:colOff>76200</xdr:colOff>
      <xdr:row>16</xdr:row>
      <xdr:rowOff>177800</xdr:rowOff>
    </xdr:from>
    <xdr:to>
      <xdr:col>2</xdr:col>
      <xdr:colOff>22860</xdr:colOff>
      <xdr:row>18</xdr:row>
      <xdr:rowOff>27940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44800"/>
          <a:ext cx="1597660" cy="2311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457200</xdr:colOff>
      <xdr:row>4</xdr:row>
      <xdr:rowOff>165100</xdr:rowOff>
    </xdr:from>
    <xdr:to>
      <xdr:col>1</xdr:col>
      <xdr:colOff>347980</xdr:colOff>
      <xdr:row>6</xdr:row>
      <xdr:rowOff>46990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977900"/>
          <a:ext cx="716280" cy="28829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596900</xdr:colOff>
          <xdr:row>27</xdr:row>
          <xdr:rowOff>38100</xdr:rowOff>
        </xdr:from>
        <xdr:to>
          <xdr:col>6</xdr:col>
          <xdr:colOff>292100</xdr:colOff>
          <xdr:row>28</xdr:row>
          <xdr:rowOff>50800</xdr:rowOff>
        </xdr:to>
        <xdr:sp macro="" textlink="">
          <xdr:nvSpPr>
            <xdr:cNvPr id="2058" name="Object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1270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787400</xdr:colOff>
          <xdr:row>28</xdr:row>
          <xdr:rowOff>152400</xdr:rowOff>
        </xdr:from>
        <xdr:to>
          <xdr:col>5</xdr:col>
          <xdr:colOff>800100</xdr:colOff>
          <xdr:row>30</xdr:row>
          <xdr:rowOff>76200</xdr:rowOff>
        </xdr:to>
        <xdr:sp macro="" textlink="">
          <xdr:nvSpPr>
            <xdr:cNvPr id="2059" name="Object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1270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10</xdr:col>
      <xdr:colOff>571500</xdr:colOff>
      <xdr:row>6</xdr:row>
      <xdr:rowOff>12700</xdr:rowOff>
    </xdr:from>
    <xdr:to>
      <xdr:col>13</xdr:col>
      <xdr:colOff>812800</xdr:colOff>
      <xdr:row>27</xdr:row>
      <xdr:rowOff>103314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0358E04-CFEF-AA39-6F90-FC399FE37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928100" y="1231900"/>
          <a:ext cx="2717800" cy="4357814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</xdr:pic>
    <xdr:clientData/>
  </xdr:twoCellAnchor>
  <xdr:twoCellAnchor editAs="oneCell">
    <xdr:from>
      <xdr:col>10</xdr:col>
      <xdr:colOff>787400</xdr:colOff>
      <xdr:row>28</xdr:row>
      <xdr:rowOff>197064</xdr:rowOff>
    </xdr:from>
    <xdr:to>
      <xdr:col>13</xdr:col>
      <xdr:colOff>622300</xdr:colOff>
      <xdr:row>33</xdr:row>
      <xdr:rowOff>38100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F6E8815-434E-BC0C-BFDD-E0C5A2260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5886664"/>
          <a:ext cx="2311400" cy="85703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7</xdr:col>
      <xdr:colOff>355600</xdr:colOff>
      <xdr:row>14</xdr:row>
      <xdr:rowOff>25400</xdr:rowOff>
    </xdr:from>
    <xdr:to>
      <xdr:col>10</xdr:col>
      <xdr:colOff>444500</xdr:colOff>
      <xdr:row>24</xdr:row>
      <xdr:rowOff>50800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92D9D0C-2395-81DD-3AA5-970F06AD3D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235700" y="2870200"/>
          <a:ext cx="2565400" cy="2057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image" Target="../media/image2.emf"/><Relationship Id="rId5" Type="http://schemas.openxmlformats.org/officeDocument/2006/relationships/oleObject" Target="../embeddings/oleObject2.bin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4"/>
  <sheetViews>
    <sheetView tabSelected="1" workbookViewId="0">
      <selection activeCell="B3" sqref="B3"/>
    </sheetView>
  </sheetViews>
  <sheetFormatPr baseColWidth="10" defaultRowHeight="16" x14ac:dyDescent="0.2"/>
  <cols>
    <col min="5" max="5" width="12.1640625" bestFit="1" customWidth="1"/>
  </cols>
  <sheetData>
    <row r="1" spans="1:18" x14ac:dyDescent="0.2">
      <c r="A1" t="s">
        <v>4</v>
      </c>
      <c r="B1" s="1">
        <v>28</v>
      </c>
      <c r="C1" t="s">
        <v>12</v>
      </c>
      <c r="E1" s="1"/>
    </row>
    <row r="2" spans="1:18" x14ac:dyDescent="0.2">
      <c r="A2" s="9" t="s">
        <v>36</v>
      </c>
      <c r="B2" s="1">
        <v>45</v>
      </c>
      <c r="C2" t="s">
        <v>12</v>
      </c>
      <c r="E2" s="3"/>
    </row>
    <row r="3" spans="1:18" x14ac:dyDescent="0.2">
      <c r="A3" t="s">
        <v>6</v>
      </c>
      <c r="B3" s="1">
        <v>3</v>
      </c>
      <c r="C3" t="s">
        <v>15</v>
      </c>
      <c r="D3">
        <f>B3*1000/25.4</f>
        <v>118.11023622047244</v>
      </c>
      <c r="E3" s="4" t="s">
        <v>22</v>
      </c>
    </row>
    <row r="4" spans="1:18" x14ac:dyDescent="0.2">
      <c r="A4" t="s">
        <v>23</v>
      </c>
      <c r="B4" s="1">
        <v>1</v>
      </c>
      <c r="C4" t="s">
        <v>15</v>
      </c>
      <c r="D4">
        <f>B4*1000/25.4</f>
        <v>39.370078740157481</v>
      </c>
      <c r="E4" t="s">
        <v>22</v>
      </c>
      <c r="N4" s="4"/>
    </row>
    <row r="5" spans="1:18" x14ac:dyDescent="0.2">
      <c r="A5" t="s">
        <v>41</v>
      </c>
      <c r="B5" s="1">
        <f>0.2*B3</f>
        <v>0.60000000000000009</v>
      </c>
      <c r="C5" t="s">
        <v>15</v>
      </c>
      <c r="D5">
        <f>B5*1000/25.4</f>
        <v>23.622047244094492</v>
      </c>
    </row>
    <row r="6" spans="1:18" x14ac:dyDescent="0.2">
      <c r="B6" s="1"/>
    </row>
    <row r="7" spans="1:18" x14ac:dyDescent="0.2">
      <c r="B7" s="1"/>
    </row>
    <row r="9" spans="1:18" x14ac:dyDescent="0.2">
      <c r="A9" t="s">
        <v>0</v>
      </c>
      <c r="B9" s="4">
        <f>SQRT(2*B4*9.8)</f>
        <v>4.4271887242357311</v>
      </c>
      <c r="C9" t="s">
        <v>14</v>
      </c>
      <c r="E9" s="1"/>
    </row>
    <row r="10" spans="1:18" x14ac:dyDescent="0.2">
      <c r="A10" s="6" t="s">
        <v>5</v>
      </c>
      <c r="B10" s="12">
        <f>90-B2</f>
        <v>45</v>
      </c>
      <c r="G10" t="s">
        <v>17</v>
      </c>
      <c r="H10">
        <f>B3/2</f>
        <v>1.5</v>
      </c>
      <c r="I10" t="s">
        <v>15</v>
      </c>
      <c r="O10" s="14" t="s">
        <v>6</v>
      </c>
      <c r="P10" s="16">
        <f>R10*1000</f>
        <v>3000</v>
      </c>
      <c r="Q10" t="s">
        <v>49</v>
      </c>
      <c r="R10">
        <f>B3</f>
        <v>3</v>
      </c>
    </row>
    <row r="11" spans="1:18" x14ac:dyDescent="0.2">
      <c r="B11" s="2"/>
      <c r="C11" t="s">
        <v>13</v>
      </c>
      <c r="G11" t="s">
        <v>3</v>
      </c>
      <c r="H11">
        <f>90-B2</f>
        <v>45</v>
      </c>
      <c r="I11" t="s">
        <v>12</v>
      </c>
      <c r="O11" s="14" t="s">
        <v>41</v>
      </c>
      <c r="P11" s="16">
        <f>R11*1000</f>
        <v>600.00000000000011</v>
      </c>
      <c r="Q11" t="s">
        <v>49</v>
      </c>
      <c r="R11">
        <f>B5</f>
        <v>0.60000000000000009</v>
      </c>
    </row>
    <row r="12" spans="1:18" x14ac:dyDescent="0.2">
      <c r="B12" s="4"/>
      <c r="G12" t="s">
        <v>2</v>
      </c>
      <c r="H12" s="12">
        <f>H10*TAN(RADIANS(H11))</f>
        <v>1.4999999999999998</v>
      </c>
      <c r="I12" t="s">
        <v>15</v>
      </c>
      <c r="O12" s="14" t="s">
        <v>23</v>
      </c>
      <c r="P12" s="16">
        <f>R12*1000</f>
        <v>1000</v>
      </c>
      <c r="Q12" t="s">
        <v>49</v>
      </c>
      <c r="R12">
        <f>B4</f>
        <v>1</v>
      </c>
    </row>
    <row r="13" spans="1:18" x14ac:dyDescent="0.2">
      <c r="A13" t="s">
        <v>0</v>
      </c>
      <c r="B13" s="4">
        <f>B9</f>
        <v>4.4271887242357311</v>
      </c>
      <c r="O13" s="14" t="s">
        <v>2</v>
      </c>
      <c r="P13" s="16">
        <f>R13*1000</f>
        <v>1499.9999999999998</v>
      </c>
      <c r="Q13" t="s">
        <v>49</v>
      </c>
      <c r="R13">
        <f>H12</f>
        <v>1.4999999999999998</v>
      </c>
    </row>
    <row r="14" spans="1:18" x14ac:dyDescent="0.2">
      <c r="O14" s="15" t="s">
        <v>5</v>
      </c>
      <c r="P14" s="16">
        <f>R14</f>
        <v>45</v>
      </c>
      <c r="Q14" t="s">
        <v>12</v>
      </c>
      <c r="R14">
        <f>B10</f>
        <v>45</v>
      </c>
    </row>
    <row r="15" spans="1:18" x14ac:dyDescent="0.2">
      <c r="O15" s="14" t="s">
        <v>39</v>
      </c>
      <c r="P15" s="16">
        <f>R15*1000</f>
        <v>2121.3203435596424</v>
      </c>
      <c r="Q15" t="s">
        <v>49</v>
      </c>
      <c r="R15" s="5">
        <f>D37</f>
        <v>2.1213203435596424</v>
      </c>
    </row>
    <row r="16" spans="1:18" x14ac:dyDescent="0.2">
      <c r="A16" t="s">
        <v>1</v>
      </c>
      <c r="B16" s="4">
        <f>B13*(COS(RADIANS(B10))-SIN(RADIANS(B10))*TAN(RADIANS(B1)))</f>
        <v>1.4659813616377222</v>
      </c>
      <c r="O16" s="14" t="s">
        <v>33</v>
      </c>
      <c r="P16" s="16">
        <f>R16*1000</f>
        <v>355.41299497402082</v>
      </c>
      <c r="Q16" t="s">
        <v>49</v>
      </c>
      <c r="R16">
        <f>H38</f>
        <v>0.35541299497402085</v>
      </c>
    </row>
    <row r="17" spans="1:15" x14ac:dyDescent="0.2">
      <c r="O17" s="14"/>
    </row>
    <row r="18" spans="1:15" x14ac:dyDescent="0.2">
      <c r="O18" s="14"/>
    </row>
    <row r="19" spans="1:15" x14ac:dyDescent="0.2">
      <c r="O19" s="14"/>
    </row>
    <row r="20" spans="1:15" x14ac:dyDescent="0.2">
      <c r="O20" s="14"/>
    </row>
    <row r="21" spans="1:15" x14ac:dyDescent="0.2">
      <c r="O21" s="14"/>
    </row>
    <row r="22" spans="1:15" x14ac:dyDescent="0.2">
      <c r="O22" s="14"/>
    </row>
    <row r="23" spans="1:15" x14ac:dyDescent="0.2">
      <c r="O23" s="14"/>
    </row>
    <row r="24" spans="1:15" x14ac:dyDescent="0.2">
      <c r="O24" s="14"/>
    </row>
    <row r="25" spans="1:15" x14ac:dyDescent="0.2">
      <c r="O25" s="14"/>
    </row>
    <row r="26" spans="1:15" x14ac:dyDescent="0.2">
      <c r="O26" s="14"/>
    </row>
    <row r="27" spans="1:15" x14ac:dyDescent="0.2">
      <c r="O27" s="14"/>
    </row>
    <row r="31" spans="1:15" x14ac:dyDescent="0.2">
      <c r="A31" t="s">
        <v>24</v>
      </c>
    </row>
    <row r="32" spans="1:15" x14ac:dyDescent="0.2">
      <c r="A32" t="s">
        <v>24</v>
      </c>
      <c r="C32" t="s">
        <v>24</v>
      </c>
      <c r="D32" t="s">
        <v>24</v>
      </c>
      <c r="G32" t="s">
        <v>24</v>
      </c>
      <c r="H32" t="s">
        <v>24</v>
      </c>
    </row>
    <row r="33" spans="1:16" x14ac:dyDescent="0.2">
      <c r="A33" t="s">
        <v>32</v>
      </c>
      <c r="B33" t="s">
        <v>14</v>
      </c>
      <c r="D33" s="4">
        <f>B16</f>
        <v>1.4659813616377222</v>
      </c>
      <c r="G33" t="s">
        <v>38</v>
      </c>
      <c r="H33">
        <f>D40*SIN(RADIANS(D34))</f>
        <v>2.8210675339152829</v>
      </c>
      <c r="I33" t="s">
        <v>14</v>
      </c>
    </row>
    <row r="34" spans="1:16" x14ac:dyDescent="0.2">
      <c r="A34" t="s">
        <v>3</v>
      </c>
      <c r="B34" t="s">
        <v>12</v>
      </c>
      <c r="D34">
        <f>H11</f>
        <v>45</v>
      </c>
      <c r="G34" t="s">
        <v>37</v>
      </c>
      <c r="H34">
        <f>D40*COS(RADIANS(D34))</f>
        <v>2.8210675339152833</v>
      </c>
      <c r="I34" t="str">
        <f>I33</f>
        <v>m/s</v>
      </c>
    </row>
    <row r="35" spans="1:16" x14ac:dyDescent="0.2">
      <c r="A35" t="s">
        <v>2</v>
      </c>
      <c r="B35" t="s">
        <v>15</v>
      </c>
      <c r="D35" s="12">
        <f>H12</f>
        <v>1.4999999999999998</v>
      </c>
      <c r="E35">
        <f>D35*1000/25.4</f>
        <v>59.055118110236215</v>
      </c>
      <c r="G35" t="s">
        <v>20</v>
      </c>
      <c r="H35">
        <f>B5</f>
        <v>0.60000000000000009</v>
      </c>
      <c r="I35" t="s">
        <v>15</v>
      </c>
      <c r="L35" t="s">
        <v>42</v>
      </c>
      <c r="M35" s="10">
        <v>12</v>
      </c>
    </row>
    <row r="36" spans="1:16" x14ac:dyDescent="0.2">
      <c r="L36" t="s">
        <v>43</v>
      </c>
      <c r="M36" s="12">
        <f>0.5*(M35-B3)</f>
        <v>4.5</v>
      </c>
      <c r="N36" t="s">
        <v>21</v>
      </c>
      <c r="O36">
        <v>1</v>
      </c>
    </row>
    <row r="37" spans="1:16" x14ac:dyDescent="0.2">
      <c r="A37" t="s">
        <v>39</v>
      </c>
      <c r="B37" t="s">
        <v>15</v>
      </c>
      <c r="D37" s="13">
        <f>D35/SIN(RADIANS(D34))</f>
        <v>2.1213203435596424</v>
      </c>
      <c r="G37" t="s">
        <v>21</v>
      </c>
      <c r="H37">
        <f>H35/2/H34</f>
        <v>0.10634272182191901</v>
      </c>
      <c r="I37" t="s">
        <v>7</v>
      </c>
      <c r="M37" s="11"/>
      <c r="N37" t="s">
        <v>15</v>
      </c>
    </row>
    <row r="38" spans="1:16" x14ac:dyDescent="0.2">
      <c r="A38" t="s">
        <v>9</v>
      </c>
      <c r="B38" t="s">
        <v>15</v>
      </c>
      <c r="D38" s="5">
        <f>SQRT(D37^2-D35^2)</f>
        <v>1.4999999999999998</v>
      </c>
      <c r="G38" t="s">
        <v>33</v>
      </c>
      <c r="H38" s="12">
        <f>9.8*H37^2/2+H37*H33</f>
        <v>0.35541299497402085</v>
      </c>
      <c r="I38" t="s">
        <v>15</v>
      </c>
      <c r="J38">
        <f>H38*1000/25.4</f>
        <v>13.992637597402394</v>
      </c>
      <c r="K38" t="s">
        <v>22</v>
      </c>
      <c r="L38" t="s">
        <v>38</v>
      </c>
      <c r="M38">
        <f>H33</f>
        <v>2.8210675339152829</v>
      </c>
    </row>
    <row r="39" spans="1:16" x14ac:dyDescent="0.2">
      <c r="A39" t="s">
        <v>5</v>
      </c>
      <c r="B39" t="s">
        <v>16</v>
      </c>
      <c r="D39" s="4">
        <f>9.8*(SIN(RADIANS(D34))-COS(RADIANS(D34))*TAN(RADIANS($B$1)))</f>
        <v>3.2450880770911326</v>
      </c>
      <c r="G39" t="s">
        <v>41</v>
      </c>
      <c r="H39" s="12">
        <f>B5</f>
        <v>0.60000000000000009</v>
      </c>
      <c r="L39" t="s">
        <v>47</v>
      </c>
      <c r="M39" s="11">
        <v>4.5</v>
      </c>
    </row>
    <row r="40" spans="1:16" x14ac:dyDescent="0.2">
      <c r="A40" t="s">
        <v>30</v>
      </c>
      <c r="B40" t="s">
        <v>14</v>
      </c>
      <c r="C40" s="4"/>
      <c r="D40" s="4">
        <f>SQRT(D33^2+2*D39*D37)</f>
        <v>3.9895919668334145</v>
      </c>
    </row>
    <row r="41" spans="1:16" x14ac:dyDescent="0.2">
      <c r="L41" t="s">
        <v>5</v>
      </c>
      <c r="M41">
        <f>9.8/2</f>
        <v>4.9000000000000004</v>
      </c>
      <c r="O41" t="s">
        <v>21</v>
      </c>
      <c r="P41">
        <f>(-M42+SQRT(M42^2-4*M41*M43))/2/M41</f>
        <v>0.71275230051862248</v>
      </c>
    </row>
    <row r="42" spans="1:16" x14ac:dyDescent="0.2">
      <c r="A42" t="s">
        <v>10</v>
      </c>
      <c r="B42" t="s">
        <v>15</v>
      </c>
      <c r="C42" s="4">
        <v>0</v>
      </c>
      <c r="D42" s="4">
        <f>C42+D38</f>
        <v>1.4999999999999998</v>
      </c>
      <c r="L42" t="s">
        <v>45</v>
      </c>
      <c r="M42">
        <f>M38</f>
        <v>2.8210675339152829</v>
      </c>
      <c r="O42" t="s">
        <v>48</v>
      </c>
      <c r="P42" s="12">
        <f>H34*P41</f>
        <v>2.010722374716515</v>
      </c>
    </row>
    <row r="43" spans="1:16" x14ac:dyDescent="0.2">
      <c r="A43" t="s">
        <v>11</v>
      </c>
      <c r="B43" t="s">
        <v>15</v>
      </c>
      <c r="C43" s="4">
        <v>0</v>
      </c>
      <c r="D43" s="4">
        <f>C43+D35</f>
        <v>1.4999999999999998</v>
      </c>
      <c r="L43" t="s">
        <v>46</v>
      </c>
      <c r="M43">
        <f>-M39</f>
        <v>-4.5</v>
      </c>
    </row>
    <row r="44" spans="1:16" x14ac:dyDescent="0.2">
      <c r="L44" t="s">
        <v>44</v>
      </c>
    </row>
  </sheetData>
  <pageMargins left="0.75" right="0.75" top="1" bottom="1" header="0.5" footer="0.5"/>
  <pageSetup orientation="portrait" horizontalDpi="4294967292" verticalDpi="4294967292"/>
  <drawing r:id="rId1"/>
  <legacyDrawing r:id="rId2"/>
  <oleObjects>
    <mc:AlternateContent xmlns:mc="http://schemas.openxmlformats.org/markup-compatibility/2006">
      <mc:Choice Requires="x14">
        <oleObject progId="Equation.3" shapeId="2058" r:id="rId3">
          <objectPr defaultSize="0" autoPict="0" r:id="rId4">
            <anchor moveWithCells="1">
              <from>
                <xdr:col>4</xdr:col>
                <xdr:colOff>596900</xdr:colOff>
                <xdr:row>27</xdr:row>
                <xdr:rowOff>38100</xdr:rowOff>
              </from>
              <to>
                <xdr:col>6</xdr:col>
                <xdr:colOff>292100</xdr:colOff>
                <xdr:row>28</xdr:row>
                <xdr:rowOff>50800</xdr:rowOff>
              </to>
            </anchor>
          </objectPr>
        </oleObject>
      </mc:Choice>
      <mc:Fallback>
        <oleObject progId="Equation.3" shapeId="2058" r:id="rId3"/>
      </mc:Fallback>
    </mc:AlternateContent>
    <mc:AlternateContent xmlns:mc="http://schemas.openxmlformats.org/markup-compatibility/2006">
      <mc:Choice Requires="x14">
        <oleObject progId="Equation.3" shapeId="2059" r:id="rId5">
          <objectPr defaultSize="0" r:id="rId6">
            <anchor moveWithCells="1">
              <from>
                <xdr:col>4</xdr:col>
                <xdr:colOff>787400</xdr:colOff>
                <xdr:row>28</xdr:row>
                <xdr:rowOff>152400</xdr:rowOff>
              </from>
              <to>
                <xdr:col>5</xdr:col>
                <xdr:colOff>800100</xdr:colOff>
                <xdr:row>30</xdr:row>
                <xdr:rowOff>50800</xdr:rowOff>
              </to>
            </anchor>
          </objectPr>
        </oleObject>
      </mc:Choice>
      <mc:Fallback>
        <oleObject progId="Equation.3" shapeId="2059" r:id="rId5"/>
      </mc:Fallback>
    </mc:AlternateContent>
  </oleObjec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M18"/>
  <sheetViews>
    <sheetView topLeftCell="C1" workbookViewId="0">
      <selection activeCell="F14" sqref="F14"/>
    </sheetView>
  </sheetViews>
  <sheetFormatPr baseColWidth="10" defaultRowHeight="16" x14ac:dyDescent="0.2"/>
  <sheetData>
    <row r="2" spans="2:13" x14ac:dyDescent="0.2">
      <c r="B2" t="s">
        <v>4</v>
      </c>
      <c r="C2">
        <f>Cone!B1</f>
        <v>28</v>
      </c>
      <c r="D2" t="s">
        <v>12</v>
      </c>
    </row>
    <row r="3" spans="2:13" x14ac:dyDescent="0.2">
      <c r="B3" s="6" t="s">
        <v>25</v>
      </c>
      <c r="C3">
        <f>Cone!B10</f>
        <v>45</v>
      </c>
      <c r="D3" t="s">
        <v>12</v>
      </c>
    </row>
    <row r="4" spans="2:13" x14ac:dyDescent="0.2">
      <c r="B4" t="s">
        <v>18</v>
      </c>
      <c r="C4" s="4">
        <f>Cone!H33</f>
        <v>2.8210675339152829</v>
      </c>
      <c r="D4" t="s">
        <v>14</v>
      </c>
    </row>
    <row r="5" spans="2:13" x14ac:dyDescent="0.2">
      <c r="B5" t="s">
        <v>19</v>
      </c>
      <c r="C5" s="4">
        <f>Cone!H34</f>
        <v>2.8210675339152833</v>
      </c>
      <c r="D5" t="s">
        <v>14</v>
      </c>
    </row>
    <row r="6" spans="2:13" x14ac:dyDescent="0.2">
      <c r="B6" t="s">
        <v>32</v>
      </c>
      <c r="C6" s="4">
        <f>Cone!D40</f>
        <v>3.9895919668334145</v>
      </c>
      <c r="D6" t="s">
        <v>14</v>
      </c>
    </row>
    <row r="7" spans="2:13" x14ac:dyDescent="0.2">
      <c r="B7" t="s">
        <v>20</v>
      </c>
      <c r="C7">
        <f>Cone!H35</f>
        <v>0.60000000000000009</v>
      </c>
      <c r="D7" t="s">
        <v>26</v>
      </c>
    </row>
    <row r="9" spans="2:13" x14ac:dyDescent="0.2">
      <c r="B9" t="s">
        <v>27</v>
      </c>
      <c r="C9" s="8">
        <v>3</v>
      </c>
      <c r="D9" t="s">
        <v>15</v>
      </c>
    </row>
    <row r="10" spans="2:13" x14ac:dyDescent="0.2">
      <c r="B10" s="6"/>
    </row>
    <row r="11" spans="2:13" x14ac:dyDescent="0.2">
      <c r="B11" s="7" t="s">
        <v>28</v>
      </c>
      <c r="C11">
        <f>C9/5</f>
        <v>0.6</v>
      </c>
    </row>
    <row r="13" spans="2:13" x14ac:dyDescent="0.2">
      <c r="B13" t="s">
        <v>29</v>
      </c>
      <c r="C13" s="6" t="s">
        <v>5</v>
      </c>
      <c r="D13" t="s">
        <v>30</v>
      </c>
      <c r="E13" t="s">
        <v>5</v>
      </c>
      <c r="F13" t="s">
        <v>8</v>
      </c>
      <c r="G13" t="s">
        <v>31</v>
      </c>
      <c r="H13" t="s">
        <v>35</v>
      </c>
      <c r="I13" t="s">
        <v>40</v>
      </c>
      <c r="J13" t="s">
        <v>21</v>
      </c>
      <c r="K13" t="s">
        <v>41</v>
      </c>
      <c r="L13" t="s">
        <v>33</v>
      </c>
      <c r="M13" s="6" t="s">
        <v>34</v>
      </c>
    </row>
    <row r="14" spans="2:13" x14ac:dyDescent="0.2">
      <c r="B14">
        <v>1</v>
      </c>
      <c r="C14">
        <f>C3</f>
        <v>45</v>
      </c>
      <c r="D14" s="4">
        <f>C6</f>
        <v>3.9895919668334145</v>
      </c>
      <c r="E14" s="4">
        <f>Cone!D39</f>
        <v>3.2450880770911326</v>
      </c>
      <c r="F14">
        <f>SQRT(D14^2+2*E14*$C$11)</f>
        <v>4.450949309341893</v>
      </c>
      <c r="G14">
        <f>D14*COS(RADIANS(F14))</f>
        <v>3.9775599037422631</v>
      </c>
      <c r="H14">
        <f>F14*SIN(RADIANS(C14))</f>
        <v>3.1472964393532323</v>
      </c>
      <c r="I14">
        <f>9.8*SIN(RADIANS(C14))</f>
        <v>6.9296464556281654</v>
      </c>
      <c r="J14">
        <f>$C$11/G14</f>
        <v>0.15084625109869335</v>
      </c>
      <c r="K14">
        <f>J14*G14</f>
        <v>0.6</v>
      </c>
      <c r="L14">
        <f>H14*J14</f>
        <v>0.47475786897270117</v>
      </c>
      <c r="M14">
        <f>DEGREES(ATAN(K14/L14))</f>
        <v>51.646731027454557</v>
      </c>
    </row>
    <row r="15" spans="2:13" x14ac:dyDescent="0.2">
      <c r="B15">
        <v>2</v>
      </c>
      <c r="C15">
        <f>M14</f>
        <v>51.646731027454557</v>
      </c>
      <c r="D15">
        <f>F14</f>
        <v>4.450949309341893</v>
      </c>
      <c r="E15">
        <f>I14</f>
        <v>6.9296464556281654</v>
      </c>
      <c r="F15">
        <f>SQRT(D15^2+2*E15*$C$11)</f>
        <v>5.3034446825704586</v>
      </c>
      <c r="G15">
        <f>D15*COS(RADIANS(F15))</f>
        <v>4.4318954316923689</v>
      </c>
      <c r="H15">
        <f>F15*SIN(RADIANS(C15))</f>
        <v>4.1589603183982042</v>
      </c>
      <c r="I15">
        <f>9.8*SIN(RADIANS(C15))</f>
        <v>7.6851581490519152</v>
      </c>
      <c r="J15">
        <f t="shared" ref="J15:J18" si="0">$C$11/G15</f>
        <v>0.13538225557160388</v>
      </c>
      <c r="K15">
        <f t="shared" ref="K15:K18" si="1">J15*G15</f>
        <v>0.6</v>
      </c>
      <c r="L15">
        <f t="shared" ref="L15:L18" si="2">H15*J15</f>
        <v>0.56304942873754471</v>
      </c>
      <c r="M15">
        <f t="shared" ref="M15:M18" si="3">DEGREES(ATAN(K15/L15))</f>
        <v>46.819699020177744</v>
      </c>
    </row>
    <row r="16" spans="2:13" x14ac:dyDescent="0.2">
      <c r="B16">
        <v>3</v>
      </c>
      <c r="C16">
        <f>M15</f>
        <v>46.819699020177744</v>
      </c>
      <c r="D16">
        <f>F15</f>
        <v>5.3034446825704586</v>
      </c>
      <c r="E16">
        <f t="shared" ref="E16:E18" si="4">9.8*SIN(RADIANS(C16))</f>
        <v>7.1461986155571884</v>
      </c>
      <c r="F16">
        <f>SQRT(D16^2+2*E16*$C$11)</f>
        <v>6.0582145752485115</v>
      </c>
      <c r="G16">
        <f>D16*COS(RADIANS(F16))</f>
        <v>5.273825884673208</v>
      </c>
      <c r="H16">
        <f>F16*SIN(RADIANS(C16))</f>
        <v>4.4176739398356419</v>
      </c>
      <c r="I16">
        <f>9.8*SIN(RADIANS(C16))</f>
        <v>7.1461986155571884</v>
      </c>
      <c r="J16">
        <f t="shared" si="0"/>
        <v>0.11376939874782743</v>
      </c>
      <c r="K16">
        <f t="shared" si="1"/>
        <v>0.6</v>
      </c>
      <c r="L16">
        <f t="shared" si="2"/>
        <v>0.50259610799904697</v>
      </c>
      <c r="M16">
        <f t="shared" si="3"/>
        <v>50.048432326917826</v>
      </c>
    </row>
    <row r="17" spans="2:13" x14ac:dyDescent="0.2">
      <c r="B17">
        <v>4</v>
      </c>
      <c r="C17">
        <f>M16</f>
        <v>50.048432326917826</v>
      </c>
      <c r="D17">
        <f>F16</f>
        <v>6.0582145752485115</v>
      </c>
      <c r="E17">
        <f t="shared" si="4"/>
        <v>7.5125576963034115</v>
      </c>
      <c r="F17">
        <f>SQRT(D17^2+2*E17*$C$11)</f>
        <v>6.7614372048638884</v>
      </c>
      <c r="G17">
        <f>D17*COS(RADIANS(F17))</f>
        <v>6.0160795397315789</v>
      </c>
      <c r="H17">
        <f>F17*SIN(RADIANS(C17))</f>
        <v>5.1832333787216767</v>
      </c>
      <c r="I17">
        <f>9.8*SIN(RADIANS(C17))</f>
        <v>7.5125576963034115</v>
      </c>
      <c r="J17">
        <f t="shared" si="0"/>
        <v>9.973272395045002E-2</v>
      </c>
      <c r="K17">
        <f t="shared" si="1"/>
        <v>0.6</v>
      </c>
      <c r="L17">
        <f t="shared" si="2"/>
        <v>0.51693798373080735</v>
      </c>
      <c r="M17">
        <f t="shared" si="3"/>
        <v>49.253019401249453</v>
      </c>
    </row>
    <row r="18" spans="2:13" x14ac:dyDescent="0.2">
      <c r="B18">
        <v>5</v>
      </c>
      <c r="C18">
        <f>M17</f>
        <v>49.253019401249453</v>
      </c>
      <c r="D18">
        <f>F17</f>
        <v>6.7614372048638884</v>
      </c>
      <c r="E18">
        <f t="shared" si="4"/>
        <v>7.4244739513175846</v>
      </c>
      <c r="F18">
        <f>SQRT(D18^2+2*E18*$C$11)</f>
        <v>7.390967583266665</v>
      </c>
      <c r="G18">
        <f>D18*COS(RADIANS(F18))</f>
        <v>6.7052594934653484</v>
      </c>
      <c r="H18">
        <f>F18*SIN(RADIANS(C18))</f>
        <v>5.5993924792853091</v>
      </c>
      <c r="I18">
        <f>9.8*SIN(RADIANS(C18))</f>
        <v>7.4244739513175846</v>
      </c>
      <c r="J18">
        <f t="shared" si="0"/>
        <v>8.9481995526755329E-2</v>
      </c>
      <c r="K18">
        <f t="shared" si="1"/>
        <v>0.6</v>
      </c>
      <c r="L18">
        <f t="shared" si="2"/>
        <v>0.50104481278395541</v>
      </c>
      <c r="M18">
        <f t="shared" si="3"/>
        <v>50.135597315737535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Cone</vt:lpstr>
      <vt:lpstr>Air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</dc:creator>
  <cp:lastModifiedBy>Greg Mehos</cp:lastModifiedBy>
  <cp:lastPrinted>2026-02-21T14:01:08Z</cp:lastPrinted>
  <dcterms:created xsi:type="dcterms:W3CDTF">2018-02-20T18:20:15Z</dcterms:created>
  <dcterms:modified xsi:type="dcterms:W3CDTF">2026-02-22T21:41:07Z</dcterms:modified>
</cp:coreProperties>
</file>