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eg/Documents/&amp;&amp;&amp;/Apps - Excel/"/>
    </mc:Choice>
  </mc:AlternateContent>
  <xr:revisionPtr revIDLastSave="0" documentId="13_ncr:1_{8E698BC6-08A0-DF44-BB12-38C580DC1179}" xr6:coauthVersionLast="47" xr6:coauthVersionMax="47" xr10:uidLastSave="{00000000-0000-0000-0000-000000000000}"/>
  <bookViews>
    <workbookView xWindow="4640" yWindow="620" windowWidth="29940" windowHeight="18040" xr2:uid="{0DD79502-90D8-4D4C-8F8C-6E734F1DD44B}"/>
  </bookViews>
  <sheets>
    <sheet name="Cylinder" sheetId="2" r:id="rId1"/>
    <sheet name="Hopper" sheetId="1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9" i="1"/>
  <c r="C7" i="1"/>
  <c r="A53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28" i="3"/>
  <c r="C2" i="3"/>
  <c r="B2" i="3"/>
  <c r="A26" i="3"/>
  <c r="A27" i="3"/>
  <c r="A21" i="3"/>
  <c r="A22" i="3"/>
  <c r="A23" i="3"/>
  <c r="A24" i="3"/>
  <c r="A25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" i="3"/>
  <c r="T8" i="1"/>
  <c r="T11" i="1"/>
  <c r="K3" i="1"/>
  <c r="K7" i="2" l="1"/>
  <c r="K8" i="2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6" i="2"/>
  <c r="P5" i="2"/>
  <c r="O5" i="2"/>
  <c r="M5" i="2"/>
  <c r="H8" i="2"/>
  <c r="L5" i="2"/>
  <c r="H7" i="2"/>
  <c r="N5" i="2" l="1"/>
  <c r="L6" i="2" s="1"/>
  <c r="O6" i="2" s="1"/>
  <c r="P6" i="2" l="1"/>
  <c r="C3" i="3" s="1"/>
  <c r="B3" i="3"/>
  <c r="M6" i="2"/>
  <c r="N6" i="2" s="1"/>
  <c r="L7" i="2" s="1"/>
  <c r="O7" i="2" l="1"/>
  <c r="M7" i="2"/>
  <c r="N7" i="2" s="1"/>
  <c r="L8" i="2" s="1"/>
  <c r="C13" i="1"/>
  <c r="E19" i="1" s="1"/>
  <c r="C11" i="1"/>
  <c r="C12" i="1"/>
  <c r="K2" i="1" s="1"/>
  <c r="P7" i="2" l="1"/>
  <c r="C4" i="3" s="1"/>
  <c r="B4" i="3"/>
  <c r="O8" i="2"/>
  <c r="M8" i="2"/>
  <c r="N8" i="2" s="1"/>
  <c r="L9" i="2" s="1"/>
  <c r="C19" i="1"/>
  <c r="E20" i="1" s="1"/>
  <c r="E18" i="1"/>
  <c r="K4" i="1"/>
  <c r="H11" i="1"/>
  <c r="C23" i="1"/>
  <c r="C15" i="1"/>
  <c r="P8" i="2" l="1"/>
  <c r="C5" i="3" s="1"/>
  <c r="B5" i="3"/>
  <c r="K5" i="1"/>
  <c r="M9" i="2"/>
  <c r="O9" i="2"/>
  <c r="E21" i="1"/>
  <c r="C20" i="1" s="1"/>
  <c r="G11" i="1"/>
  <c r="C16" i="1"/>
  <c r="P9" i="2" l="1"/>
  <c r="C6" i="3" s="1"/>
  <c r="B6" i="3"/>
  <c r="N9" i="2"/>
  <c r="L10" i="2" s="1"/>
  <c r="H12" i="1"/>
  <c r="T12" i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G12" i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H13" i="1" l="1"/>
  <c r="M10" i="2"/>
  <c r="O10" i="2"/>
  <c r="P10" i="2" l="1"/>
  <c r="C7" i="3" s="1"/>
  <c r="B7" i="3"/>
  <c r="H14" i="1"/>
  <c r="N10" i="2"/>
  <c r="L11" i="2" s="1"/>
  <c r="H15" i="1" l="1"/>
  <c r="O11" i="2"/>
  <c r="M11" i="2"/>
  <c r="P11" i="2" l="1"/>
  <c r="C8" i="3" s="1"/>
  <c r="B8" i="3"/>
  <c r="H16" i="1"/>
  <c r="N11" i="2"/>
  <c r="L12" i="2" s="1"/>
  <c r="H17" i="1" l="1"/>
  <c r="O12" i="2"/>
  <c r="M12" i="2"/>
  <c r="P12" i="2" l="1"/>
  <c r="C9" i="3" s="1"/>
  <c r="B9" i="3"/>
  <c r="H18" i="1"/>
  <c r="N12" i="2"/>
  <c r="L13" i="2" s="1"/>
  <c r="H19" i="1" l="1"/>
  <c r="O13" i="2"/>
  <c r="M13" i="2"/>
  <c r="P13" i="2" l="1"/>
  <c r="C10" i="3" s="1"/>
  <c r="B10" i="3"/>
  <c r="H20" i="1"/>
  <c r="N13" i="2"/>
  <c r="L14" i="2" s="1"/>
  <c r="H21" i="1" l="1"/>
  <c r="M14" i="2"/>
  <c r="O14" i="2"/>
  <c r="P14" i="2" l="1"/>
  <c r="C11" i="3" s="1"/>
  <c r="B11" i="3"/>
  <c r="H22" i="1"/>
  <c r="N14" i="2"/>
  <c r="L15" i="2" s="1"/>
  <c r="H23" i="1" l="1"/>
  <c r="O15" i="2"/>
  <c r="M15" i="2"/>
  <c r="P15" i="2" l="1"/>
  <c r="C12" i="3" s="1"/>
  <c r="B12" i="3"/>
  <c r="H24" i="1"/>
  <c r="N15" i="2"/>
  <c r="L16" i="2" s="1"/>
  <c r="H25" i="1" l="1"/>
  <c r="M16" i="2"/>
  <c r="O16" i="2"/>
  <c r="P16" i="2" l="1"/>
  <c r="C13" i="3" s="1"/>
  <c r="B13" i="3"/>
  <c r="H26" i="1"/>
  <c r="N16" i="2"/>
  <c r="L17" i="2" s="1"/>
  <c r="H27" i="1" l="1"/>
  <c r="M17" i="2"/>
  <c r="O17" i="2"/>
  <c r="P17" i="2" l="1"/>
  <c r="C14" i="3" s="1"/>
  <c r="B14" i="3"/>
  <c r="H28" i="1"/>
  <c r="N17" i="2"/>
  <c r="L18" i="2" s="1"/>
  <c r="H29" i="1" l="1"/>
  <c r="O18" i="2"/>
  <c r="M18" i="2"/>
  <c r="P18" i="2" l="1"/>
  <c r="C15" i="3" s="1"/>
  <c r="B15" i="3"/>
  <c r="H30" i="1"/>
  <c r="N18" i="2"/>
  <c r="L19" i="2" s="1"/>
  <c r="H31" i="1" l="1"/>
  <c r="M19" i="2"/>
  <c r="O19" i="2"/>
  <c r="P19" i="2" l="1"/>
  <c r="C16" i="3" s="1"/>
  <c r="B16" i="3"/>
  <c r="H32" i="1"/>
  <c r="N19" i="2"/>
  <c r="L20" i="2" s="1"/>
  <c r="H33" i="1" l="1"/>
  <c r="M20" i="2"/>
  <c r="O20" i="2"/>
  <c r="P20" i="2" l="1"/>
  <c r="C17" i="3" s="1"/>
  <c r="B17" i="3"/>
  <c r="H34" i="1"/>
  <c r="N20" i="2"/>
  <c r="L21" i="2" s="1"/>
  <c r="H35" i="1" l="1"/>
  <c r="M21" i="2"/>
  <c r="O21" i="2"/>
  <c r="P21" i="2" l="1"/>
  <c r="C18" i="3" s="1"/>
  <c r="B18" i="3"/>
  <c r="H36" i="1"/>
  <c r="N21" i="2"/>
  <c r="L22" i="2" s="1"/>
  <c r="O22" i="2" l="1"/>
  <c r="M22" i="2"/>
  <c r="P22" i="2" l="1"/>
  <c r="C19" i="3" s="1"/>
  <c r="B19" i="3"/>
  <c r="N22" i="2"/>
  <c r="L23" i="2" s="1"/>
  <c r="M23" i="2" l="1"/>
  <c r="O23" i="2"/>
  <c r="P23" i="2" l="1"/>
  <c r="C20" i="3" s="1"/>
  <c r="B20" i="3"/>
  <c r="N23" i="2"/>
  <c r="L24" i="2" s="1"/>
  <c r="M24" i="2" l="1"/>
  <c r="O24" i="2"/>
  <c r="P24" i="2" l="1"/>
  <c r="C21" i="3" s="1"/>
  <c r="B21" i="3"/>
  <c r="N24" i="2"/>
  <c r="L25" i="2" s="1"/>
  <c r="M25" i="2" l="1"/>
  <c r="O25" i="2"/>
  <c r="P25" i="2" l="1"/>
  <c r="C22" i="3" s="1"/>
  <c r="B22" i="3"/>
  <c r="N25" i="2"/>
  <c r="L26" i="2" s="1"/>
  <c r="M26" i="2" l="1"/>
  <c r="O26" i="2"/>
  <c r="P26" i="2" l="1"/>
  <c r="C23" i="3" s="1"/>
  <c r="B23" i="3"/>
  <c r="N26" i="2"/>
  <c r="L27" i="2" s="1"/>
  <c r="M27" i="2" l="1"/>
  <c r="O27" i="2"/>
  <c r="P27" i="2" l="1"/>
  <c r="C24" i="3" s="1"/>
  <c r="B24" i="3"/>
  <c r="N27" i="2"/>
  <c r="L28" i="2" s="1"/>
  <c r="M28" i="2" l="1"/>
  <c r="O28" i="2"/>
  <c r="P28" i="2" l="1"/>
  <c r="C25" i="3" s="1"/>
  <c r="B25" i="3"/>
  <c r="N28" i="2"/>
  <c r="L29" i="2" s="1"/>
  <c r="O29" i="2" l="1"/>
  <c r="M29" i="2"/>
  <c r="P29" i="2" l="1"/>
  <c r="C26" i="3" s="1"/>
  <c r="B26" i="3"/>
  <c r="N29" i="2"/>
  <c r="L30" i="2" s="1"/>
  <c r="H6" i="1" l="1"/>
  <c r="I11" i="1" s="1"/>
  <c r="L11" i="1" s="1"/>
  <c r="O30" i="2"/>
  <c r="M30" i="2"/>
  <c r="N30" i="2" s="1"/>
  <c r="J11" i="1" l="1"/>
  <c r="K11" i="1" s="1"/>
  <c r="I12" i="1" s="1"/>
  <c r="P30" i="2"/>
  <c r="C27" i="3" s="1"/>
  <c r="B27" i="3"/>
  <c r="M11" i="1"/>
  <c r="V11" i="1" s="1"/>
  <c r="U11" i="1"/>
  <c r="B28" i="3" s="1"/>
  <c r="J12" i="1" l="1"/>
  <c r="K12" i="1" s="1"/>
  <c r="I13" i="1" s="1"/>
  <c r="L12" i="1"/>
  <c r="C28" i="3"/>
  <c r="W11" i="1"/>
  <c r="L13" i="1"/>
  <c r="J13" i="1"/>
  <c r="K13" i="1" s="1"/>
  <c r="I14" i="1" s="1"/>
  <c r="M12" i="1"/>
  <c r="V12" i="1" s="1"/>
  <c r="U12" i="1"/>
  <c r="B29" i="3" s="1"/>
  <c r="L14" i="1" l="1"/>
  <c r="J14" i="1"/>
  <c r="K14" i="1" s="1"/>
  <c r="I15" i="1" s="1"/>
  <c r="M13" i="1"/>
  <c r="V13" i="1" s="1"/>
  <c r="U13" i="1"/>
  <c r="B30" i="3" s="1"/>
  <c r="W12" i="1"/>
  <c r="C29" i="3"/>
  <c r="J15" i="1" l="1"/>
  <c r="K15" i="1" s="1"/>
  <c r="I16" i="1" s="1"/>
  <c r="L15" i="1"/>
  <c r="W13" i="1"/>
  <c r="C30" i="3"/>
  <c r="U14" i="1"/>
  <c r="B31" i="3" s="1"/>
  <c r="M14" i="1"/>
  <c r="V14" i="1" s="1"/>
  <c r="W14" i="1" l="1"/>
  <c r="C31" i="3"/>
  <c r="L16" i="1"/>
  <c r="J16" i="1"/>
  <c r="K16" i="1" s="1"/>
  <c r="I17" i="1" s="1"/>
  <c r="U15" i="1"/>
  <c r="B32" i="3" s="1"/>
  <c r="M15" i="1"/>
  <c r="V15" i="1" s="1"/>
  <c r="L17" i="1" l="1"/>
  <c r="J17" i="1"/>
  <c r="K17" i="1" s="1"/>
  <c r="I18" i="1" s="1"/>
  <c r="M16" i="1"/>
  <c r="V16" i="1" s="1"/>
  <c r="U16" i="1"/>
  <c r="B33" i="3" s="1"/>
  <c r="W15" i="1"/>
  <c r="C32" i="3"/>
  <c r="J18" i="1" l="1"/>
  <c r="K18" i="1" s="1"/>
  <c r="I19" i="1" s="1"/>
  <c r="L18" i="1"/>
  <c r="W16" i="1"/>
  <c r="C33" i="3"/>
  <c r="M17" i="1"/>
  <c r="V17" i="1" s="1"/>
  <c r="U17" i="1"/>
  <c r="B34" i="3" s="1"/>
  <c r="J19" i="1" l="1"/>
  <c r="K19" i="1" s="1"/>
  <c r="I20" i="1" s="1"/>
  <c r="L19" i="1"/>
  <c r="W17" i="1"/>
  <c r="C34" i="3"/>
  <c r="U18" i="1"/>
  <c r="B35" i="3" s="1"/>
  <c r="M18" i="1"/>
  <c r="V18" i="1" s="1"/>
  <c r="W18" i="1" l="1"/>
  <c r="C35" i="3"/>
  <c r="L20" i="1"/>
  <c r="J20" i="1"/>
  <c r="K20" i="1" s="1"/>
  <c r="I21" i="1" s="1"/>
  <c r="M19" i="1"/>
  <c r="V19" i="1" s="1"/>
  <c r="U19" i="1"/>
  <c r="B36" i="3" s="1"/>
  <c r="L21" i="1" l="1"/>
  <c r="J21" i="1"/>
  <c r="K21" i="1" s="1"/>
  <c r="I22" i="1" s="1"/>
  <c r="W19" i="1"/>
  <c r="C36" i="3"/>
  <c r="M20" i="1"/>
  <c r="V20" i="1" s="1"/>
  <c r="U20" i="1"/>
  <c r="B37" i="3" s="1"/>
  <c r="W20" i="1" l="1"/>
  <c r="C37" i="3"/>
  <c r="L22" i="1"/>
  <c r="J22" i="1"/>
  <c r="K22" i="1" s="1"/>
  <c r="I23" i="1" s="1"/>
  <c r="M21" i="1"/>
  <c r="V21" i="1" s="1"/>
  <c r="U21" i="1"/>
  <c r="B38" i="3" s="1"/>
  <c r="M22" i="1" l="1"/>
  <c r="V22" i="1" s="1"/>
  <c r="U22" i="1"/>
  <c r="B39" i="3" s="1"/>
  <c r="W21" i="1"/>
  <c r="C38" i="3"/>
  <c r="L23" i="1"/>
  <c r="J23" i="1"/>
  <c r="K23" i="1" s="1"/>
  <c r="I24" i="1" s="1"/>
  <c r="L24" i="1" l="1"/>
  <c r="J24" i="1"/>
  <c r="K24" i="1" s="1"/>
  <c r="I25" i="1" s="1"/>
  <c r="M23" i="1"/>
  <c r="V23" i="1" s="1"/>
  <c r="U23" i="1"/>
  <c r="B40" i="3" s="1"/>
  <c r="W22" i="1"/>
  <c r="C39" i="3"/>
  <c r="L25" i="1" l="1"/>
  <c r="J25" i="1"/>
  <c r="K25" i="1" s="1"/>
  <c r="I26" i="1" s="1"/>
  <c r="W23" i="1"/>
  <c r="C40" i="3"/>
  <c r="M24" i="1"/>
  <c r="V24" i="1" s="1"/>
  <c r="U24" i="1"/>
  <c r="B41" i="3" s="1"/>
  <c r="L26" i="1" l="1"/>
  <c r="J26" i="1"/>
  <c r="K26" i="1" s="1"/>
  <c r="I27" i="1" s="1"/>
  <c r="W24" i="1"/>
  <c r="C41" i="3"/>
  <c r="U25" i="1"/>
  <c r="B42" i="3" s="1"/>
  <c r="M25" i="1"/>
  <c r="V25" i="1" s="1"/>
  <c r="J27" i="1" l="1"/>
  <c r="K27" i="1" s="1"/>
  <c r="I28" i="1" s="1"/>
  <c r="L27" i="1"/>
  <c r="W25" i="1"/>
  <c r="C42" i="3"/>
  <c r="M26" i="1"/>
  <c r="V26" i="1" s="1"/>
  <c r="U26" i="1"/>
  <c r="B43" i="3" s="1"/>
  <c r="J28" i="1" l="1"/>
  <c r="K28" i="1" s="1"/>
  <c r="I29" i="1" s="1"/>
  <c r="L28" i="1"/>
  <c r="W26" i="1"/>
  <c r="C43" i="3"/>
  <c r="U27" i="1"/>
  <c r="B44" i="3" s="1"/>
  <c r="M27" i="1"/>
  <c r="V27" i="1" s="1"/>
  <c r="W27" i="1" l="1"/>
  <c r="C44" i="3"/>
  <c r="U28" i="1"/>
  <c r="B45" i="3" s="1"/>
  <c r="M28" i="1"/>
  <c r="V28" i="1" s="1"/>
  <c r="L29" i="1"/>
  <c r="J29" i="1"/>
  <c r="K29" i="1" s="1"/>
  <c r="I30" i="1" s="1"/>
  <c r="M29" i="1" l="1"/>
  <c r="V29" i="1" s="1"/>
  <c r="U29" i="1"/>
  <c r="B46" i="3" s="1"/>
  <c r="W28" i="1"/>
  <c r="C45" i="3"/>
  <c r="L30" i="1"/>
  <c r="J30" i="1"/>
  <c r="K30" i="1" s="1"/>
  <c r="I31" i="1" s="1"/>
  <c r="J31" i="1" l="1"/>
  <c r="K31" i="1" s="1"/>
  <c r="L31" i="1"/>
  <c r="I32" i="1"/>
  <c r="M30" i="1"/>
  <c r="V30" i="1" s="1"/>
  <c r="U30" i="1"/>
  <c r="B47" i="3" s="1"/>
  <c r="W29" i="1"/>
  <c r="C46" i="3"/>
  <c r="J32" i="1" l="1"/>
  <c r="K32" i="1" s="1"/>
  <c r="I33" i="1" s="1"/>
  <c r="L32" i="1"/>
  <c r="U31" i="1"/>
  <c r="B48" i="3" s="1"/>
  <c r="M31" i="1"/>
  <c r="V31" i="1" s="1"/>
  <c r="W30" i="1"/>
  <c r="C47" i="3"/>
  <c r="W31" i="1" l="1"/>
  <c r="C48" i="3"/>
  <c r="L33" i="1"/>
  <c r="J33" i="1"/>
  <c r="K33" i="1" s="1"/>
  <c r="I34" i="1" s="1"/>
  <c r="U32" i="1"/>
  <c r="B49" i="3" s="1"/>
  <c r="M32" i="1"/>
  <c r="V32" i="1" s="1"/>
  <c r="J34" i="1" l="1"/>
  <c r="K34" i="1" s="1"/>
  <c r="L34" i="1"/>
  <c r="I35" i="1"/>
  <c r="U33" i="1"/>
  <c r="B50" i="3" s="1"/>
  <c r="M33" i="1"/>
  <c r="V33" i="1" s="1"/>
  <c r="W32" i="1"/>
  <c r="C49" i="3"/>
  <c r="W33" i="1" l="1"/>
  <c r="C50" i="3"/>
  <c r="U34" i="1"/>
  <c r="B51" i="3" s="1"/>
  <c r="M34" i="1"/>
  <c r="V34" i="1" s="1"/>
  <c r="L35" i="1"/>
  <c r="J35" i="1"/>
  <c r="K35" i="1" s="1"/>
  <c r="I36" i="1" s="1"/>
  <c r="J36" i="1" l="1"/>
  <c r="K36" i="1" s="1"/>
  <c r="L36" i="1"/>
  <c r="U35" i="1"/>
  <c r="B52" i="3" s="1"/>
  <c r="M35" i="1"/>
  <c r="V35" i="1" s="1"/>
  <c r="W34" i="1"/>
  <c r="C51" i="3"/>
  <c r="U36" i="1" l="1"/>
  <c r="B53" i="3" s="1"/>
  <c r="M36" i="1"/>
  <c r="V36" i="1" s="1"/>
  <c r="W35" i="1"/>
  <c r="C52" i="3"/>
  <c r="W36" i="1" l="1"/>
  <c r="C53" i="3"/>
</calcChain>
</file>

<file path=xl/sharedStrings.xml><?xml version="1.0" encoding="utf-8"?>
<sst xmlns="http://schemas.openxmlformats.org/spreadsheetml/2006/main" count="101" uniqueCount="48">
  <si>
    <t>m</t>
  </si>
  <si>
    <t>Enstad</t>
  </si>
  <si>
    <t>Walker</t>
  </si>
  <si>
    <t xml:space="preserve"> </t>
  </si>
  <si>
    <t>d</t>
  </si>
  <si>
    <t>e</t>
  </si>
  <si>
    <t>k</t>
  </si>
  <si>
    <t>Hopper Angle</t>
  </si>
  <si>
    <t>Wall friction angle</t>
  </si>
  <si>
    <t>`</t>
  </si>
  <si>
    <t>Effective angle of friction</t>
  </si>
  <si>
    <r>
      <t>q</t>
    </r>
    <r>
      <rPr>
        <i/>
        <sz val="12"/>
        <color theme="1"/>
        <rFont val="Avenir Book"/>
        <family val="2"/>
      </rPr>
      <t>'</t>
    </r>
  </si>
  <si>
    <r>
      <rPr>
        <i/>
        <sz val="12"/>
        <color theme="1"/>
        <rFont val="Symbol"/>
        <charset val="2"/>
      </rPr>
      <t>f</t>
    </r>
    <r>
      <rPr>
        <i/>
        <sz val="12"/>
        <color theme="1"/>
        <rFont val="Calibri"/>
        <family val="2"/>
        <scheme val="minor"/>
      </rPr>
      <t>'</t>
    </r>
  </si>
  <si>
    <t>Eurocode initial fill</t>
  </si>
  <si>
    <t>n</t>
  </si>
  <si>
    <t>Bulk density</t>
  </si>
  <si>
    <t>α</t>
  </si>
  <si>
    <t>β</t>
  </si>
  <si>
    <t>Stress Ratio</t>
  </si>
  <si>
    <r>
      <rPr>
        <i/>
        <sz val="12"/>
        <color theme="1"/>
        <rFont val="Symbol"/>
        <charset val="2"/>
      </rPr>
      <t>σ</t>
    </r>
    <r>
      <rPr>
        <i/>
        <vertAlign val="subscript"/>
        <sz val="12"/>
        <color theme="1"/>
        <rFont val="Arial"/>
        <family val="2"/>
      </rPr>
      <t>v</t>
    </r>
    <r>
      <rPr>
        <sz val="12"/>
        <color theme="1"/>
        <rFont val="Arial"/>
        <family val="2"/>
      </rPr>
      <t xml:space="preserve">(0) </t>
    </r>
  </si>
  <si>
    <r>
      <t>ρ</t>
    </r>
    <r>
      <rPr>
        <i/>
        <vertAlign val="subscript"/>
        <sz val="12"/>
        <color theme="1"/>
        <rFont val="Calibri (Body)"/>
      </rPr>
      <t>bmin</t>
    </r>
  </si>
  <si>
    <t>D</t>
  </si>
  <si>
    <t>h</t>
  </si>
  <si>
    <t>dz</t>
  </si>
  <si>
    <t>B</t>
  </si>
  <si>
    <t>H</t>
  </si>
  <si>
    <r>
      <t xml:space="preserve">h </t>
    </r>
    <r>
      <rPr>
        <sz val="12"/>
        <color theme="1"/>
        <rFont val="Calibri"/>
        <family val="2"/>
        <scheme val="minor"/>
      </rPr>
      <t>(m)</t>
    </r>
  </si>
  <si>
    <r>
      <t xml:space="preserve">z </t>
    </r>
    <r>
      <rPr>
        <sz val="12"/>
        <color theme="1"/>
        <rFont val="Arial"/>
        <family val="2"/>
      </rPr>
      <t>(m)</t>
    </r>
  </si>
  <si>
    <r>
      <rPr>
        <i/>
        <sz val="12"/>
        <color theme="1"/>
        <rFont val="Symbol"/>
        <charset val="2"/>
      </rPr>
      <t>σ</t>
    </r>
    <r>
      <rPr>
        <i/>
        <vertAlign val="subscript"/>
        <sz val="12"/>
        <color theme="1"/>
        <rFont val="Arial"/>
        <family val="2"/>
      </rPr>
      <t>v</t>
    </r>
    <r>
      <rPr>
        <i/>
        <sz val="12"/>
        <color theme="1"/>
        <rFont val="Times New Roman"/>
        <family val="1"/>
        <charset val="2"/>
      </rPr>
      <t xml:space="preserve"> </t>
    </r>
    <r>
      <rPr>
        <sz val="12"/>
        <color theme="1"/>
        <rFont val="Calibri (Body)"/>
      </rPr>
      <t>(kPa)</t>
    </r>
  </si>
  <si>
    <r>
      <t>ρ</t>
    </r>
    <r>
      <rPr>
        <i/>
        <vertAlign val="subscript"/>
        <sz val="12"/>
        <color theme="1"/>
        <rFont val="Calibri (Body)"/>
      </rPr>
      <t>b</t>
    </r>
    <r>
      <rPr>
        <i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(kg/m</t>
    </r>
    <r>
      <rPr>
        <vertAlign val="superscript"/>
        <sz val="12"/>
        <color theme="1"/>
        <rFont val="Calibri (Body)"/>
      </rPr>
      <t>3</t>
    </r>
    <r>
      <rPr>
        <sz val="12"/>
        <color theme="1"/>
        <rFont val="Calibri"/>
        <family val="2"/>
        <scheme val="minor"/>
      </rPr>
      <t>)</t>
    </r>
  </si>
  <si>
    <t xml:space="preserve"> m</t>
  </si>
  <si>
    <t xml:space="preserve"> kPa</t>
  </si>
  <si>
    <t xml:space="preserve"> 1/kPa</t>
  </si>
  <si>
    <r>
      <t xml:space="preserve"> kg/m</t>
    </r>
    <r>
      <rPr>
        <vertAlign val="superscript"/>
        <sz val="12"/>
        <color theme="1"/>
        <rFont val="Calibri (Body)"/>
      </rPr>
      <t>3</t>
    </r>
  </si>
  <si>
    <r>
      <rPr>
        <sz val="12"/>
        <color theme="1"/>
        <rFont val="Calibri"/>
        <family val="2"/>
        <scheme val="minor"/>
      </rPr>
      <t>(</t>
    </r>
    <r>
      <rPr>
        <i/>
        <sz val="12"/>
        <color theme="1"/>
        <rFont val="Calibri"/>
        <family val="2"/>
        <scheme val="minor"/>
      </rPr>
      <t xml:space="preserve">m </t>
    </r>
    <r>
      <rPr>
        <sz val="12"/>
        <color theme="1"/>
        <rFont val="Calibri"/>
        <family val="2"/>
        <scheme val="minor"/>
      </rPr>
      <t>= 1 for axisymmetric flow, = 0 for planar)</t>
    </r>
  </si>
  <si>
    <r>
      <rPr>
        <i/>
        <sz val="12"/>
        <color rgb="FF000000"/>
        <rFont val="Calibri (Body)"/>
      </rPr>
      <t>d</t>
    </r>
    <r>
      <rPr>
        <i/>
        <sz val="12"/>
        <color rgb="FF000000"/>
        <rFont val="Symbol"/>
        <charset val="2"/>
      </rPr>
      <t>σ</t>
    </r>
    <r>
      <rPr>
        <i/>
        <vertAlign val="subscript"/>
        <sz val="12"/>
        <color rgb="FF000000"/>
        <rFont val="Arial"/>
        <family val="2"/>
      </rPr>
      <t>v</t>
    </r>
    <r>
      <rPr>
        <i/>
        <sz val="12"/>
        <color rgb="FF000000"/>
        <rFont val="Times New Roman"/>
        <family val="1"/>
        <charset val="2"/>
      </rPr>
      <t xml:space="preserve"> </t>
    </r>
    <r>
      <rPr>
        <sz val="12"/>
        <color rgb="FF000000"/>
        <rFont val="Calibri"/>
        <family val="2"/>
      </rPr>
      <t>(kPa)</t>
    </r>
  </si>
  <si>
    <t xml:space="preserve"> deg</t>
  </si>
  <si>
    <t xml:space="preserve"> rad</t>
  </si>
  <si>
    <r>
      <rPr>
        <i/>
        <sz val="12"/>
        <color theme="1"/>
        <rFont val="Symbol"/>
        <charset val="2"/>
      </rPr>
      <t>σ</t>
    </r>
    <r>
      <rPr>
        <i/>
        <vertAlign val="subscript"/>
        <sz val="12"/>
        <color theme="1"/>
        <rFont val="Arial"/>
        <family val="2"/>
      </rPr>
      <t>w</t>
    </r>
    <r>
      <rPr>
        <sz val="12"/>
        <color theme="1"/>
        <rFont val="Calibri (Body)"/>
      </rPr>
      <t>(kPa)</t>
    </r>
  </si>
  <si>
    <t>Cylinder hieght</t>
  </si>
  <si>
    <r>
      <rPr>
        <i/>
        <sz val="12"/>
        <color theme="1"/>
        <rFont val="Symbol"/>
        <charset val="2"/>
      </rPr>
      <t>σ</t>
    </r>
    <r>
      <rPr>
        <i/>
        <vertAlign val="subscript"/>
        <sz val="12"/>
        <color theme="1"/>
        <rFont val="Arial"/>
        <family val="2"/>
      </rPr>
      <t>1</t>
    </r>
    <r>
      <rPr>
        <sz val="12"/>
        <color theme="1"/>
        <rFont val="Calibri (Body)"/>
      </rPr>
      <t>(kPa)</t>
    </r>
  </si>
  <si>
    <t>Z</t>
  </si>
  <si>
    <t>RH (Ax/P)</t>
  </si>
  <si>
    <t>Top load</t>
  </si>
  <si>
    <r>
      <t xml:space="preserve">z </t>
    </r>
    <r>
      <rPr>
        <sz val="12"/>
        <color theme="1"/>
        <rFont val="Calibri"/>
        <family val="2"/>
        <scheme val="minor"/>
      </rPr>
      <t>(m)</t>
    </r>
  </si>
  <si>
    <t>Janssen Equation</t>
  </si>
  <si>
    <t>Janssen coefficient</t>
  </si>
  <si>
    <t>z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</si>
</sst>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Calibri"/>
      <family val="2"/>
      <scheme val="minor"/>
    </font>
    <font>
      <i/>
      <sz val="12"/>
      <color theme="1"/>
      <name val="Symbol"/>
      <charset val="2"/>
    </font>
    <font>
      <i/>
      <sz val="12"/>
      <color theme="1"/>
      <name val="Avenir Book"/>
      <family val="2"/>
    </font>
    <font>
      <i/>
      <sz val="12"/>
      <color theme="1"/>
      <name val="Calibri"/>
      <family val="2"/>
      <charset val="2"/>
      <scheme val="minor"/>
    </font>
    <font>
      <i/>
      <sz val="12"/>
      <color rgb="FF000000"/>
      <name val="Symbol"/>
      <charset val="2"/>
    </font>
    <font>
      <sz val="12"/>
      <color theme="1"/>
      <name val="Arial"/>
      <family val="2"/>
    </font>
    <font>
      <i/>
      <sz val="12"/>
      <color theme="1"/>
      <name val="Times New Roman"/>
      <family val="1"/>
    </font>
    <font>
      <sz val="12"/>
      <color rgb="FF0000FF"/>
      <name val="Calibri"/>
      <family val="2"/>
      <scheme val="minor"/>
    </font>
    <font>
      <sz val="12"/>
      <color rgb="FF0432FF"/>
      <name val="Calibri"/>
      <family val="2"/>
      <scheme val="minor"/>
    </font>
    <font>
      <i/>
      <sz val="12"/>
      <color theme="1"/>
      <name val="Times New Roman"/>
      <family val="1"/>
      <charset val="2"/>
    </font>
    <font>
      <i/>
      <vertAlign val="subscript"/>
      <sz val="12"/>
      <color theme="1"/>
      <name val="Arial"/>
      <family val="2"/>
    </font>
    <font>
      <i/>
      <vertAlign val="subscript"/>
      <sz val="12"/>
      <color theme="1"/>
      <name val="Calibri (Body)"/>
    </font>
    <font>
      <i/>
      <sz val="12"/>
      <color theme="1"/>
      <name val="Arial"/>
      <family val="2"/>
    </font>
    <font>
      <vertAlign val="superscript"/>
      <sz val="12"/>
      <color theme="1"/>
      <name val="Calibri (Body)"/>
    </font>
    <font>
      <sz val="12"/>
      <color theme="1"/>
      <name val="Calibri (Body)"/>
    </font>
    <font>
      <i/>
      <sz val="12"/>
      <color rgb="FF000000"/>
      <name val="Times New Roman"/>
      <family val="1"/>
      <charset val="2"/>
    </font>
    <font>
      <i/>
      <vertAlign val="subscript"/>
      <sz val="12"/>
      <color rgb="FF000000"/>
      <name val="Arial"/>
      <family val="2"/>
    </font>
    <font>
      <sz val="12"/>
      <color rgb="FF000000"/>
      <name val="Calibri"/>
      <family val="2"/>
    </font>
    <font>
      <i/>
      <sz val="12"/>
      <color rgb="FF000000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Protection="1">
      <protection locked="0"/>
    </xf>
    <xf numFmtId="164" fontId="11" fillId="0" borderId="0" xfId="0" applyNumberFormat="1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/>
    <xf numFmtId="0" fontId="0" fillId="0" borderId="0" xfId="0" applyAlignment="1" applyProtection="1">
      <alignment horizontal="center"/>
      <protection locked="0"/>
    </xf>
    <xf numFmtId="0" fontId="11" fillId="0" borderId="0" xfId="0" applyFont="1" applyProtection="1"/>
    <xf numFmtId="0" fontId="0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Solids Stresses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Cylinder!$O$4</c:f>
              <c:strCache>
                <c:ptCount val="1"/>
                <c:pt idx="0">
                  <c:v>σv (kPa)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Cylinder!$K$5:$K$30</c:f>
              <c:numCache>
                <c:formatCode>General</c:formatCode>
                <c:ptCount val="26"/>
                <c:pt idx="0">
                  <c:v>0</c:v>
                </c:pt>
                <c:pt idx="1">
                  <c:v>0.08</c:v>
                </c:pt>
                <c:pt idx="2">
                  <c:v>0.16</c:v>
                </c:pt>
                <c:pt idx="3">
                  <c:v>0.24</c:v>
                </c:pt>
                <c:pt idx="4">
                  <c:v>0.32</c:v>
                </c:pt>
                <c:pt idx="5">
                  <c:v>0.4</c:v>
                </c:pt>
                <c:pt idx="6">
                  <c:v>0.48000000000000004</c:v>
                </c:pt>
                <c:pt idx="7">
                  <c:v>0.56000000000000005</c:v>
                </c:pt>
                <c:pt idx="8">
                  <c:v>0.64</c:v>
                </c:pt>
                <c:pt idx="9">
                  <c:v>0.72</c:v>
                </c:pt>
                <c:pt idx="10">
                  <c:v>0.79999999999999993</c:v>
                </c:pt>
                <c:pt idx="11">
                  <c:v>0.87999999999999989</c:v>
                </c:pt>
                <c:pt idx="12">
                  <c:v>0.95999999999999985</c:v>
                </c:pt>
                <c:pt idx="13">
                  <c:v>1.0399999999999998</c:v>
                </c:pt>
                <c:pt idx="14">
                  <c:v>1.1199999999999999</c:v>
                </c:pt>
                <c:pt idx="15">
                  <c:v>1.2</c:v>
                </c:pt>
                <c:pt idx="16">
                  <c:v>1.28</c:v>
                </c:pt>
                <c:pt idx="17">
                  <c:v>1.36</c:v>
                </c:pt>
                <c:pt idx="18">
                  <c:v>1.4400000000000002</c:v>
                </c:pt>
                <c:pt idx="19">
                  <c:v>1.5200000000000002</c:v>
                </c:pt>
                <c:pt idx="20">
                  <c:v>1.6000000000000003</c:v>
                </c:pt>
                <c:pt idx="21">
                  <c:v>1.6800000000000004</c:v>
                </c:pt>
                <c:pt idx="22">
                  <c:v>1.7600000000000005</c:v>
                </c:pt>
                <c:pt idx="23">
                  <c:v>1.8400000000000005</c:v>
                </c:pt>
                <c:pt idx="24">
                  <c:v>1.9200000000000006</c:v>
                </c:pt>
                <c:pt idx="25">
                  <c:v>2.0000000000000004</c:v>
                </c:pt>
              </c:numCache>
            </c:numRef>
          </c:xVal>
          <c:yVal>
            <c:numRef>
              <c:f>Cylinder!$O$5:$O$30</c:f>
              <c:numCache>
                <c:formatCode>General</c:formatCode>
                <c:ptCount val="26"/>
                <c:pt idx="0">
                  <c:v>0</c:v>
                </c:pt>
                <c:pt idx="1">
                  <c:v>0.27440000000000003</c:v>
                </c:pt>
                <c:pt idx="2">
                  <c:v>0.54253957649330697</c:v>
                </c:pt>
                <c:pt idx="3">
                  <c:v>0.79333142583068905</c:v>
                </c:pt>
                <c:pt idx="4">
                  <c:v>1.027436437967153</c:v>
                </c:pt>
                <c:pt idx="5">
                  <c:v>1.2457806225434807</c:v>
                </c:pt>
                <c:pt idx="6">
                  <c:v>1.4493281207915265</c:v>
                </c:pt>
                <c:pt idx="7">
                  <c:v>1.6390233374974903</c:v>
                </c:pt>
                <c:pt idx="8">
                  <c:v>1.8157709154229911</c:v>
                </c:pt>
                <c:pt idx="9">
                  <c:v>1.9804283687856812</c:v>
                </c:pt>
                <c:pt idx="10">
                  <c:v>2.1338039134863722</c:v>
                </c:pt>
                <c:pt idx="11">
                  <c:v>2.2766566953866527</c:v>
                </c:pt>
                <c:pt idx="12">
                  <c:v>2.4096981954444026</c:v>
                </c:pt>
                <c:pt idx="13">
                  <c:v>2.5335942200409263</c:v>
                </c:pt>
                <c:pt idx="14">
                  <c:v>2.6489671676816418</c:v>
                </c:pt>
                <c:pt idx="15">
                  <c:v>2.7563984022169778</c:v>
                </c:pt>
                <c:pt idx="16">
                  <c:v>2.8564306359102769</c:v>
                </c:pt>
                <c:pt idx="17">
                  <c:v>2.9495702663858179</c:v>
                </c:pt>
                <c:pt idx="18">
                  <c:v>3.0362896351363133</c:v>
                </c:pt>
                <c:pt idx="19">
                  <c:v>3.1170291894798967</c:v>
                </c:pt>
                <c:pt idx="20">
                  <c:v>3.192199538619378</c:v>
                </c:pt>
                <c:pt idx="21">
                  <c:v>3.2621833999579937</c:v>
                </c:pt>
                <c:pt idx="22">
                  <c:v>3.3273374353145684</c:v>
                </c:pt>
                <c:pt idx="23">
                  <c:v>3.3879939788954911</c:v>
                </c:pt>
                <c:pt idx="24">
                  <c:v>3.444462660271475</c:v>
                </c:pt>
                <c:pt idx="25">
                  <c:v>3.4970319264558531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5D-0F46-B691-693651B0478F}"/>
            </c:ext>
          </c:extLst>
        </c:ser>
        <c:ser>
          <c:idx val="1"/>
          <c:order val="1"/>
          <c:tx>
            <c:strRef>
              <c:f>Cylinder!$P$4</c:f>
              <c:strCache>
                <c:ptCount val="1"/>
                <c:pt idx="0">
                  <c:v>σw(kPa)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Cylinder!$K$5:$K$30</c:f>
              <c:numCache>
                <c:formatCode>General</c:formatCode>
                <c:ptCount val="26"/>
                <c:pt idx="0">
                  <c:v>0</c:v>
                </c:pt>
                <c:pt idx="1">
                  <c:v>0.08</c:v>
                </c:pt>
                <c:pt idx="2">
                  <c:v>0.16</c:v>
                </c:pt>
                <c:pt idx="3">
                  <c:v>0.24</c:v>
                </c:pt>
                <c:pt idx="4">
                  <c:v>0.32</c:v>
                </c:pt>
                <c:pt idx="5">
                  <c:v>0.4</c:v>
                </c:pt>
                <c:pt idx="6">
                  <c:v>0.48000000000000004</c:v>
                </c:pt>
                <c:pt idx="7">
                  <c:v>0.56000000000000005</c:v>
                </c:pt>
                <c:pt idx="8">
                  <c:v>0.64</c:v>
                </c:pt>
                <c:pt idx="9">
                  <c:v>0.72</c:v>
                </c:pt>
                <c:pt idx="10">
                  <c:v>0.79999999999999993</c:v>
                </c:pt>
                <c:pt idx="11">
                  <c:v>0.87999999999999989</c:v>
                </c:pt>
                <c:pt idx="12">
                  <c:v>0.95999999999999985</c:v>
                </c:pt>
                <c:pt idx="13">
                  <c:v>1.0399999999999998</c:v>
                </c:pt>
                <c:pt idx="14">
                  <c:v>1.1199999999999999</c:v>
                </c:pt>
                <c:pt idx="15">
                  <c:v>1.2</c:v>
                </c:pt>
                <c:pt idx="16">
                  <c:v>1.28</c:v>
                </c:pt>
                <c:pt idx="17">
                  <c:v>1.36</c:v>
                </c:pt>
                <c:pt idx="18">
                  <c:v>1.4400000000000002</c:v>
                </c:pt>
                <c:pt idx="19">
                  <c:v>1.5200000000000002</c:v>
                </c:pt>
                <c:pt idx="20">
                  <c:v>1.6000000000000003</c:v>
                </c:pt>
                <c:pt idx="21">
                  <c:v>1.6800000000000004</c:v>
                </c:pt>
                <c:pt idx="22">
                  <c:v>1.7600000000000005</c:v>
                </c:pt>
                <c:pt idx="23">
                  <c:v>1.8400000000000005</c:v>
                </c:pt>
                <c:pt idx="24">
                  <c:v>1.9200000000000006</c:v>
                </c:pt>
                <c:pt idx="25">
                  <c:v>2.0000000000000004</c:v>
                </c:pt>
              </c:numCache>
            </c:numRef>
          </c:xVal>
          <c:yVal>
            <c:numRef>
              <c:f>Cylinder!$P$5:$P$30</c:f>
              <c:numCache>
                <c:formatCode>General</c:formatCode>
                <c:ptCount val="26"/>
                <c:pt idx="0">
                  <c:v>0</c:v>
                </c:pt>
                <c:pt idx="1">
                  <c:v>0.16464000000000001</c:v>
                </c:pt>
                <c:pt idx="2">
                  <c:v>0.32552374589598415</c:v>
                </c:pt>
                <c:pt idx="3">
                  <c:v>0.47599885549841342</c:v>
                </c:pt>
                <c:pt idx="4">
                  <c:v>0.6164618627802918</c:v>
                </c:pt>
                <c:pt idx="5">
                  <c:v>0.74746837352608841</c:v>
                </c:pt>
                <c:pt idx="6">
                  <c:v>0.86959687247491591</c:v>
                </c:pt>
                <c:pt idx="7">
                  <c:v>0.98341400249849409</c:v>
                </c:pt>
                <c:pt idx="8">
                  <c:v>1.0894625492537946</c:v>
                </c:pt>
                <c:pt idx="9">
                  <c:v>1.1882570212714088</c:v>
                </c:pt>
                <c:pt idx="10">
                  <c:v>1.2802823480918233</c:v>
                </c:pt>
                <c:pt idx="11">
                  <c:v>1.3659940172319915</c:v>
                </c:pt>
                <c:pt idx="12">
                  <c:v>1.4458189172666416</c:v>
                </c:pt>
                <c:pt idx="13">
                  <c:v>1.5201565320245558</c:v>
                </c:pt>
                <c:pt idx="14">
                  <c:v>1.5893803006089851</c:v>
                </c:pt>
                <c:pt idx="15">
                  <c:v>1.6538390413301867</c:v>
                </c:pt>
                <c:pt idx="16">
                  <c:v>1.7138583815461661</c:v>
                </c:pt>
                <c:pt idx="17">
                  <c:v>1.7697421598314906</c:v>
                </c:pt>
                <c:pt idx="18">
                  <c:v>1.821773781081788</c:v>
                </c:pt>
                <c:pt idx="19">
                  <c:v>1.870217513687938</c:v>
                </c:pt>
                <c:pt idx="20">
                  <c:v>1.9153197231716268</c:v>
                </c:pt>
                <c:pt idx="21">
                  <c:v>1.957310039974796</c:v>
                </c:pt>
                <c:pt idx="22">
                  <c:v>1.996402461188741</c:v>
                </c:pt>
                <c:pt idx="23">
                  <c:v>2.0327963873372945</c:v>
                </c:pt>
                <c:pt idx="24">
                  <c:v>2.0666775961628847</c:v>
                </c:pt>
                <c:pt idx="25">
                  <c:v>2.0982191558735117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5D-0F46-B691-693651B04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9167856"/>
        <c:axId val="1039170128"/>
      </c:scatterChart>
      <c:valAx>
        <c:axId val="1039167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170128"/>
        <c:crosses val="autoZero"/>
        <c:crossBetween val="midCat"/>
      </c:valAx>
      <c:valAx>
        <c:axId val="103917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Stress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167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58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Solids Stresses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Hopper!$L$10</c:f>
              <c:strCache>
                <c:ptCount val="1"/>
                <c:pt idx="0">
                  <c:v>σv (kPa)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Hopper!$G$11:$G$36</c:f>
              <c:numCache>
                <c:formatCode>General</c:formatCode>
                <c:ptCount val="26"/>
                <c:pt idx="0">
                  <c:v>1.3050517742409455</c:v>
                </c:pt>
                <c:pt idx="1">
                  <c:v>1.2528497032713077</c:v>
                </c:pt>
                <c:pt idx="2">
                  <c:v>1.2006476323016699</c:v>
                </c:pt>
                <c:pt idx="3">
                  <c:v>1.1484455613320321</c:v>
                </c:pt>
                <c:pt idx="4">
                  <c:v>1.0962434903623943</c:v>
                </c:pt>
                <c:pt idx="5">
                  <c:v>1.0440414193927565</c:v>
                </c:pt>
                <c:pt idx="6">
                  <c:v>0.99183934842311872</c:v>
                </c:pt>
                <c:pt idx="7">
                  <c:v>0.93963727745348091</c:v>
                </c:pt>
                <c:pt idx="8">
                  <c:v>0.88743520648384311</c:v>
                </c:pt>
                <c:pt idx="9">
                  <c:v>0.8352331355142053</c:v>
                </c:pt>
                <c:pt idx="10">
                  <c:v>0.7830310645445675</c:v>
                </c:pt>
                <c:pt idx="11">
                  <c:v>0.7308289935749297</c:v>
                </c:pt>
                <c:pt idx="12">
                  <c:v>0.67862692260529189</c:v>
                </c:pt>
                <c:pt idx="13">
                  <c:v>0.62642485163565409</c:v>
                </c:pt>
                <c:pt idx="14">
                  <c:v>0.57422278066601629</c:v>
                </c:pt>
                <c:pt idx="15">
                  <c:v>0.52202070969637848</c:v>
                </c:pt>
                <c:pt idx="16">
                  <c:v>0.46981863872674068</c:v>
                </c:pt>
                <c:pt idx="17">
                  <c:v>0.41761656775710287</c:v>
                </c:pt>
                <c:pt idx="18">
                  <c:v>0.36541449678746507</c:v>
                </c:pt>
                <c:pt idx="19">
                  <c:v>0.31321242581782727</c:v>
                </c:pt>
                <c:pt idx="20">
                  <c:v>0.26101035484818946</c:v>
                </c:pt>
                <c:pt idx="21">
                  <c:v>0.20880828387855163</c:v>
                </c:pt>
                <c:pt idx="22">
                  <c:v>0.1566062129089138</c:v>
                </c:pt>
                <c:pt idx="23">
                  <c:v>0.10440414193927597</c:v>
                </c:pt>
                <c:pt idx="24">
                  <c:v>5.2202070969638144E-2</c:v>
                </c:pt>
                <c:pt idx="25">
                  <c:v>3.1918911957973251E-16</c:v>
                </c:pt>
              </c:numCache>
            </c:numRef>
          </c:xVal>
          <c:yVal>
            <c:numRef>
              <c:f>Hopper!$L$11:$L$36</c:f>
              <c:numCache>
                <c:formatCode>General</c:formatCode>
                <c:ptCount val="26"/>
                <c:pt idx="0">
                  <c:v>3.4970319264558531</c:v>
                </c:pt>
                <c:pt idx="1">
                  <c:v>2.5615466793406201</c:v>
                </c:pt>
                <c:pt idx="2">
                  <c:v>1.8943435305425467</c:v>
                </c:pt>
                <c:pt idx="3">
                  <c:v>1.424015206556102</c:v>
                </c:pt>
                <c:pt idx="4">
                  <c:v>1.0959398330586028</c:v>
                </c:pt>
                <c:pt idx="5">
                  <c:v>0.8689089774594142</c:v>
                </c:pt>
                <c:pt idx="6">
                  <c:v>0.71230469540360142</c:v>
                </c:pt>
                <c:pt idx="7">
                  <c:v>0.60375914716433143</c:v>
                </c:pt>
                <c:pt idx="8">
                  <c:v>0.5272362560149968</c:v>
                </c:pt>
                <c:pt idx="9">
                  <c:v>0.47147993036345281</c:v>
                </c:pt>
                <c:pt idx="10">
                  <c:v>0.42877720386039997</c:v>
                </c:pt>
                <c:pt idx="11">
                  <c:v>0.3939879289809296</c:v>
                </c:pt>
                <c:pt idx="12">
                  <c:v>0.3637964513715643</c:v>
                </c:pt>
                <c:pt idx="13">
                  <c:v>0.3361453510214587</c:v>
                </c:pt>
                <c:pt idx="14">
                  <c:v>0.3098164011744331</c:v>
                </c:pt>
                <c:pt idx="15">
                  <c:v>0.28412876246298518</c:v>
                </c:pt>
                <c:pt idx="16">
                  <c:v>0.25872880289257932</c:v>
                </c:pt>
                <c:pt idx="17">
                  <c:v>0.23344980929761125</c:v>
                </c:pt>
                <c:pt idx="18">
                  <c:v>0.20822333935147669</c:v>
                </c:pt>
                <c:pt idx="19">
                  <c:v>0.18302715550799317</c:v>
                </c:pt>
                <c:pt idx="20">
                  <c:v>0.15785764312392186</c:v>
                </c:pt>
                <c:pt idx="21">
                  <c:v>0.13271736984609944</c:v>
                </c:pt>
                <c:pt idx="22">
                  <c:v>0.10761100129229703</c:v>
                </c:pt>
                <c:pt idx="23">
                  <c:v>8.254517150024876E-2</c:v>
                </c:pt>
                <c:pt idx="24">
                  <c:v>5.7530246749071243E-2</c:v>
                </c:pt>
                <c:pt idx="25">
                  <c:v>3.2585012613761156E-2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7A-9240-A786-5AEFFC80331A}"/>
            </c:ext>
          </c:extLst>
        </c:ser>
        <c:ser>
          <c:idx val="1"/>
          <c:order val="1"/>
          <c:tx>
            <c:strRef>
              <c:f>Hopper!$M$10</c:f>
              <c:strCache>
                <c:ptCount val="1"/>
                <c:pt idx="0">
                  <c:v>σw(kPa)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Hopper!$G$11:$G$36</c:f>
              <c:numCache>
                <c:formatCode>General</c:formatCode>
                <c:ptCount val="26"/>
                <c:pt idx="0">
                  <c:v>1.3050517742409455</c:v>
                </c:pt>
                <c:pt idx="1">
                  <c:v>1.2528497032713077</c:v>
                </c:pt>
                <c:pt idx="2">
                  <c:v>1.2006476323016699</c:v>
                </c:pt>
                <c:pt idx="3">
                  <c:v>1.1484455613320321</c:v>
                </c:pt>
                <c:pt idx="4">
                  <c:v>1.0962434903623943</c:v>
                </c:pt>
                <c:pt idx="5">
                  <c:v>1.0440414193927565</c:v>
                </c:pt>
                <c:pt idx="6">
                  <c:v>0.99183934842311872</c:v>
                </c:pt>
                <c:pt idx="7">
                  <c:v>0.93963727745348091</c:v>
                </c:pt>
                <c:pt idx="8">
                  <c:v>0.88743520648384311</c:v>
                </c:pt>
                <c:pt idx="9">
                  <c:v>0.8352331355142053</c:v>
                </c:pt>
                <c:pt idx="10">
                  <c:v>0.7830310645445675</c:v>
                </c:pt>
                <c:pt idx="11">
                  <c:v>0.7308289935749297</c:v>
                </c:pt>
                <c:pt idx="12">
                  <c:v>0.67862692260529189</c:v>
                </c:pt>
                <c:pt idx="13">
                  <c:v>0.62642485163565409</c:v>
                </c:pt>
                <c:pt idx="14">
                  <c:v>0.57422278066601629</c:v>
                </c:pt>
                <c:pt idx="15">
                  <c:v>0.52202070969637848</c:v>
                </c:pt>
                <c:pt idx="16">
                  <c:v>0.46981863872674068</c:v>
                </c:pt>
                <c:pt idx="17">
                  <c:v>0.41761656775710287</c:v>
                </c:pt>
                <c:pt idx="18">
                  <c:v>0.36541449678746507</c:v>
                </c:pt>
                <c:pt idx="19">
                  <c:v>0.31321242581782727</c:v>
                </c:pt>
                <c:pt idx="20">
                  <c:v>0.26101035484818946</c:v>
                </c:pt>
                <c:pt idx="21">
                  <c:v>0.20880828387855163</c:v>
                </c:pt>
                <c:pt idx="22">
                  <c:v>0.1566062129089138</c:v>
                </c:pt>
                <c:pt idx="23">
                  <c:v>0.10440414193927597</c:v>
                </c:pt>
                <c:pt idx="24">
                  <c:v>5.2202070969638144E-2</c:v>
                </c:pt>
                <c:pt idx="25">
                  <c:v>3.1918911957973251E-16</c:v>
                </c:pt>
              </c:numCache>
            </c:numRef>
          </c:xVal>
          <c:yVal>
            <c:numRef>
              <c:f>Hopper!$M$11:$M$36</c:f>
              <c:numCache>
                <c:formatCode>General</c:formatCode>
                <c:ptCount val="26"/>
                <c:pt idx="0">
                  <c:v>9.1622236473143364</c:v>
                </c:pt>
                <c:pt idx="1">
                  <c:v>6.7112522998724247</c:v>
                </c:pt>
                <c:pt idx="2">
                  <c:v>4.9631800500214727</c:v>
                </c:pt>
                <c:pt idx="3">
                  <c:v>3.7309198411769873</c:v>
                </c:pt>
                <c:pt idx="4">
                  <c:v>2.8713623626135392</c:v>
                </c:pt>
                <c:pt idx="5">
                  <c:v>2.2765415209436655</c:v>
                </c:pt>
                <c:pt idx="6">
                  <c:v>1.8662383019574358</c:v>
                </c:pt>
                <c:pt idx="7">
                  <c:v>1.5818489655705483</c:v>
                </c:pt>
                <c:pt idx="8">
                  <c:v>1.3813589907592916</c:v>
                </c:pt>
                <c:pt idx="9">
                  <c:v>1.2352774175522465</c:v>
                </c:pt>
                <c:pt idx="10">
                  <c:v>1.123396274114248</c:v>
                </c:pt>
                <c:pt idx="11">
                  <c:v>1.0322483739300357</c:v>
                </c:pt>
                <c:pt idx="12">
                  <c:v>0.95314670259349854</c:v>
                </c:pt>
                <c:pt idx="13">
                  <c:v>0.88070081967622182</c:v>
                </c:pt>
                <c:pt idx="14">
                  <c:v>0.81171897107701474</c:v>
                </c:pt>
                <c:pt idx="15">
                  <c:v>0.74441735765302119</c:v>
                </c:pt>
                <c:pt idx="16">
                  <c:v>0.67786946357855782</c:v>
                </c:pt>
                <c:pt idx="17">
                  <c:v>0.61163850035974154</c:v>
                </c:pt>
                <c:pt idx="18">
                  <c:v>0.54554514910086893</c:v>
                </c:pt>
                <c:pt idx="19">
                  <c:v>0.47953114743094211</c:v>
                </c:pt>
                <c:pt idx="20">
                  <c:v>0.41358702498467531</c:v>
                </c:pt>
                <c:pt idx="21">
                  <c:v>0.34771950899678056</c:v>
                </c:pt>
                <c:pt idx="22">
                  <c:v>0.28194082338581822</c:v>
                </c:pt>
                <c:pt idx="23">
                  <c:v>0.21626834933065175</c:v>
                </c:pt>
                <c:pt idx="24">
                  <c:v>0.15072924648256666</c:v>
                </c:pt>
                <c:pt idx="25">
                  <c:v>8.5372733048054233E-2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A7A-9240-A786-5AEFFC803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9367424"/>
        <c:axId val="499369696"/>
      </c:scatterChart>
      <c:valAx>
        <c:axId val="499367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369696"/>
        <c:crosses val="autoZero"/>
        <c:crossBetween val="midCat"/>
      </c:valAx>
      <c:valAx>
        <c:axId val="49936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Stress</a:t>
                </a:r>
                <a:r>
                  <a:rPr lang="en-US" baseline="0"/>
                  <a:t> (kPa)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367424"/>
        <c:crosses val="autoZero"/>
        <c:crossBetween val="midCat"/>
      </c:valAx>
      <c:spPr>
        <a:noFill/>
        <a:ln w="15875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58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7" Type="http://schemas.openxmlformats.org/officeDocument/2006/relationships/chart" Target="../charts/chart2.xml"/><Relationship Id="rId2" Type="http://schemas.openxmlformats.org/officeDocument/2006/relationships/image" Target="../media/image4.emf"/><Relationship Id="rId1" Type="http://schemas.openxmlformats.org/officeDocument/2006/relationships/image" Target="../media/image3.png"/><Relationship Id="rId6" Type="http://schemas.openxmlformats.org/officeDocument/2006/relationships/image" Target="../media/image1.emf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4</xdr:row>
      <xdr:rowOff>12700</xdr:rowOff>
    </xdr:from>
    <xdr:to>
      <xdr:col>2</xdr:col>
      <xdr:colOff>177800</xdr:colOff>
      <xdr:row>5</xdr:row>
      <xdr:rowOff>122413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092094-8D64-7048-B4F8-C11D1759E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" y="876300"/>
          <a:ext cx="1422400" cy="31291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546100</xdr:colOff>
      <xdr:row>10</xdr:row>
      <xdr:rowOff>165100</xdr:rowOff>
    </xdr:from>
    <xdr:to>
      <xdr:col>2</xdr:col>
      <xdr:colOff>304800</xdr:colOff>
      <xdr:row>14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92B71B-C807-6641-9524-6DE0B75A9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00" y="2298700"/>
          <a:ext cx="1943100" cy="6477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  <xdr:twoCellAnchor>
    <xdr:from>
      <xdr:col>2</xdr:col>
      <xdr:colOff>488950</xdr:colOff>
      <xdr:row>15</xdr:row>
      <xdr:rowOff>38100</xdr:rowOff>
    </xdr:from>
    <xdr:to>
      <xdr:col>8</xdr:col>
      <xdr:colOff>107950</xdr:colOff>
      <xdr:row>28</xdr:row>
      <xdr:rowOff>139700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D865FE-4675-FD0B-17EA-54E20315D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63500</xdr:rowOff>
    </xdr:from>
    <xdr:to>
      <xdr:col>1</xdr:col>
      <xdr:colOff>1026584</xdr:colOff>
      <xdr:row>33</xdr:row>
      <xdr:rowOff>25400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BC8E2C9-32DD-9028-5505-8149B0D26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95900"/>
          <a:ext cx="1852084" cy="15875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50800</xdr:colOff>
      <xdr:row>2</xdr:row>
      <xdr:rowOff>85552</xdr:rowOff>
    </xdr:from>
    <xdr:to>
      <xdr:col>13</xdr:col>
      <xdr:colOff>495300</xdr:colOff>
      <xdr:row>4</xdr:row>
      <xdr:rowOff>125753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A1C8BD2-B2D7-12DC-C6CC-DFF8B4C8F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504652"/>
          <a:ext cx="1270000" cy="44660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723899</xdr:colOff>
      <xdr:row>2</xdr:row>
      <xdr:rowOff>50536</xdr:rowOff>
    </xdr:from>
    <xdr:to>
      <xdr:col>16</xdr:col>
      <xdr:colOff>268652</xdr:colOff>
      <xdr:row>4</xdr:row>
      <xdr:rowOff>191560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9C722CD-CE22-9712-3EEE-424CD37701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69231" b="2500"/>
        <a:stretch/>
      </xdr:blipFill>
      <xdr:spPr>
        <a:xfrm>
          <a:off x="12318999" y="469636"/>
          <a:ext cx="2021253" cy="54742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1524000</xdr:colOff>
      <xdr:row>25</xdr:row>
      <xdr:rowOff>65356</xdr:rowOff>
    </xdr:from>
    <xdr:to>
      <xdr:col>5</xdr:col>
      <xdr:colOff>371410</xdr:colOff>
      <xdr:row>33</xdr:row>
      <xdr:rowOff>91612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9967CEE-E74B-EF46-8A85-0A64726F8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49500" y="5297756"/>
          <a:ext cx="3000310" cy="165185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0</xdr:colOff>
      <xdr:row>35</xdr:row>
      <xdr:rowOff>38100</xdr:rowOff>
    </xdr:from>
    <xdr:to>
      <xdr:col>1</xdr:col>
      <xdr:colOff>509352</xdr:colOff>
      <xdr:row>39</xdr:row>
      <xdr:rowOff>50800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3858092-FFEE-D94E-9DFD-158462663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7302500"/>
          <a:ext cx="1334852" cy="8255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114300</xdr:colOff>
      <xdr:row>5</xdr:row>
      <xdr:rowOff>76200</xdr:rowOff>
    </xdr:from>
    <xdr:to>
      <xdr:col>1</xdr:col>
      <xdr:colOff>1536700</xdr:colOff>
      <xdr:row>6</xdr:row>
      <xdr:rowOff>160513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15E8336-E6DD-20C6-9EDE-6D7188C5F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" y="1104900"/>
          <a:ext cx="1422400" cy="31291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  <xdr:twoCellAnchor>
    <xdr:from>
      <xdr:col>13</xdr:col>
      <xdr:colOff>361950</xdr:colOff>
      <xdr:row>14</xdr:row>
      <xdr:rowOff>95250</xdr:rowOff>
    </xdr:from>
    <xdr:to>
      <xdr:col>18</xdr:col>
      <xdr:colOff>806450</xdr:colOff>
      <xdr:row>27</xdr:row>
      <xdr:rowOff>196850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751C40DA-ED66-FFE7-6BE4-92B8CF813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00EB2-676A-404A-9837-7F4F902182F0}">
  <dimension ref="A1:Q30"/>
  <sheetViews>
    <sheetView tabSelected="1" workbookViewId="0">
      <selection activeCell="C38" sqref="C38"/>
    </sheetView>
  </sheetViews>
  <sheetFormatPr baseColWidth="10" defaultRowHeight="16"/>
  <cols>
    <col min="2" max="2" width="17.83203125" customWidth="1"/>
    <col min="11" max="17" width="10.83203125" style="1"/>
  </cols>
  <sheetData>
    <row r="1" spans="1:16">
      <c r="G1" s="20" t="s">
        <v>41</v>
      </c>
      <c r="H1" s="9">
        <v>2</v>
      </c>
      <c r="I1" s="8" t="s">
        <v>30</v>
      </c>
    </row>
    <row r="2" spans="1:16">
      <c r="A2" s="4" t="s">
        <v>12</v>
      </c>
      <c r="B2" t="s">
        <v>8</v>
      </c>
      <c r="C2" s="12">
        <v>20</v>
      </c>
      <c r="D2" t="s">
        <v>36</v>
      </c>
      <c r="G2" s="20" t="s">
        <v>42</v>
      </c>
      <c r="H2" s="9">
        <v>0.25</v>
      </c>
      <c r="I2" s="8" t="s">
        <v>30</v>
      </c>
    </row>
    <row r="3" spans="1:16">
      <c r="A3" s="20" t="s">
        <v>6</v>
      </c>
      <c r="B3" t="s">
        <v>46</v>
      </c>
      <c r="C3" s="9">
        <v>0.6</v>
      </c>
      <c r="I3" s="8"/>
    </row>
    <row r="4" spans="1:16" ht="20">
      <c r="A4" s="3"/>
      <c r="C4" s="12"/>
      <c r="G4" s="20" t="s">
        <v>43</v>
      </c>
      <c r="H4" s="9">
        <v>0</v>
      </c>
      <c r="I4" s="8" t="s">
        <v>31</v>
      </c>
      <c r="K4" s="2" t="s">
        <v>44</v>
      </c>
      <c r="L4" s="16" t="s">
        <v>28</v>
      </c>
      <c r="M4" s="15" t="s">
        <v>29</v>
      </c>
      <c r="N4" s="5" t="s">
        <v>35</v>
      </c>
      <c r="O4" s="16" t="s">
        <v>28</v>
      </c>
      <c r="P4" s="16" t="s">
        <v>38</v>
      </c>
    </row>
    <row r="5" spans="1:16">
      <c r="A5" s="14" t="s">
        <v>15</v>
      </c>
      <c r="B5" s="9"/>
      <c r="C5" s="12"/>
      <c r="G5" s="1"/>
      <c r="K5" s="1">
        <v>0</v>
      </c>
      <c r="L5" s="1">
        <f>H4</f>
        <v>0</v>
      </c>
      <c r="M5" s="1">
        <f>$C$6+$C$7*L5^$C$8</f>
        <v>350</v>
      </c>
      <c r="N5" s="1">
        <f t="shared" ref="N5:N30" si="0">(M5*9.8/1000-TAN($H$8)*$C$3*L5/$H$2)*$H$7</f>
        <v>0.27440000000000003</v>
      </c>
      <c r="O5" s="1">
        <f>L5</f>
        <v>0</v>
      </c>
      <c r="P5" s="1">
        <f t="shared" ref="P5:P30" si="1">O5*$C$3</f>
        <v>0</v>
      </c>
    </row>
    <row r="6" spans="1:16" ht="20">
      <c r="A6" s="15" t="s">
        <v>20</v>
      </c>
      <c r="C6" s="12">
        <v>350</v>
      </c>
      <c r="D6" t="s">
        <v>33</v>
      </c>
      <c r="G6" s="1"/>
      <c r="K6" s="1">
        <f>K5+$H$7</f>
        <v>0.08</v>
      </c>
      <c r="L6" s="1">
        <f>L5+N5</f>
        <v>0.27440000000000003</v>
      </c>
      <c r="M6" s="1">
        <f>$C$6+$C$7*L6^$C$8</f>
        <v>366.47356567802933</v>
      </c>
      <c r="N6" s="1">
        <f t="shared" si="0"/>
        <v>0.268139576493307</v>
      </c>
      <c r="O6" s="1">
        <f>L6</f>
        <v>0.27440000000000003</v>
      </c>
      <c r="P6" s="1">
        <f t="shared" si="1"/>
        <v>0.16464000000000001</v>
      </c>
    </row>
    <row r="7" spans="1:16">
      <c r="A7" s="15" t="s">
        <v>16</v>
      </c>
      <c r="C7" s="13">
        <v>20</v>
      </c>
      <c r="D7" t="s">
        <v>32</v>
      </c>
      <c r="G7" s="2" t="s">
        <v>23</v>
      </c>
      <c r="H7">
        <f>H1/25</f>
        <v>0.08</v>
      </c>
      <c r="K7" s="1">
        <f t="shared" ref="K7:K30" si="2">K6+$H$7</f>
        <v>0.16</v>
      </c>
      <c r="L7" s="1">
        <f t="shared" ref="L7:L30" si="3">L6+N6</f>
        <v>0.54253957649330697</v>
      </c>
      <c r="M7" s="1">
        <f t="shared" ref="M7:M30" si="4">$C$6+$C$7*L7^$C$8</f>
        <v>368.24713601318041</v>
      </c>
      <c r="N7" s="1">
        <f t="shared" si="0"/>
        <v>0.25079184933738208</v>
      </c>
      <c r="O7" s="1">
        <f t="shared" ref="O7:O30" si="5">L7</f>
        <v>0.54253957649330697</v>
      </c>
      <c r="P7" s="1">
        <f t="shared" si="1"/>
        <v>0.32552374589598415</v>
      </c>
    </row>
    <row r="8" spans="1:16">
      <c r="A8" s="15" t="s">
        <v>17</v>
      </c>
      <c r="C8" s="13">
        <v>0.15</v>
      </c>
      <c r="G8" s="4" t="s">
        <v>12</v>
      </c>
      <c r="H8">
        <f>RADIANS(C2)</f>
        <v>0.3490658503988659</v>
      </c>
      <c r="K8" s="1">
        <f t="shared" si="2"/>
        <v>0.24</v>
      </c>
      <c r="L8" s="1">
        <f t="shared" si="3"/>
        <v>0.79333142583068905</v>
      </c>
      <c r="M8" s="1">
        <f t="shared" si="4"/>
        <v>369.31737872353131</v>
      </c>
      <c r="N8" s="1">
        <f t="shared" si="0"/>
        <v>0.23410501213646404</v>
      </c>
      <c r="O8" s="1">
        <f t="shared" si="5"/>
        <v>0.79333142583068905</v>
      </c>
      <c r="P8" s="1">
        <f t="shared" si="1"/>
        <v>0.47599885549841342</v>
      </c>
    </row>
    <row r="9" spans="1:16">
      <c r="K9" s="1">
        <f t="shared" si="2"/>
        <v>0.32</v>
      </c>
      <c r="L9" s="1">
        <f t="shared" si="3"/>
        <v>1.027436437967153</v>
      </c>
      <c r="M9" s="1">
        <f t="shared" si="4"/>
        <v>370.08136547483502</v>
      </c>
      <c r="N9" s="1">
        <f t="shared" si="0"/>
        <v>0.21834418457632754</v>
      </c>
      <c r="O9" s="1">
        <f t="shared" si="5"/>
        <v>1.027436437967153</v>
      </c>
      <c r="P9" s="1">
        <f t="shared" si="1"/>
        <v>0.6164618627802918</v>
      </c>
    </row>
    <row r="10" spans="1:16">
      <c r="B10" t="s">
        <v>45</v>
      </c>
      <c r="K10" s="1">
        <f t="shared" si="2"/>
        <v>0.4</v>
      </c>
      <c r="L10" s="1">
        <f t="shared" si="3"/>
        <v>1.2457806225434807</v>
      </c>
      <c r="M10" s="1">
        <f t="shared" si="4"/>
        <v>370.67027389551458</v>
      </c>
      <c r="N10" s="1">
        <f t="shared" si="0"/>
        <v>0.2035474982480458</v>
      </c>
      <c r="O10" s="1">
        <f t="shared" si="5"/>
        <v>1.2457806225434807</v>
      </c>
      <c r="P10" s="1">
        <f t="shared" si="1"/>
        <v>0.74746837352608841</v>
      </c>
    </row>
    <row r="11" spans="1:16">
      <c r="K11" s="1">
        <f t="shared" si="2"/>
        <v>0.48000000000000004</v>
      </c>
      <c r="L11" s="1">
        <f t="shared" si="3"/>
        <v>1.4493281207915265</v>
      </c>
      <c r="M11" s="1">
        <f t="shared" si="4"/>
        <v>371.14486922366899</v>
      </c>
      <c r="N11" s="1">
        <f t="shared" si="0"/>
        <v>0.18969521670596387</v>
      </c>
      <c r="O11" s="1">
        <f t="shared" si="5"/>
        <v>1.4493281207915265</v>
      </c>
      <c r="P11" s="1">
        <f t="shared" si="1"/>
        <v>0.86959687247491591</v>
      </c>
    </row>
    <row r="12" spans="1:16">
      <c r="K12" s="1">
        <f t="shared" si="2"/>
        <v>0.56000000000000005</v>
      </c>
      <c r="L12" s="1">
        <f t="shared" si="3"/>
        <v>1.6390233374974903</v>
      </c>
      <c r="M12" s="1">
        <f t="shared" si="4"/>
        <v>371.5386146478491</v>
      </c>
      <c r="N12" s="1">
        <f t="shared" si="0"/>
        <v>0.17674757792550072</v>
      </c>
      <c r="O12" s="1">
        <f t="shared" si="5"/>
        <v>1.6390233374974903</v>
      </c>
      <c r="P12" s="1">
        <f t="shared" si="1"/>
        <v>0.98341400249849409</v>
      </c>
    </row>
    <row r="13" spans="1:16">
      <c r="K13" s="1">
        <f t="shared" si="2"/>
        <v>0.64</v>
      </c>
      <c r="L13" s="1">
        <f t="shared" si="3"/>
        <v>1.8157709154229911</v>
      </c>
      <c r="M13" s="1">
        <f t="shared" si="4"/>
        <v>371.87203307533235</v>
      </c>
      <c r="N13" s="1">
        <f t="shared" si="0"/>
        <v>0.16465745336269016</v>
      </c>
      <c r="O13" s="1">
        <f t="shared" si="5"/>
        <v>1.8157709154229911</v>
      </c>
      <c r="P13" s="1">
        <f t="shared" si="1"/>
        <v>1.0894625492537946</v>
      </c>
    </row>
    <row r="14" spans="1:16">
      <c r="K14" s="1">
        <f t="shared" si="2"/>
        <v>0.72</v>
      </c>
      <c r="L14" s="1">
        <f t="shared" si="3"/>
        <v>1.9804283687856812</v>
      </c>
      <c r="M14" s="1">
        <f t="shared" si="4"/>
        <v>372.15867901643844</v>
      </c>
      <c r="N14" s="1">
        <f t="shared" si="0"/>
        <v>0.15337554470069115</v>
      </c>
      <c r="O14" s="1">
        <f t="shared" si="5"/>
        <v>1.9804283687856812</v>
      </c>
      <c r="P14" s="1">
        <f t="shared" si="1"/>
        <v>1.1882570212714088</v>
      </c>
    </row>
    <row r="15" spans="1:16">
      <c r="K15" s="1">
        <f t="shared" si="2"/>
        <v>0.79999999999999993</v>
      </c>
      <c r="L15" s="1">
        <f t="shared" si="3"/>
        <v>2.1338039134863722</v>
      </c>
      <c r="M15" s="1">
        <f t="shared" si="4"/>
        <v>372.40800391846591</v>
      </c>
      <c r="N15" s="1">
        <f t="shared" si="0"/>
        <v>0.14285278190028064</v>
      </c>
      <c r="O15" s="1">
        <f t="shared" si="5"/>
        <v>2.1338039134863722</v>
      </c>
      <c r="P15" s="1">
        <f t="shared" si="1"/>
        <v>1.2802823480918233</v>
      </c>
    </row>
    <row r="16" spans="1:16">
      <c r="K16" s="1">
        <f t="shared" si="2"/>
        <v>0.87999999999999989</v>
      </c>
      <c r="L16" s="1">
        <f t="shared" si="3"/>
        <v>2.2766566953866527</v>
      </c>
      <c r="M16" s="1">
        <f t="shared" si="4"/>
        <v>372.62687760760281</v>
      </c>
      <c r="N16" s="1">
        <f t="shared" si="0"/>
        <v>0.13304150005774981</v>
      </c>
      <c r="O16" s="1">
        <f t="shared" si="5"/>
        <v>2.2766566953866527</v>
      </c>
      <c r="P16" s="1">
        <f t="shared" si="1"/>
        <v>1.3659940172319915</v>
      </c>
    </row>
    <row r="17" spans="11:16">
      <c r="K17" s="1">
        <f t="shared" si="2"/>
        <v>0.95999999999999985</v>
      </c>
      <c r="L17" s="1">
        <f t="shared" si="3"/>
        <v>2.4096981954444026</v>
      </c>
      <c r="M17" s="1">
        <f t="shared" si="4"/>
        <v>372.82045995436039</v>
      </c>
      <c r="N17" s="1">
        <f t="shared" si="0"/>
        <v>0.1238960245965237</v>
      </c>
      <c r="O17" s="1">
        <f t="shared" si="5"/>
        <v>2.4096981954444026</v>
      </c>
      <c r="P17" s="1">
        <f t="shared" si="1"/>
        <v>1.4458189172666416</v>
      </c>
    </row>
    <row r="18" spans="11:16">
      <c r="K18" s="1">
        <f t="shared" si="2"/>
        <v>1.0399999999999998</v>
      </c>
      <c r="L18" s="1">
        <f t="shared" si="3"/>
        <v>2.5335942200409263</v>
      </c>
      <c r="M18" s="1">
        <f t="shared" si="4"/>
        <v>372.99273079980054</v>
      </c>
      <c r="N18" s="1">
        <f t="shared" si="0"/>
        <v>0.11537294764071554</v>
      </c>
      <c r="O18" s="1">
        <f t="shared" si="5"/>
        <v>2.5335942200409263</v>
      </c>
      <c r="P18" s="1">
        <f t="shared" si="1"/>
        <v>1.5201565320245558</v>
      </c>
    </row>
    <row r="19" spans="11:16">
      <c r="K19" s="1">
        <f t="shared" si="2"/>
        <v>1.1199999999999999</v>
      </c>
      <c r="L19" s="1">
        <f t="shared" si="3"/>
        <v>2.6489671676816418</v>
      </c>
      <c r="M19" s="1">
        <f t="shared" si="4"/>
        <v>373.14682786680174</v>
      </c>
      <c r="N19" s="1">
        <f t="shared" si="0"/>
        <v>0.10743123453533598</v>
      </c>
      <c r="O19" s="1">
        <f t="shared" si="5"/>
        <v>2.6489671676816418</v>
      </c>
      <c r="P19" s="1">
        <f t="shared" si="1"/>
        <v>1.5893803006089851</v>
      </c>
    </row>
    <row r="20" spans="11:16">
      <c r="K20" s="1">
        <f t="shared" si="2"/>
        <v>1.2</v>
      </c>
      <c r="L20" s="1">
        <f t="shared" si="3"/>
        <v>2.7563984022169778</v>
      </c>
      <c r="M20" s="1">
        <f t="shared" si="4"/>
        <v>373.28527085840756</v>
      </c>
      <c r="N20" s="1">
        <f t="shared" si="0"/>
        <v>0.10003223369329887</v>
      </c>
      <c r="O20" s="1">
        <f t="shared" si="5"/>
        <v>2.7563984022169778</v>
      </c>
      <c r="P20" s="1">
        <f t="shared" si="1"/>
        <v>1.6538390413301867</v>
      </c>
    </row>
    <row r="21" spans="11:16">
      <c r="K21" s="1">
        <f t="shared" si="2"/>
        <v>1.28</v>
      </c>
      <c r="L21" s="1">
        <f t="shared" si="3"/>
        <v>2.8564306359102769</v>
      </c>
      <c r="M21" s="1">
        <f t="shared" si="4"/>
        <v>373.41011504755824</v>
      </c>
      <c r="N21" s="1">
        <f t="shared" si="0"/>
        <v>9.3139630475540899E-2</v>
      </c>
      <c r="O21" s="1">
        <f t="shared" si="5"/>
        <v>2.8564306359102769</v>
      </c>
      <c r="P21" s="1">
        <f t="shared" si="1"/>
        <v>1.7138583815461661</v>
      </c>
    </row>
    <row r="22" spans="11:16">
      <c r="K22" s="1">
        <f t="shared" si="2"/>
        <v>1.36</v>
      </c>
      <c r="L22" s="1">
        <f t="shared" si="3"/>
        <v>2.9495702663858179</v>
      </c>
      <c r="M22" s="1">
        <f t="shared" si="4"/>
        <v>373.52305953058834</v>
      </c>
      <c r="N22" s="1">
        <f t="shared" si="0"/>
        <v>8.6719368750495671E-2</v>
      </c>
      <c r="O22" s="1">
        <f t="shared" si="5"/>
        <v>2.9495702663858179</v>
      </c>
      <c r="P22" s="1">
        <f t="shared" si="1"/>
        <v>1.7697421598314906</v>
      </c>
    </row>
    <row r="23" spans="11:16">
      <c r="K23" s="1">
        <f t="shared" si="2"/>
        <v>1.4400000000000002</v>
      </c>
      <c r="L23" s="1">
        <f t="shared" si="3"/>
        <v>3.0362896351363133</v>
      </c>
      <c r="M23" s="1">
        <f t="shared" si="4"/>
        <v>373.6255253894127</v>
      </c>
      <c r="N23" s="1">
        <f t="shared" si="0"/>
        <v>8.073955434358325E-2</v>
      </c>
      <c r="O23" s="1">
        <f t="shared" si="5"/>
        <v>3.0362896351363133</v>
      </c>
      <c r="P23" s="1">
        <f t="shared" si="1"/>
        <v>1.821773781081788</v>
      </c>
    </row>
    <row r="24" spans="11:16">
      <c r="K24" s="1">
        <f t="shared" si="2"/>
        <v>1.5200000000000002</v>
      </c>
      <c r="L24" s="1">
        <f t="shared" si="3"/>
        <v>3.1170291894798967</v>
      </c>
      <c r="M24" s="1">
        <f t="shared" si="4"/>
        <v>373.71871332515627</v>
      </c>
      <c r="N24" s="1">
        <f t="shared" si="0"/>
        <v>7.5170349139481479E-2</v>
      </c>
      <c r="O24" s="1">
        <f t="shared" si="5"/>
        <v>3.1170291894798967</v>
      </c>
      <c r="P24" s="1">
        <f t="shared" si="1"/>
        <v>1.870217513687938</v>
      </c>
    </row>
    <row r="25" spans="11:16">
      <c r="K25" s="1">
        <f t="shared" si="2"/>
        <v>1.6000000000000003</v>
      </c>
      <c r="L25" s="1">
        <f t="shared" si="3"/>
        <v>3.192199538619378</v>
      </c>
      <c r="M25" s="1">
        <f t="shared" si="4"/>
        <v>373.80364694719538</v>
      </c>
      <c r="N25" s="1">
        <f t="shared" si="0"/>
        <v>6.9983861338615658E-2</v>
      </c>
      <c r="O25" s="1">
        <f t="shared" si="5"/>
        <v>3.192199538619378</v>
      </c>
      <c r="P25" s="1">
        <f t="shared" si="1"/>
        <v>1.9153197231716268</v>
      </c>
    </row>
    <row r="26" spans="11:16">
      <c r="K26" s="1">
        <f t="shared" si="2"/>
        <v>1.6800000000000004</v>
      </c>
      <c r="L26" s="1">
        <f t="shared" si="3"/>
        <v>3.2621833999579937</v>
      </c>
      <c r="M26" s="1">
        <f t="shared" si="4"/>
        <v>373.8812058246989</v>
      </c>
      <c r="N26" s="1">
        <f t="shared" si="0"/>
        <v>6.5154035356574699E-2</v>
      </c>
      <c r="O26" s="1">
        <f t="shared" si="5"/>
        <v>3.2621833999579937</v>
      </c>
      <c r="P26" s="1">
        <f t="shared" si="1"/>
        <v>1.957310039974796</v>
      </c>
    </row>
    <row r="27" spans="11:16">
      <c r="K27" s="1">
        <f t="shared" si="2"/>
        <v>1.7600000000000005</v>
      </c>
      <c r="L27" s="1">
        <f t="shared" si="3"/>
        <v>3.3273374353145684</v>
      </c>
      <c r="M27" s="1">
        <f t="shared" si="4"/>
        <v>373.95215109341746</v>
      </c>
      <c r="N27" s="1">
        <f t="shared" si="0"/>
        <v>6.0656543580922817E-2</v>
      </c>
      <c r="O27" s="1">
        <f t="shared" si="5"/>
        <v>3.3273374353145684</v>
      </c>
      <c r="P27" s="1">
        <f t="shared" si="1"/>
        <v>1.996402461188741</v>
      </c>
    </row>
    <row r="28" spans="11:16">
      <c r="K28" s="1">
        <f t="shared" si="2"/>
        <v>1.8400000000000005</v>
      </c>
      <c r="L28" s="1">
        <f t="shared" si="3"/>
        <v>3.3879939788954911</v>
      </c>
      <c r="M28" s="1">
        <f t="shared" si="4"/>
        <v>374.0171455569772</v>
      </c>
      <c r="N28" s="1">
        <f t="shared" si="0"/>
        <v>5.6468681375983751E-2</v>
      </c>
      <c r="O28" s="1">
        <f t="shared" si="5"/>
        <v>3.3879939788954911</v>
      </c>
      <c r="P28" s="1">
        <f t="shared" si="1"/>
        <v>2.0327963873372945</v>
      </c>
    </row>
    <row r="29" spans="11:16">
      <c r="K29" s="1">
        <f t="shared" si="2"/>
        <v>1.9200000000000006</v>
      </c>
      <c r="L29" s="1">
        <f t="shared" si="3"/>
        <v>3.444462660271475</v>
      </c>
      <c r="M29" s="1">
        <f t="shared" si="4"/>
        <v>374.07676965481591</v>
      </c>
      <c r="N29" s="1">
        <f t="shared" si="0"/>
        <v>5.2569266184378204E-2</v>
      </c>
      <c r="O29" s="1">
        <f t="shared" si="5"/>
        <v>3.444462660271475</v>
      </c>
      <c r="P29" s="1">
        <f t="shared" si="1"/>
        <v>2.0666775961628847</v>
      </c>
    </row>
    <row r="30" spans="11:16">
      <c r="K30" s="1">
        <f t="shared" si="2"/>
        <v>2.0000000000000004</v>
      </c>
      <c r="L30" s="1">
        <f t="shared" si="3"/>
        <v>3.4970319264558531</v>
      </c>
      <c r="M30" s="1">
        <f t="shared" si="4"/>
        <v>374.13153428420901</v>
      </c>
      <c r="N30" s="1">
        <f t="shared" si="0"/>
        <v>4.8938541213182918E-2</v>
      </c>
      <c r="O30" s="1">
        <f t="shared" si="5"/>
        <v>3.4970319264558531</v>
      </c>
      <c r="P30" s="1">
        <f t="shared" si="1"/>
        <v>2.0982191558735117</v>
      </c>
    </row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F3AA-3C91-DB4D-B29A-2FACB5E1B3F4}">
  <dimension ref="A1:W39"/>
  <sheetViews>
    <sheetView workbookViewId="0">
      <selection activeCell="H5" sqref="H5"/>
    </sheetView>
  </sheetViews>
  <sheetFormatPr baseColWidth="10" defaultRowHeight="16"/>
  <cols>
    <col min="1" max="1" width="10.83203125" style="2"/>
    <col min="2" max="2" width="22" customWidth="1"/>
    <col min="6" max="6" width="11" customWidth="1"/>
    <col min="7" max="7" width="10.83203125" style="1"/>
  </cols>
  <sheetData>
    <row r="1" spans="1:23">
      <c r="B1" t="s">
        <v>9</v>
      </c>
    </row>
    <row r="2" spans="1:23" ht="17">
      <c r="A2" s="3" t="s">
        <v>11</v>
      </c>
      <c r="B2" t="s">
        <v>7</v>
      </c>
      <c r="C2" s="12">
        <v>20</v>
      </c>
      <c r="D2" t="s">
        <v>36</v>
      </c>
      <c r="G2" s="2" t="s">
        <v>21</v>
      </c>
      <c r="H2" s="12">
        <v>1</v>
      </c>
      <c r="I2" t="s">
        <v>30</v>
      </c>
      <c r="J2" s="2" t="s">
        <v>14</v>
      </c>
      <c r="K2">
        <f>(H5+1)*(H4*(1+TAN(C12)/TAN(C11))-1)</f>
        <v>8.48</v>
      </c>
    </row>
    <row r="3" spans="1:23">
      <c r="A3" s="4" t="s">
        <v>12</v>
      </c>
      <c r="B3" t="s">
        <v>8</v>
      </c>
      <c r="C3" s="12">
        <v>20</v>
      </c>
      <c r="D3" t="s">
        <v>36</v>
      </c>
      <c r="G3" s="1" t="s">
        <v>24</v>
      </c>
      <c r="H3" s="12">
        <v>0.05</v>
      </c>
      <c r="I3" t="s">
        <v>30</v>
      </c>
      <c r="J3" s="2" t="s">
        <v>25</v>
      </c>
      <c r="K3">
        <f>H2/TAN(C11)/2</f>
        <v>1.3737387097273113</v>
      </c>
      <c r="L3" t="s">
        <v>30</v>
      </c>
    </row>
    <row r="4" spans="1:23">
      <c r="A4" s="3" t="s">
        <v>4</v>
      </c>
      <c r="B4" t="s">
        <v>10</v>
      </c>
      <c r="C4" s="12">
        <v>50</v>
      </c>
      <c r="D4" t="s">
        <v>36</v>
      </c>
      <c r="G4" s="2" t="s">
        <v>6</v>
      </c>
      <c r="H4" s="12">
        <v>2.62</v>
      </c>
      <c r="J4" s="2" t="s">
        <v>22</v>
      </c>
      <c r="K4">
        <f>(H2-H3)/2/TAN(C11)</f>
        <v>1.3050517742409455</v>
      </c>
      <c r="L4" t="s">
        <v>30</v>
      </c>
    </row>
    <row r="5" spans="1:23">
      <c r="A5" s="3"/>
      <c r="C5" s="11"/>
      <c r="G5" s="2" t="s">
        <v>0</v>
      </c>
      <c r="H5" s="12">
        <v>1</v>
      </c>
      <c r="I5" t="s">
        <v>3</v>
      </c>
      <c r="J5" s="10" t="s">
        <v>23</v>
      </c>
      <c r="K5">
        <f>K4/25</f>
        <v>5.2202070969637825E-2</v>
      </c>
      <c r="L5" t="s">
        <v>30</v>
      </c>
    </row>
    <row r="6" spans="1:23" ht="18">
      <c r="A6" s="14" t="s">
        <v>15</v>
      </c>
      <c r="B6" s="9"/>
      <c r="C6" s="11"/>
      <c r="G6" s="16" t="s">
        <v>19</v>
      </c>
      <c r="H6" s="21">
        <f>Cylinder!L30</f>
        <v>3.4970319264558531</v>
      </c>
      <c r="I6" t="s">
        <v>31</v>
      </c>
    </row>
    <row r="7" spans="1:23" ht="20">
      <c r="A7" s="15" t="s">
        <v>20</v>
      </c>
      <c r="C7" s="22">
        <f>Cylinder!C6</f>
        <v>350</v>
      </c>
      <c r="D7" t="s">
        <v>33</v>
      </c>
      <c r="I7" s="7" t="s">
        <v>34</v>
      </c>
      <c r="T7" t="s">
        <v>39</v>
      </c>
    </row>
    <row r="8" spans="1:23">
      <c r="A8" s="15" t="s">
        <v>16</v>
      </c>
      <c r="C8" s="22">
        <f>Cylinder!C7</f>
        <v>20</v>
      </c>
      <c r="D8" t="s">
        <v>32</v>
      </c>
      <c r="G8" s="2"/>
      <c r="T8" s="11">
        <f>Cylinder!H1</f>
        <v>2</v>
      </c>
    </row>
    <row r="9" spans="1:23">
      <c r="A9" s="15" t="s">
        <v>17</v>
      </c>
      <c r="C9" s="22">
        <f>Cylinder!C8</f>
        <v>0.15</v>
      </c>
    </row>
    <row r="10" spans="1:23" ht="20">
      <c r="G10" s="2" t="s">
        <v>26</v>
      </c>
      <c r="H10" s="17" t="s">
        <v>27</v>
      </c>
      <c r="I10" s="16" t="s">
        <v>28</v>
      </c>
      <c r="J10" s="15" t="s">
        <v>29</v>
      </c>
      <c r="K10" s="5" t="s">
        <v>35</v>
      </c>
      <c r="L10" s="16" t="s">
        <v>28</v>
      </c>
      <c r="M10" s="16" t="s">
        <v>38</v>
      </c>
      <c r="O10" s="8"/>
      <c r="P10" s="8"/>
      <c r="Q10" s="8"/>
      <c r="R10" s="8"/>
      <c r="S10" s="8"/>
      <c r="T10" s="8"/>
      <c r="U10" s="16" t="s">
        <v>28</v>
      </c>
      <c r="V10" s="16" t="s">
        <v>38</v>
      </c>
      <c r="W10" s="16" t="s">
        <v>40</v>
      </c>
    </row>
    <row r="11" spans="1:23" ht="17">
      <c r="A11" s="3" t="s">
        <v>11</v>
      </c>
      <c r="B11" t="s">
        <v>7</v>
      </c>
      <c r="C11">
        <f>RADIANS(C2)</f>
        <v>0.3490658503988659</v>
      </c>
      <c r="D11" t="s">
        <v>37</v>
      </c>
      <c r="G11" s="1">
        <f>K4</f>
        <v>1.3050517742409455</v>
      </c>
      <c r="H11" s="18">
        <f>K3</f>
        <v>1.3737387097273113</v>
      </c>
      <c r="I11" s="1">
        <f>H6</f>
        <v>3.4970319264558531</v>
      </c>
      <c r="J11" s="1">
        <f t="shared" ref="J11:J36" si="0">$C$7+$C$8*I11^$C$9</f>
        <v>374.13153428420901</v>
      </c>
      <c r="K11" s="1">
        <f t="shared" ref="K11:K36" si="1">-($K$2*I11/H11-9.8*J11/1000)*$K$5</f>
        <v>-0.93548524711523329</v>
      </c>
      <c r="L11">
        <f t="shared" ref="L11:L36" si="2">I11</f>
        <v>3.4970319264558531</v>
      </c>
      <c r="M11">
        <f t="shared" ref="M11:M36" si="3">L11*$H$4</f>
        <v>9.1622236473143364</v>
      </c>
      <c r="O11" s="8"/>
      <c r="P11" s="8"/>
      <c r="Q11" s="8"/>
      <c r="R11" s="8"/>
      <c r="S11" s="8"/>
      <c r="T11">
        <f>T8</f>
        <v>2</v>
      </c>
      <c r="U11">
        <f t="shared" ref="U11:U36" si="4">L11</f>
        <v>3.4970319264558531</v>
      </c>
      <c r="V11">
        <f t="shared" ref="V11:V36" si="5">M11</f>
        <v>9.1622236473143364</v>
      </c>
      <c r="W11">
        <f>V11/COS($E$19)</f>
        <v>10.097330312691671</v>
      </c>
    </row>
    <row r="12" spans="1:23">
      <c r="A12" s="4" t="s">
        <v>12</v>
      </c>
      <c r="B12" t="s">
        <v>8</v>
      </c>
      <c r="C12">
        <f>RADIANS(C3)</f>
        <v>0.3490658503988659</v>
      </c>
      <c r="D12" t="s">
        <v>37</v>
      </c>
      <c r="G12" s="1">
        <f t="shared" ref="G12:G36" si="6">G11-$K$5</f>
        <v>1.2528497032713077</v>
      </c>
      <c r="H12" s="1">
        <f t="shared" ref="H12:H36" si="7">H11-$K$5</f>
        <v>1.3215366387576735</v>
      </c>
      <c r="I12" s="1">
        <f>I11+K11</f>
        <v>2.5615466793406201</v>
      </c>
      <c r="J12" s="1">
        <f t="shared" si="0"/>
        <v>373.03060447339499</v>
      </c>
      <c r="K12" s="1">
        <f t="shared" si="1"/>
        <v>-0.66720314879807341</v>
      </c>
      <c r="L12">
        <f t="shared" si="2"/>
        <v>2.5615466793406201</v>
      </c>
      <c r="M12">
        <f t="shared" si="3"/>
        <v>6.7112522998724247</v>
      </c>
      <c r="O12" s="8"/>
      <c r="P12" s="8"/>
      <c r="Q12" s="8"/>
      <c r="R12" s="8"/>
      <c r="S12" s="8"/>
      <c r="T12">
        <f>T11+$K$5</f>
        <v>2.052202070969638</v>
      </c>
      <c r="U12">
        <f t="shared" si="4"/>
        <v>2.5615466793406201</v>
      </c>
      <c r="V12">
        <f t="shared" si="5"/>
        <v>6.7112522998724247</v>
      </c>
      <c r="W12">
        <f t="shared" ref="W12:W36" si="8">V12/COS($E$19)</f>
        <v>7.3962101223633914</v>
      </c>
    </row>
    <row r="13" spans="1:23">
      <c r="A13" s="3" t="s">
        <v>4</v>
      </c>
      <c r="B13" t="s">
        <v>10</v>
      </c>
      <c r="C13">
        <f>RADIANS(C4)</f>
        <v>0.87266462599716477</v>
      </c>
      <c r="D13" t="s">
        <v>37</v>
      </c>
      <c r="G13" s="1">
        <f t="shared" si="6"/>
        <v>1.2006476323016699</v>
      </c>
      <c r="H13" s="1">
        <f t="shared" si="7"/>
        <v>1.2693345677880357</v>
      </c>
      <c r="I13" s="1">
        <f t="shared" ref="I13:I17" si="9">I12+K12</f>
        <v>1.8943435305425467</v>
      </c>
      <c r="J13" s="1">
        <f t="shared" si="0"/>
        <v>372.01145780384383</v>
      </c>
      <c r="K13" s="1">
        <f t="shared" si="1"/>
        <v>-0.4703283239864447</v>
      </c>
      <c r="L13">
        <f t="shared" si="2"/>
        <v>1.8943435305425467</v>
      </c>
      <c r="M13">
        <f t="shared" si="3"/>
        <v>4.9631800500214727</v>
      </c>
      <c r="O13" s="8"/>
      <c r="P13" s="8"/>
      <c r="Q13" s="8"/>
      <c r="R13" s="8"/>
      <c r="S13" s="8"/>
      <c r="T13">
        <f t="shared" ref="T13:T36" si="10">T12+$K$5</f>
        <v>2.1044041419392761</v>
      </c>
      <c r="U13">
        <f t="shared" si="4"/>
        <v>1.8943435305425467</v>
      </c>
      <c r="V13">
        <f t="shared" si="5"/>
        <v>4.9631800500214727</v>
      </c>
      <c r="W13">
        <f t="shared" si="8"/>
        <v>5.4697276878979295</v>
      </c>
    </row>
    <row r="14" spans="1:23">
      <c r="A14" s="6" t="s">
        <v>2</v>
      </c>
      <c r="G14" s="1">
        <f t="shared" si="6"/>
        <v>1.1484455613320321</v>
      </c>
      <c r="H14" s="1">
        <f t="shared" si="7"/>
        <v>1.2171324968183979</v>
      </c>
      <c r="I14" s="1">
        <f t="shared" si="9"/>
        <v>1.424015206556102</v>
      </c>
      <c r="J14" s="1">
        <f t="shared" si="0"/>
        <v>371.08905841193916</v>
      </c>
      <c r="K14" s="1">
        <f t="shared" si="1"/>
        <v>-0.32807537349749927</v>
      </c>
      <c r="L14">
        <f t="shared" si="2"/>
        <v>1.424015206556102</v>
      </c>
      <c r="M14">
        <f t="shared" si="3"/>
        <v>3.7309198411769873</v>
      </c>
      <c r="O14" s="8"/>
      <c r="P14" s="8"/>
      <c r="Q14" s="8"/>
      <c r="R14" s="8"/>
      <c r="S14" s="8"/>
      <c r="T14">
        <f t="shared" si="10"/>
        <v>2.1566062129089141</v>
      </c>
      <c r="U14">
        <f t="shared" si="4"/>
        <v>1.424015206556102</v>
      </c>
      <c r="V14">
        <f t="shared" si="5"/>
        <v>3.7309198411769873</v>
      </c>
      <c r="W14">
        <f t="shared" si="8"/>
        <v>4.111701641072889</v>
      </c>
    </row>
    <row r="15" spans="1:23">
      <c r="A15" s="3" t="s">
        <v>5</v>
      </c>
      <c r="C15">
        <f>C12+ASIN(SIN(C12)/SIN(C13))</f>
        <v>0.81188851219057301</v>
      </c>
      <c r="D15" t="s">
        <v>37</v>
      </c>
      <c r="G15" s="1">
        <f t="shared" si="6"/>
        <v>1.0962434903623943</v>
      </c>
      <c r="H15" s="1">
        <f t="shared" si="7"/>
        <v>1.1649304258487601</v>
      </c>
      <c r="I15" s="1">
        <f t="shared" si="9"/>
        <v>1.0959398330586028</v>
      </c>
      <c r="J15" s="1">
        <f t="shared" si="0"/>
        <v>370.27673393291008</v>
      </c>
      <c r="K15" s="1">
        <f t="shared" si="1"/>
        <v>-0.22703085559918856</v>
      </c>
      <c r="L15">
        <f t="shared" si="2"/>
        <v>1.0959398330586028</v>
      </c>
      <c r="M15">
        <f t="shared" si="3"/>
        <v>2.8713623626135392</v>
      </c>
      <c r="O15" s="8"/>
      <c r="P15" s="8"/>
      <c r="Q15" s="8"/>
      <c r="R15" s="8"/>
      <c r="S15" s="8"/>
      <c r="T15">
        <f t="shared" si="10"/>
        <v>2.2088082838785521</v>
      </c>
      <c r="U15">
        <f t="shared" si="4"/>
        <v>1.0959398330586028</v>
      </c>
      <c r="V15">
        <f t="shared" si="5"/>
        <v>2.8713623626135392</v>
      </c>
      <c r="W15">
        <f t="shared" si="8"/>
        <v>3.1644167768419647</v>
      </c>
    </row>
    <row r="16" spans="1:23">
      <c r="A16" s="2" t="s">
        <v>6</v>
      </c>
      <c r="B16" t="s">
        <v>18</v>
      </c>
      <c r="C16" s="19">
        <f>(1+SIN(C13)*COS(C15))/(1-SIN(C13)*COS(2*C11+C15))</f>
        <v>1.6016606303029064</v>
      </c>
      <c r="G16" s="1">
        <f t="shared" si="6"/>
        <v>1.0440414193927565</v>
      </c>
      <c r="H16" s="1">
        <f t="shared" si="7"/>
        <v>1.1127283548791223</v>
      </c>
      <c r="I16" s="1">
        <f t="shared" si="9"/>
        <v>0.8689089774594142</v>
      </c>
      <c r="J16" s="1">
        <f t="shared" si="0"/>
        <v>369.58286086598332</v>
      </c>
      <c r="K16" s="1">
        <f t="shared" si="1"/>
        <v>-0.15660428205581273</v>
      </c>
      <c r="L16">
        <f t="shared" si="2"/>
        <v>0.8689089774594142</v>
      </c>
      <c r="M16">
        <f t="shared" si="3"/>
        <v>2.2765415209436655</v>
      </c>
      <c r="O16" s="8"/>
      <c r="P16" s="8"/>
      <c r="Q16" s="8"/>
      <c r="R16" s="8"/>
      <c r="S16" s="8"/>
      <c r="T16">
        <f t="shared" si="10"/>
        <v>2.2610103548481901</v>
      </c>
      <c r="U16">
        <f t="shared" si="4"/>
        <v>0.8689089774594142</v>
      </c>
      <c r="V16">
        <f t="shared" si="5"/>
        <v>2.2765415209436655</v>
      </c>
      <c r="W16">
        <f t="shared" si="8"/>
        <v>2.5088878630749973</v>
      </c>
    </row>
    <row r="17" spans="1:23">
      <c r="G17" s="1">
        <f t="shared" si="6"/>
        <v>0.99183934842311872</v>
      </c>
      <c r="H17" s="1">
        <f t="shared" si="7"/>
        <v>1.0605262839094844</v>
      </c>
      <c r="I17" s="1">
        <f t="shared" si="9"/>
        <v>0.71230469540360142</v>
      </c>
      <c r="J17" s="1">
        <f t="shared" si="0"/>
        <v>369.00771303752333</v>
      </c>
      <c r="K17" s="1">
        <f t="shared" si="1"/>
        <v>-0.10854554823927</v>
      </c>
      <c r="L17">
        <f t="shared" si="2"/>
        <v>0.71230469540360142</v>
      </c>
      <c r="M17">
        <f t="shared" si="3"/>
        <v>1.8662383019574358</v>
      </c>
      <c r="O17" s="8"/>
      <c r="P17" s="8"/>
      <c r="Q17" s="8"/>
      <c r="R17" s="8"/>
      <c r="S17" s="8"/>
      <c r="T17">
        <f t="shared" si="10"/>
        <v>2.3132124258178282</v>
      </c>
      <c r="U17">
        <f t="shared" si="4"/>
        <v>0.71230469540360142</v>
      </c>
      <c r="V17">
        <f t="shared" si="5"/>
        <v>1.8662383019574358</v>
      </c>
      <c r="W17">
        <f t="shared" si="8"/>
        <v>2.056708644367645</v>
      </c>
    </row>
    <row r="18" spans="1:23">
      <c r="A18" s="6" t="s">
        <v>1</v>
      </c>
      <c r="E18">
        <f>1/(1+TAN(C12)/TAN(C11))</f>
        <v>0.5</v>
      </c>
      <c r="F18" t="s">
        <v>3</v>
      </c>
      <c r="G18" s="1">
        <f t="shared" si="6"/>
        <v>0.93963727745348091</v>
      </c>
      <c r="H18" s="1">
        <f t="shared" si="7"/>
        <v>1.0083242129398466</v>
      </c>
      <c r="I18" s="1">
        <f t="shared" ref="I18:I25" si="11">I17+K17</f>
        <v>0.60375914716433143</v>
      </c>
      <c r="J18" s="1">
        <f t="shared" si="0"/>
        <v>368.54212712136717</v>
      </c>
      <c r="K18" s="1">
        <f t="shared" si="1"/>
        <v>-7.6522891149334665E-2</v>
      </c>
      <c r="L18">
        <f t="shared" si="2"/>
        <v>0.60375914716433143</v>
      </c>
      <c r="M18">
        <f t="shared" si="3"/>
        <v>1.5818489655705483</v>
      </c>
      <c r="O18" s="8"/>
      <c r="P18" s="8"/>
      <c r="Q18" s="8"/>
      <c r="R18" s="8"/>
      <c r="S18" s="8"/>
      <c r="T18">
        <f t="shared" si="10"/>
        <v>2.3654144967874662</v>
      </c>
      <c r="U18">
        <f t="shared" si="4"/>
        <v>0.60375914716433143</v>
      </c>
      <c r="V18">
        <f t="shared" si="5"/>
        <v>1.5818489655705483</v>
      </c>
      <c r="W18">
        <f t="shared" si="8"/>
        <v>1.7432942181931308</v>
      </c>
    </row>
    <row r="19" spans="1:23">
      <c r="A19" s="5" t="s">
        <v>5</v>
      </c>
      <c r="B19" t="s">
        <v>3</v>
      </c>
      <c r="C19">
        <f>C11+0.5*(C12+ASIN(SIN(C12)/SIN(C13)))</f>
        <v>0.75501010649415234</v>
      </c>
      <c r="D19" t="s">
        <v>37</v>
      </c>
      <c r="E19">
        <f>SIN(C13)/(1+SIN(C13))</f>
        <v>0.43376283428410289</v>
      </c>
      <c r="G19" s="1">
        <f t="shared" si="6"/>
        <v>0.88743520648384311</v>
      </c>
      <c r="H19" s="1">
        <f t="shared" si="7"/>
        <v>0.95612214197020884</v>
      </c>
      <c r="I19" s="1">
        <f t="shared" si="11"/>
        <v>0.5272362560149968</v>
      </c>
      <c r="J19" s="1">
        <f t="shared" si="0"/>
        <v>368.16898999513262</v>
      </c>
      <c r="K19" s="1">
        <f t="shared" si="1"/>
        <v>-5.5756325651543974E-2</v>
      </c>
      <c r="L19">
        <f t="shared" si="2"/>
        <v>0.5272362560149968</v>
      </c>
      <c r="M19">
        <f t="shared" si="3"/>
        <v>1.3813589907592916</v>
      </c>
      <c r="O19" s="8"/>
      <c r="P19" s="8"/>
      <c r="Q19" s="8"/>
      <c r="R19" s="8"/>
      <c r="S19" s="8"/>
      <c r="T19">
        <f t="shared" si="10"/>
        <v>2.4176165677571042</v>
      </c>
      <c r="U19">
        <f t="shared" si="4"/>
        <v>0.5272362560149968</v>
      </c>
      <c r="V19">
        <f t="shared" si="5"/>
        <v>1.3813589907592916</v>
      </c>
      <c r="W19">
        <f t="shared" si="8"/>
        <v>1.5223420151058489</v>
      </c>
    </row>
    <row r="20" spans="1:23">
      <c r="A20" s="2" t="s">
        <v>6</v>
      </c>
      <c r="B20" t="s">
        <v>18</v>
      </c>
      <c r="C20" s="19">
        <f>E21</f>
        <v>1.8647221155338527</v>
      </c>
      <c r="E20">
        <f>COS(C19)*SIN(C19-C11)/SIN(C11)</f>
        <v>0.84083302373243352</v>
      </c>
      <c r="G20" s="1">
        <f t="shared" si="6"/>
        <v>0.8352331355142053</v>
      </c>
      <c r="H20" s="1">
        <f t="shared" si="7"/>
        <v>0.90392007100057103</v>
      </c>
      <c r="I20" s="1">
        <f t="shared" si="11"/>
        <v>0.47147993036345281</v>
      </c>
      <c r="J20" s="1">
        <f t="shared" si="0"/>
        <v>367.8669111316342</v>
      </c>
      <c r="K20" s="1">
        <f t="shared" si="1"/>
        <v>-4.2702726503052818E-2</v>
      </c>
      <c r="L20">
        <f t="shared" si="2"/>
        <v>0.47147993036345281</v>
      </c>
      <c r="M20">
        <f t="shared" si="3"/>
        <v>1.2352774175522465</v>
      </c>
      <c r="O20" s="8"/>
      <c r="P20" s="8"/>
      <c r="Q20" s="8"/>
      <c r="R20" s="8"/>
      <c r="S20" s="8"/>
      <c r="T20">
        <f t="shared" si="10"/>
        <v>2.4698186387267422</v>
      </c>
      <c r="U20">
        <f t="shared" si="4"/>
        <v>0.47147993036345281</v>
      </c>
      <c r="V20">
        <f t="shared" si="5"/>
        <v>1.2352774175522465</v>
      </c>
      <c r="W20">
        <f t="shared" si="8"/>
        <v>1.361351195186107</v>
      </c>
    </row>
    <row r="21" spans="1:23">
      <c r="C21" t="s">
        <v>3</v>
      </c>
      <c r="E21">
        <f>E18*(1+2*(1+E19*E20))</f>
        <v>1.8647221155338527</v>
      </c>
      <c r="G21" s="1">
        <f t="shared" si="6"/>
        <v>0.7830310645445675</v>
      </c>
      <c r="H21" s="1">
        <f t="shared" si="7"/>
        <v>0.85171800003093323</v>
      </c>
      <c r="I21" s="1">
        <f t="shared" si="11"/>
        <v>0.42877720386039997</v>
      </c>
      <c r="J21" s="1">
        <f t="shared" si="0"/>
        <v>367.61427404389786</v>
      </c>
      <c r="K21" s="1">
        <f t="shared" si="1"/>
        <v>-3.478927487947038E-2</v>
      </c>
      <c r="L21">
        <f t="shared" si="2"/>
        <v>0.42877720386039997</v>
      </c>
      <c r="M21">
        <f t="shared" si="3"/>
        <v>1.123396274114248</v>
      </c>
      <c r="O21" s="8"/>
      <c r="P21" s="8"/>
      <c r="Q21" s="8"/>
      <c r="R21" s="8"/>
      <c r="S21" s="8"/>
      <c r="T21">
        <f t="shared" si="10"/>
        <v>2.5220207096963803</v>
      </c>
      <c r="U21">
        <f t="shared" si="4"/>
        <v>0.42877720386039997</v>
      </c>
      <c r="V21">
        <f t="shared" si="5"/>
        <v>1.123396274114248</v>
      </c>
      <c r="W21">
        <f t="shared" si="8"/>
        <v>1.2380513386729723</v>
      </c>
    </row>
    <row r="22" spans="1:23">
      <c r="A22" s="6" t="s">
        <v>13</v>
      </c>
      <c r="G22" s="1">
        <f t="shared" si="6"/>
        <v>0.7308289935749297</v>
      </c>
      <c r="H22" s="1">
        <f t="shared" si="7"/>
        <v>0.79951592906129543</v>
      </c>
      <c r="I22" s="1">
        <f t="shared" si="11"/>
        <v>0.3939879289809296</v>
      </c>
      <c r="J22" s="1">
        <f t="shared" si="0"/>
        <v>367.39211638915737</v>
      </c>
      <c r="K22" s="1">
        <f t="shared" si="1"/>
        <v>-3.0191477609365296E-2</v>
      </c>
      <c r="L22">
        <f t="shared" si="2"/>
        <v>0.3939879289809296</v>
      </c>
      <c r="M22">
        <f t="shared" si="3"/>
        <v>1.0322483739300357</v>
      </c>
      <c r="O22" s="8"/>
      <c r="P22" s="8"/>
      <c r="Q22" s="8"/>
      <c r="R22" s="8"/>
      <c r="S22" s="8"/>
      <c r="T22">
        <f t="shared" si="10"/>
        <v>2.5742227806660183</v>
      </c>
      <c r="U22">
        <f t="shared" si="4"/>
        <v>0.3939879289809296</v>
      </c>
      <c r="V22">
        <f t="shared" si="5"/>
        <v>1.0322483739300357</v>
      </c>
      <c r="W22">
        <f t="shared" si="8"/>
        <v>1.1376007831205526</v>
      </c>
    </row>
    <row r="23" spans="1:23">
      <c r="A23" s="2" t="s">
        <v>6</v>
      </c>
      <c r="C23" s="19">
        <f>1-0.2/(1+TAN(C11)/TAN(C12))</f>
        <v>0.9</v>
      </c>
      <c r="G23" s="1">
        <f t="shared" si="6"/>
        <v>0.67862692260529189</v>
      </c>
      <c r="H23" s="1">
        <f t="shared" si="7"/>
        <v>0.74731385809165762</v>
      </c>
      <c r="I23" s="1">
        <f t="shared" si="11"/>
        <v>0.3637964513715643</v>
      </c>
      <c r="J23" s="1">
        <f t="shared" si="0"/>
        <v>367.18536515350092</v>
      </c>
      <c r="K23" s="1">
        <f t="shared" si="1"/>
        <v>-2.7651100350105616E-2</v>
      </c>
      <c r="L23">
        <f t="shared" si="2"/>
        <v>0.3637964513715643</v>
      </c>
      <c r="M23">
        <f t="shared" si="3"/>
        <v>0.95314670259349854</v>
      </c>
      <c r="O23" s="8"/>
      <c r="P23" s="8"/>
      <c r="Q23" s="8"/>
      <c r="R23" s="8"/>
      <c r="S23" s="8"/>
      <c r="T23">
        <f t="shared" si="10"/>
        <v>2.6264248516356563</v>
      </c>
      <c r="U23">
        <f t="shared" si="4"/>
        <v>0.3637964513715643</v>
      </c>
      <c r="V23">
        <f t="shared" si="5"/>
        <v>0.95314670259349854</v>
      </c>
      <c r="W23">
        <f t="shared" si="8"/>
        <v>1.0504259078373988</v>
      </c>
    </row>
    <row r="24" spans="1:23">
      <c r="A24"/>
      <c r="G24" s="1">
        <f t="shared" si="6"/>
        <v>0.62642485163565409</v>
      </c>
      <c r="H24" s="1">
        <f t="shared" si="7"/>
        <v>0.69511178712201982</v>
      </c>
      <c r="I24" s="1">
        <f t="shared" si="11"/>
        <v>0.3361453510214587</v>
      </c>
      <c r="J24" s="1">
        <f t="shared" si="0"/>
        <v>366.98279088614765</v>
      </c>
      <c r="K24" s="1">
        <f t="shared" si="1"/>
        <v>-2.6328949847025586E-2</v>
      </c>
      <c r="L24">
        <f t="shared" si="2"/>
        <v>0.3361453510214587</v>
      </c>
      <c r="M24">
        <f t="shared" si="3"/>
        <v>0.88070081967622182</v>
      </c>
      <c r="O24" s="8"/>
      <c r="P24" s="8"/>
      <c r="Q24" s="8"/>
      <c r="R24" s="8"/>
      <c r="S24" s="8"/>
      <c r="T24">
        <f t="shared" si="10"/>
        <v>2.6786269226052943</v>
      </c>
      <c r="U24">
        <f t="shared" si="4"/>
        <v>0.3361453510214587</v>
      </c>
      <c r="V24">
        <f t="shared" si="5"/>
        <v>0.88070081967622182</v>
      </c>
      <c r="W24">
        <f t="shared" si="8"/>
        <v>0.97058611809107975</v>
      </c>
    </row>
    <row r="25" spans="1:23">
      <c r="A25" t="s">
        <v>2</v>
      </c>
      <c r="C25" t="s">
        <v>1</v>
      </c>
      <c r="G25" s="1">
        <f t="shared" si="6"/>
        <v>0.57422278066601629</v>
      </c>
      <c r="H25" s="1">
        <f t="shared" si="7"/>
        <v>0.64290971615238202</v>
      </c>
      <c r="I25" s="1">
        <f t="shared" si="11"/>
        <v>0.3098164011744331</v>
      </c>
      <c r="J25" s="1">
        <f t="shared" si="0"/>
        <v>366.77627962922378</v>
      </c>
      <c r="K25" s="1">
        <f t="shared" si="1"/>
        <v>-2.5687638711447896E-2</v>
      </c>
      <c r="L25">
        <f t="shared" si="2"/>
        <v>0.3098164011744331</v>
      </c>
      <c r="M25">
        <f t="shared" si="3"/>
        <v>0.81171897107701474</v>
      </c>
      <c r="O25" s="8"/>
      <c r="P25" s="8"/>
      <c r="Q25" s="8"/>
      <c r="R25" s="8"/>
      <c r="S25" s="8"/>
      <c r="T25">
        <f t="shared" si="10"/>
        <v>2.7308289935749324</v>
      </c>
      <c r="U25">
        <f t="shared" si="4"/>
        <v>0.3098164011744331</v>
      </c>
      <c r="V25">
        <f t="shared" si="5"/>
        <v>0.81171897107701474</v>
      </c>
      <c r="W25">
        <f t="shared" si="8"/>
        <v>0.89456390583145529</v>
      </c>
    </row>
    <row r="26" spans="1:23">
      <c r="G26" s="1">
        <f t="shared" si="6"/>
        <v>0.52202070969637848</v>
      </c>
      <c r="H26" s="1">
        <f t="shared" si="7"/>
        <v>0.59070764518274421</v>
      </c>
      <c r="I26" s="1">
        <f t="shared" ref="I26:I34" si="12">I25+K25</f>
        <v>0.28412876246298518</v>
      </c>
      <c r="J26" s="1">
        <f t="shared" si="0"/>
        <v>366.55988344126717</v>
      </c>
      <c r="K26" s="1">
        <f t="shared" si="1"/>
        <v>-2.5399959570405875E-2</v>
      </c>
      <c r="L26">
        <f t="shared" si="2"/>
        <v>0.28412876246298518</v>
      </c>
      <c r="M26">
        <f t="shared" si="3"/>
        <v>0.74441735765302119</v>
      </c>
      <c r="O26" s="8"/>
      <c r="P26" s="8"/>
      <c r="Q26" s="8"/>
      <c r="R26" s="8"/>
      <c r="S26" s="8"/>
      <c r="T26">
        <f t="shared" si="10"/>
        <v>2.7830310645445704</v>
      </c>
      <c r="U26">
        <f t="shared" si="4"/>
        <v>0.28412876246298518</v>
      </c>
      <c r="V26">
        <f t="shared" si="5"/>
        <v>0.74441735765302119</v>
      </c>
      <c r="W26">
        <f t="shared" si="8"/>
        <v>0.82039341540489341</v>
      </c>
    </row>
    <row r="27" spans="1:23">
      <c r="G27" s="1">
        <f t="shared" si="6"/>
        <v>0.46981863872674068</v>
      </c>
      <c r="H27" s="1">
        <f t="shared" si="7"/>
        <v>0.53850557421310641</v>
      </c>
      <c r="I27" s="1">
        <f t="shared" si="12"/>
        <v>0.25872880289257932</v>
      </c>
      <c r="J27" s="1">
        <f t="shared" si="0"/>
        <v>366.32889184672666</v>
      </c>
      <c r="K27" s="1">
        <f t="shared" si="1"/>
        <v>-2.5278993594968081E-2</v>
      </c>
      <c r="L27">
        <f t="shared" si="2"/>
        <v>0.25872880289257932</v>
      </c>
      <c r="M27">
        <f t="shared" si="3"/>
        <v>0.67786946357855782</v>
      </c>
      <c r="O27" s="8"/>
      <c r="P27" s="8"/>
      <c r="Q27" s="8"/>
      <c r="R27" s="8"/>
      <c r="S27" s="8"/>
      <c r="T27">
        <f t="shared" si="10"/>
        <v>2.8352331355142084</v>
      </c>
      <c r="U27">
        <f t="shared" si="4"/>
        <v>0.25872880289257932</v>
      </c>
      <c r="V27">
        <f t="shared" si="5"/>
        <v>0.67786946357855782</v>
      </c>
      <c r="W27">
        <f t="shared" si="8"/>
        <v>0.74705356975717885</v>
      </c>
    </row>
    <row r="28" spans="1:23">
      <c r="G28" s="1">
        <f t="shared" si="6"/>
        <v>0.41761656775710287</v>
      </c>
      <c r="H28" s="1">
        <f t="shared" si="7"/>
        <v>0.4863035032434686</v>
      </c>
      <c r="I28" s="1">
        <f t="shared" si="12"/>
        <v>0.23344980929761125</v>
      </c>
      <c r="J28" s="1">
        <f t="shared" si="0"/>
        <v>366.07899959197545</v>
      </c>
      <c r="K28" s="1">
        <f t="shared" si="1"/>
        <v>-2.5226469946134571E-2</v>
      </c>
      <c r="L28">
        <f t="shared" si="2"/>
        <v>0.23344980929761125</v>
      </c>
      <c r="M28">
        <f t="shared" si="3"/>
        <v>0.61163850035974154</v>
      </c>
      <c r="O28" s="8"/>
      <c r="P28" s="8"/>
      <c r="Q28" s="8"/>
      <c r="R28" s="8"/>
      <c r="S28" s="8"/>
      <c r="T28">
        <f t="shared" si="10"/>
        <v>2.8874352064838464</v>
      </c>
      <c r="U28">
        <f t="shared" si="4"/>
        <v>0.23344980929761125</v>
      </c>
      <c r="V28">
        <f t="shared" si="5"/>
        <v>0.61163850035974154</v>
      </c>
      <c r="W28">
        <f t="shared" si="8"/>
        <v>0.67406300127829777</v>
      </c>
    </row>
    <row r="29" spans="1:23">
      <c r="G29" s="1">
        <f t="shared" si="6"/>
        <v>0.36541449678746507</v>
      </c>
      <c r="H29" s="1">
        <f t="shared" si="7"/>
        <v>0.4341014322738308</v>
      </c>
      <c r="I29" s="1">
        <f t="shared" si="12"/>
        <v>0.20822333935147669</v>
      </c>
      <c r="J29" s="1">
        <f t="shared" si="0"/>
        <v>365.80554249410085</v>
      </c>
      <c r="K29" s="1">
        <f t="shared" si="1"/>
        <v>-2.5196183843483516E-2</v>
      </c>
      <c r="L29">
        <f t="shared" si="2"/>
        <v>0.20822333935147669</v>
      </c>
      <c r="M29">
        <f t="shared" si="3"/>
        <v>0.54554514910086893</v>
      </c>
      <c r="O29" s="8"/>
      <c r="P29" s="8"/>
      <c r="Q29" s="8"/>
      <c r="R29" s="8"/>
      <c r="S29" s="8"/>
      <c r="T29">
        <f t="shared" si="10"/>
        <v>2.9396372774534845</v>
      </c>
      <c r="U29">
        <f t="shared" si="4"/>
        <v>0.20822333935147669</v>
      </c>
      <c r="V29">
        <f t="shared" si="5"/>
        <v>0.54554514910086893</v>
      </c>
      <c r="W29">
        <f t="shared" si="8"/>
        <v>0.60122408958798845</v>
      </c>
    </row>
    <row r="30" spans="1:23">
      <c r="G30" s="1">
        <f t="shared" si="6"/>
        <v>0.31321242581782727</v>
      </c>
      <c r="H30" s="1">
        <f t="shared" si="7"/>
        <v>0.381899361304193</v>
      </c>
      <c r="I30" s="1">
        <f t="shared" si="12"/>
        <v>0.18302715550799317</v>
      </c>
      <c r="J30" s="1">
        <f t="shared" si="0"/>
        <v>365.50269936890083</v>
      </c>
      <c r="K30" s="1">
        <f t="shared" si="1"/>
        <v>-2.5169512384071314E-2</v>
      </c>
      <c r="L30">
        <f t="shared" si="2"/>
        <v>0.18302715550799317</v>
      </c>
      <c r="M30">
        <f t="shared" si="3"/>
        <v>0.47953114743094211</v>
      </c>
      <c r="O30" s="8"/>
      <c r="P30" s="8"/>
      <c r="Q30" s="8"/>
      <c r="R30" s="8"/>
      <c r="S30" s="8"/>
      <c r="T30">
        <f t="shared" si="10"/>
        <v>2.9918393484231225</v>
      </c>
      <c r="U30">
        <f t="shared" si="4"/>
        <v>0.18302715550799317</v>
      </c>
      <c r="V30">
        <f t="shared" si="5"/>
        <v>0.47953114743094211</v>
      </c>
      <c r="W30">
        <f t="shared" si="8"/>
        <v>0.52847262599331657</v>
      </c>
    </row>
    <row r="31" spans="1:23">
      <c r="G31" s="1">
        <f t="shared" si="6"/>
        <v>0.26101035484818946</v>
      </c>
      <c r="H31" s="1">
        <f t="shared" si="7"/>
        <v>0.32969729033455519</v>
      </c>
      <c r="I31" s="1">
        <f t="shared" si="12"/>
        <v>0.15785764312392186</v>
      </c>
      <c r="J31" s="1">
        <f t="shared" si="0"/>
        <v>365.16246592287831</v>
      </c>
      <c r="K31" s="1">
        <f t="shared" si="1"/>
        <v>-2.5140273277822422E-2</v>
      </c>
      <c r="L31">
        <f t="shared" si="2"/>
        <v>0.15785764312392186</v>
      </c>
      <c r="M31">
        <f t="shared" si="3"/>
        <v>0.41358702498467531</v>
      </c>
      <c r="O31" s="8"/>
      <c r="P31" s="8"/>
      <c r="Q31" s="8"/>
      <c r="R31" s="8"/>
      <c r="S31" s="8"/>
      <c r="T31">
        <f t="shared" si="10"/>
        <v>3.0440414193927605</v>
      </c>
      <c r="U31">
        <f t="shared" si="4"/>
        <v>0.15785764312392186</v>
      </c>
      <c r="V31">
        <f t="shared" si="5"/>
        <v>0.41358702498467531</v>
      </c>
      <c r="W31">
        <f t="shared" si="8"/>
        <v>0.45579817357305502</v>
      </c>
    </row>
    <row r="32" spans="1:23">
      <c r="G32" s="1">
        <f t="shared" si="6"/>
        <v>0.20880828387855163</v>
      </c>
      <c r="H32" s="1">
        <f t="shared" si="7"/>
        <v>0.27749521936491739</v>
      </c>
      <c r="I32" s="1">
        <f t="shared" si="12"/>
        <v>0.13271736984609944</v>
      </c>
      <c r="J32" s="1">
        <f t="shared" si="0"/>
        <v>364.77301574245678</v>
      </c>
      <c r="K32" s="1">
        <f t="shared" si="1"/>
        <v>-2.5106368553802407E-2</v>
      </c>
      <c r="L32">
        <f t="shared" si="2"/>
        <v>0.13271736984609944</v>
      </c>
      <c r="M32">
        <f t="shared" si="3"/>
        <v>0.34771950899678056</v>
      </c>
      <c r="O32" s="8"/>
      <c r="P32" s="8"/>
      <c r="Q32" s="8"/>
      <c r="R32" s="8"/>
      <c r="S32" s="8"/>
      <c r="T32">
        <f t="shared" si="10"/>
        <v>3.0962434903623985</v>
      </c>
      <c r="U32">
        <f t="shared" si="4"/>
        <v>0.13271736984609944</v>
      </c>
      <c r="V32">
        <f t="shared" si="5"/>
        <v>0.34771950899678056</v>
      </c>
      <c r="W32">
        <f t="shared" si="8"/>
        <v>0.38320814615092097</v>
      </c>
    </row>
    <row r="33" spans="1:23">
      <c r="G33" s="1">
        <f t="shared" si="6"/>
        <v>0.1566062129089138</v>
      </c>
      <c r="H33" s="1">
        <f t="shared" si="7"/>
        <v>0.22529314839527956</v>
      </c>
      <c r="I33" s="1">
        <f t="shared" si="12"/>
        <v>0.10761100129229703</v>
      </c>
      <c r="J33" s="1">
        <f t="shared" si="0"/>
        <v>364.3155651087456</v>
      </c>
      <c r="K33" s="1">
        <f t="shared" si="1"/>
        <v>-2.5065829792048279E-2</v>
      </c>
      <c r="L33">
        <f t="shared" si="2"/>
        <v>0.10761100129229703</v>
      </c>
      <c r="M33">
        <f t="shared" si="3"/>
        <v>0.28194082338581822</v>
      </c>
      <c r="O33" s="8"/>
      <c r="P33" s="8"/>
      <c r="Q33" s="8"/>
      <c r="R33" s="8"/>
      <c r="S33" s="8"/>
      <c r="T33">
        <f t="shared" si="10"/>
        <v>3.1484455613320366</v>
      </c>
      <c r="U33">
        <f t="shared" si="4"/>
        <v>0.10761100129229703</v>
      </c>
      <c r="V33">
        <f t="shared" si="5"/>
        <v>0.28194082338581822</v>
      </c>
      <c r="W33">
        <f t="shared" si="8"/>
        <v>0.31071601523210468</v>
      </c>
    </row>
    <row r="34" spans="1:23">
      <c r="G34" s="1">
        <f t="shared" si="6"/>
        <v>0.10440414193927597</v>
      </c>
      <c r="H34" s="1">
        <f t="shared" si="7"/>
        <v>0.17309107742564173</v>
      </c>
      <c r="I34" s="1">
        <f t="shared" si="12"/>
        <v>8.254517150024876E-2</v>
      </c>
      <c r="J34" s="1">
        <f t="shared" si="0"/>
        <v>363.75731707159338</v>
      </c>
      <c r="K34" s="1">
        <f t="shared" si="1"/>
        <v>-2.5014924751177517E-2</v>
      </c>
      <c r="L34">
        <f t="shared" si="2"/>
        <v>8.254517150024876E-2</v>
      </c>
      <c r="M34">
        <f t="shared" si="3"/>
        <v>0.21626834933065175</v>
      </c>
      <c r="O34" s="8"/>
      <c r="P34" s="8"/>
      <c r="Q34" s="8"/>
      <c r="R34" s="8"/>
      <c r="S34" s="8"/>
      <c r="T34">
        <f t="shared" si="10"/>
        <v>3.2006476323016746</v>
      </c>
      <c r="U34">
        <f t="shared" si="4"/>
        <v>8.254517150024876E-2</v>
      </c>
      <c r="V34">
        <f t="shared" si="5"/>
        <v>0.21626834933065175</v>
      </c>
      <c r="W34">
        <f t="shared" si="8"/>
        <v>0.23834093593778241</v>
      </c>
    </row>
    <row r="35" spans="1:23">
      <c r="A35" s="6" t="s">
        <v>13</v>
      </c>
      <c r="G35" s="1">
        <f t="shared" si="6"/>
        <v>5.2202070969638144E-2</v>
      </c>
      <c r="H35" s="1">
        <f t="shared" si="7"/>
        <v>0.12088900645600389</v>
      </c>
      <c r="I35" s="1">
        <f>I34+K34</f>
        <v>5.7530246749071243E-2</v>
      </c>
      <c r="J35" s="1">
        <f t="shared" si="0"/>
        <v>363.03210082108171</v>
      </c>
      <c r="K35" s="1">
        <f t="shared" si="1"/>
        <v>-2.4945234135310086E-2</v>
      </c>
      <c r="L35">
        <f t="shared" si="2"/>
        <v>5.7530246749071243E-2</v>
      </c>
      <c r="M35">
        <f t="shared" si="3"/>
        <v>0.15072924648256666</v>
      </c>
      <c r="O35" s="8"/>
      <c r="P35" s="8"/>
      <c r="Q35" s="8"/>
      <c r="R35" s="8"/>
      <c r="S35" s="8"/>
      <c r="T35">
        <f t="shared" si="10"/>
        <v>3.2528497032713126</v>
      </c>
      <c r="U35">
        <f t="shared" si="4"/>
        <v>5.7530246749071243E-2</v>
      </c>
      <c r="V35">
        <f t="shared" si="5"/>
        <v>0.15072924648256666</v>
      </c>
      <c r="W35">
        <f t="shared" si="8"/>
        <v>0.16611283986324848</v>
      </c>
    </row>
    <row r="36" spans="1:23">
      <c r="G36" s="1">
        <f t="shared" si="6"/>
        <v>3.1918911957973251E-16</v>
      </c>
      <c r="H36" s="1">
        <f t="shared" si="7"/>
        <v>6.8686935486366063E-2</v>
      </c>
      <c r="I36" s="1">
        <f>I35+K35</f>
        <v>3.2585012613761156E-2</v>
      </c>
      <c r="J36" s="1">
        <f t="shared" si="0"/>
        <v>361.96692804442154</v>
      </c>
      <c r="K36" s="1">
        <f t="shared" si="1"/>
        <v>-2.4828741282086907E-2</v>
      </c>
      <c r="L36">
        <f t="shared" si="2"/>
        <v>3.2585012613761156E-2</v>
      </c>
      <c r="M36">
        <f t="shared" si="3"/>
        <v>8.5372733048054233E-2</v>
      </c>
      <c r="O36" s="8"/>
      <c r="P36" s="8"/>
      <c r="Q36" s="8"/>
      <c r="R36" s="8"/>
      <c r="S36" s="8"/>
      <c r="T36">
        <f t="shared" si="10"/>
        <v>3.3050517742409506</v>
      </c>
      <c r="U36">
        <f t="shared" si="4"/>
        <v>3.2585012613761156E-2</v>
      </c>
      <c r="V36">
        <f t="shared" si="5"/>
        <v>8.5372733048054233E-2</v>
      </c>
      <c r="W36">
        <f t="shared" si="8"/>
        <v>9.4085968479511548E-2</v>
      </c>
    </row>
    <row r="37" spans="1:23">
      <c r="H37" s="1"/>
      <c r="I37" s="1"/>
      <c r="J37" s="1"/>
    </row>
    <row r="38" spans="1:23">
      <c r="H38" s="1"/>
      <c r="I38" s="1"/>
      <c r="J38" s="1"/>
    </row>
    <row r="39" spans="1:23">
      <c r="H39" s="1"/>
      <c r="I39" s="1"/>
      <c r="J39" s="1"/>
    </row>
  </sheetData>
  <sheetProtection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EE711-2528-064F-B165-2F2F6DF96EA0}">
  <dimension ref="A1:C54"/>
  <sheetViews>
    <sheetView topLeftCell="A33" workbookViewId="0">
      <selection activeCell="C53" sqref="A2:C53"/>
    </sheetView>
  </sheetViews>
  <sheetFormatPr baseColWidth="10" defaultRowHeight="16"/>
  <cols>
    <col min="1" max="3" width="10.83203125" style="1"/>
  </cols>
  <sheetData>
    <row r="1" spans="1:3" ht="18">
      <c r="A1" s="2" t="s">
        <v>47</v>
      </c>
      <c r="B1" s="16" t="s">
        <v>28</v>
      </c>
      <c r="C1" s="16" t="s">
        <v>38</v>
      </c>
    </row>
    <row r="2" spans="1:3">
      <c r="A2" s="1">
        <f>Cylinder!K5</f>
        <v>0</v>
      </c>
      <c r="B2" s="1">
        <f>Cylinder!O5</f>
        <v>0</v>
      </c>
      <c r="C2" s="1">
        <f>Cylinder!P5</f>
        <v>0</v>
      </c>
    </row>
    <row r="3" spans="1:3">
      <c r="A3" s="1">
        <f>Cylinder!K6</f>
        <v>0.08</v>
      </c>
      <c r="B3" s="1">
        <f>Cylinder!O6</f>
        <v>0.27440000000000003</v>
      </c>
      <c r="C3" s="1">
        <f>Cylinder!P6</f>
        <v>0.16464000000000001</v>
      </c>
    </row>
    <row r="4" spans="1:3">
      <c r="A4" s="1">
        <f>Cylinder!K7</f>
        <v>0.16</v>
      </c>
      <c r="B4" s="1">
        <f>Cylinder!O7</f>
        <v>0.54253957649330697</v>
      </c>
      <c r="C4" s="1">
        <f>Cylinder!P7</f>
        <v>0.32552374589598415</v>
      </c>
    </row>
    <row r="5" spans="1:3">
      <c r="A5" s="1">
        <f>Cylinder!K8</f>
        <v>0.24</v>
      </c>
      <c r="B5" s="1">
        <f>Cylinder!O8</f>
        <v>0.79333142583068905</v>
      </c>
      <c r="C5" s="1">
        <f>Cylinder!P8</f>
        <v>0.47599885549841342</v>
      </c>
    </row>
    <row r="6" spans="1:3">
      <c r="A6" s="1">
        <f>Cylinder!K9</f>
        <v>0.32</v>
      </c>
      <c r="B6" s="1">
        <f>Cylinder!O9</f>
        <v>1.027436437967153</v>
      </c>
      <c r="C6" s="1">
        <f>Cylinder!P9</f>
        <v>0.6164618627802918</v>
      </c>
    </row>
    <row r="7" spans="1:3">
      <c r="A7" s="1">
        <f>Cylinder!K10</f>
        <v>0.4</v>
      </c>
      <c r="B7" s="1">
        <f>Cylinder!O10</f>
        <v>1.2457806225434807</v>
      </c>
      <c r="C7" s="1">
        <f>Cylinder!P10</f>
        <v>0.74746837352608841</v>
      </c>
    </row>
    <row r="8" spans="1:3">
      <c r="A8" s="1">
        <f>Cylinder!K11</f>
        <v>0.48000000000000004</v>
      </c>
      <c r="B8" s="1">
        <f>Cylinder!O11</f>
        <v>1.4493281207915265</v>
      </c>
      <c r="C8" s="1">
        <f>Cylinder!P11</f>
        <v>0.86959687247491591</v>
      </c>
    </row>
    <row r="9" spans="1:3">
      <c r="A9" s="1">
        <f>Cylinder!K12</f>
        <v>0.56000000000000005</v>
      </c>
      <c r="B9" s="1">
        <f>Cylinder!O12</f>
        <v>1.6390233374974903</v>
      </c>
      <c r="C9" s="1">
        <f>Cylinder!P12</f>
        <v>0.98341400249849409</v>
      </c>
    </row>
    <row r="10" spans="1:3">
      <c r="A10" s="1">
        <f>Cylinder!K13</f>
        <v>0.64</v>
      </c>
      <c r="B10" s="1">
        <f>Cylinder!O13</f>
        <v>1.8157709154229911</v>
      </c>
      <c r="C10" s="1">
        <f>Cylinder!P13</f>
        <v>1.0894625492537946</v>
      </c>
    </row>
    <row r="11" spans="1:3">
      <c r="A11" s="1">
        <f>Cylinder!K14</f>
        <v>0.72</v>
      </c>
      <c r="B11" s="1">
        <f>Cylinder!O14</f>
        <v>1.9804283687856812</v>
      </c>
      <c r="C11" s="1">
        <f>Cylinder!P14</f>
        <v>1.1882570212714088</v>
      </c>
    </row>
    <row r="12" spans="1:3">
      <c r="A12" s="1">
        <f>Cylinder!K15</f>
        <v>0.79999999999999993</v>
      </c>
      <c r="B12" s="1">
        <f>Cylinder!O15</f>
        <v>2.1338039134863722</v>
      </c>
      <c r="C12" s="1">
        <f>Cylinder!P15</f>
        <v>1.2802823480918233</v>
      </c>
    </row>
    <row r="13" spans="1:3">
      <c r="A13" s="1">
        <f>Cylinder!K16</f>
        <v>0.87999999999999989</v>
      </c>
      <c r="B13" s="1">
        <f>Cylinder!O16</f>
        <v>2.2766566953866527</v>
      </c>
      <c r="C13" s="1">
        <f>Cylinder!P16</f>
        <v>1.3659940172319915</v>
      </c>
    </row>
    <row r="14" spans="1:3">
      <c r="A14" s="1">
        <f>Cylinder!K17</f>
        <v>0.95999999999999985</v>
      </c>
      <c r="B14" s="1">
        <f>Cylinder!O17</f>
        <v>2.4096981954444026</v>
      </c>
      <c r="C14" s="1">
        <f>Cylinder!P17</f>
        <v>1.4458189172666416</v>
      </c>
    </row>
    <row r="15" spans="1:3">
      <c r="A15" s="1">
        <f>Cylinder!K18</f>
        <v>1.0399999999999998</v>
      </c>
      <c r="B15" s="1">
        <f>Cylinder!O18</f>
        <v>2.5335942200409263</v>
      </c>
      <c r="C15" s="1">
        <f>Cylinder!P18</f>
        <v>1.5201565320245558</v>
      </c>
    </row>
    <row r="16" spans="1:3">
      <c r="A16" s="1">
        <f>Cylinder!K19</f>
        <v>1.1199999999999999</v>
      </c>
      <c r="B16" s="1">
        <f>Cylinder!O19</f>
        <v>2.6489671676816418</v>
      </c>
      <c r="C16" s="1">
        <f>Cylinder!P19</f>
        <v>1.5893803006089851</v>
      </c>
    </row>
    <row r="17" spans="1:3">
      <c r="A17" s="1">
        <f>Cylinder!K20</f>
        <v>1.2</v>
      </c>
      <c r="B17" s="1">
        <f>Cylinder!O20</f>
        <v>2.7563984022169778</v>
      </c>
      <c r="C17" s="1">
        <f>Cylinder!P20</f>
        <v>1.6538390413301867</v>
      </c>
    </row>
    <row r="18" spans="1:3">
      <c r="A18" s="1">
        <f>Cylinder!K21</f>
        <v>1.28</v>
      </c>
      <c r="B18" s="1">
        <f>Cylinder!O21</f>
        <v>2.8564306359102769</v>
      </c>
      <c r="C18" s="1">
        <f>Cylinder!P21</f>
        <v>1.7138583815461661</v>
      </c>
    </row>
    <row r="19" spans="1:3">
      <c r="A19" s="1">
        <f>Cylinder!K22</f>
        <v>1.36</v>
      </c>
      <c r="B19" s="1">
        <f>Cylinder!O22</f>
        <v>2.9495702663858179</v>
      </c>
      <c r="C19" s="1">
        <f>Cylinder!P22</f>
        <v>1.7697421598314906</v>
      </c>
    </row>
    <row r="20" spans="1:3">
      <c r="A20" s="1">
        <f>Cylinder!K23</f>
        <v>1.4400000000000002</v>
      </c>
      <c r="B20" s="1">
        <f>Cylinder!O23</f>
        <v>3.0362896351363133</v>
      </c>
      <c r="C20" s="1">
        <f>Cylinder!P23</f>
        <v>1.821773781081788</v>
      </c>
    </row>
    <row r="21" spans="1:3">
      <c r="A21" s="1">
        <f>Cylinder!K24</f>
        <v>1.5200000000000002</v>
      </c>
      <c r="B21" s="1">
        <f>Cylinder!O24</f>
        <v>3.1170291894798967</v>
      </c>
      <c r="C21" s="1">
        <f>Cylinder!P24</f>
        <v>1.870217513687938</v>
      </c>
    </row>
    <row r="22" spans="1:3">
      <c r="A22" s="1">
        <f>Cylinder!K25</f>
        <v>1.6000000000000003</v>
      </c>
      <c r="B22" s="1">
        <f>Cylinder!O25</f>
        <v>3.192199538619378</v>
      </c>
      <c r="C22" s="1">
        <f>Cylinder!P25</f>
        <v>1.9153197231716268</v>
      </c>
    </row>
    <row r="23" spans="1:3">
      <c r="A23" s="1">
        <f>Cylinder!K26</f>
        <v>1.6800000000000004</v>
      </c>
      <c r="B23" s="1">
        <f>Cylinder!O26</f>
        <v>3.2621833999579937</v>
      </c>
      <c r="C23" s="1">
        <f>Cylinder!P26</f>
        <v>1.957310039974796</v>
      </c>
    </row>
    <row r="24" spans="1:3">
      <c r="A24" s="1">
        <f>Cylinder!K27</f>
        <v>1.7600000000000005</v>
      </c>
      <c r="B24" s="1">
        <f>Cylinder!O27</f>
        <v>3.3273374353145684</v>
      </c>
      <c r="C24" s="1">
        <f>Cylinder!P27</f>
        <v>1.996402461188741</v>
      </c>
    </row>
    <row r="25" spans="1:3">
      <c r="A25" s="1">
        <f>Cylinder!K28</f>
        <v>1.8400000000000005</v>
      </c>
      <c r="B25" s="1">
        <f>Cylinder!O28</f>
        <v>3.3879939788954911</v>
      </c>
      <c r="C25" s="1">
        <f>Cylinder!P28</f>
        <v>2.0327963873372945</v>
      </c>
    </row>
    <row r="26" spans="1:3">
      <c r="A26" s="1">
        <f>Cylinder!K29</f>
        <v>1.9200000000000006</v>
      </c>
      <c r="B26" s="1">
        <f>Cylinder!O29</f>
        <v>3.444462660271475</v>
      </c>
      <c r="C26" s="1">
        <f>Cylinder!P29</f>
        <v>2.0666775961628847</v>
      </c>
    </row>
    <row r="27" spans="1:3">
      <c r="A27" s="1">
        <f>Cylinder!K30</f>
        <v>2.0000000000000004</v>
      </c>
      <c r="B27" s="1">
        <f>Cylinder!O30</f>
        <v>3.4970319264558531</v>
      </c>
      <c r="C27" s="1">
        <f>Cylinder!P30</f>
        <v>2.0982191558735117</v>
      </c>
    </row>
    <row r="28" spans="1:3">
      <c r="A28" s="1">
        <f>Hopper!T11</f>
        <v>2</v>
      </c>
      <c r="B28" s="1">
        <f>Hopper!U11</f>
        <v>3.4970319264558531</v>
      </c>
      <c r="C28" s="1">
        <f>Hopper!V11</f>
        <v>9.1622236473143364</v>
      </c>
    </row>
    <row r="29" spans="1:3">
      <c r="A29" s="1">
        <f>Hopper!T12</f>
        <v>2.052202070969638</v>
      </c>
      <c r="B29" s="1">
        <f>Hopper!U12</f>
        <v>2.5615466793406201</v>
      </c>
      <c r="C29" s="1">
        <f>Hopper!V12</f>
        <v>6.7112522998724247</v>
      </c>
    </row>
    <row r="30" spans="1:3">
      <c r="A30" s="1">
        <f>Hopper!T13</f>
        <v>2.1044041419392761</v>
      </c>
      <c r="B30" s="1">
        <f>Hopper!U13</f>
        <v>1.8943435305425467</v>
      </c>
      <c r="C30" s="1">
        <f>Hopper!V13</f>
        <v>4.9631800500214727</v>
      </c>
    </row>
    <row r="31" spans="1:3">
      <c r="A31" s="1">
        <f>Hopper!T14</f>
        <v>2.1566062129089141</v>
      </c>
      <c r="B31" s="1">
        <f>Hopper!U14</f>
        <v>1.424015206556102</v>
      </c>
      <c r="C31" s="1">
        <f>Hopper!V14</f>
        <v>3.7309198411769873</v>
      </c>
    </row>
    <row r="32" spans="1:3">
      <c r="A32" s="1">
        <f>Hopper!T15</f>
        <v>2.2088082838785521</v>
      </c>
      <c r="B32" s="1">
        <f>Hopper!U15</f>
        <v>1.0959398330586028</v>
      </c>
      <c r="C32" s="1">
        <f>Hopper!V15</f>
        <v>2.8713623626135392</v>
      </c>
    </row>
    <row r="33" spans="1:3">
      <c r="A33" s="1">
        <f>Hopper!T16</f>
        <v>2.2610103548481901</v>
      </c>
      <c r="B33" s="1">
        <f>Hopper!U16</f>
        <v>0.8689089774594142</v>
      </c>
      <c r="C33" s="1">
        <f>Hopper!V16</f>
        <v>2.2765415209436655</v>
      </c>
    </row>
    <row r="34" spans="1:3">
      <c r="A34" s="1">
        <f>Hopper!T17</f>
        <v>2.3132124258178282</v>
      </c>
      <c r="B34" s="1">
        <f>Hopper!U17</f>
        <v>0.71230469540360142</v>
      </c>
      <c r="C34" s="1">
        <f>Hopper!V17</f>
        <v>1.8662383019574358</v>
      </c>
    </row>
    <row r="35" spans="1:3">
      <c r="A35" s="1">
        <f>Hopper!T18</f>
        <v>2.3654144967874662</v>
      </c>
      <c r="B35" s="1">
        <f>Hopper!U18</f>
        <v>0.60375914716433143</v>
      </c>
      <c r="C35" s="1">
        <f>Hopper!V18</f>
        <v>1.5818489655705483</v>
      </c>
    </row>
    <row r="36" spans="1:3">
      <c r="A36" s="1">
        <f>Hopper!T19</f>
        <v>2.4176165677571042</v>
      </c>
      <c r="B36" s="1">
        <f>Hopper!U19</f>
        <v>0.5272362560149968</v>
      </c>
      <c r="C36" s="1">
        <f>Hopper!V19</f>
        <v>1.3813589907592916</v>
      </c>
    </row>
    <row r="37" spans="1:3">
      <c r="A37" s="1">
        <f>Hopper!T20</f>
        <v>2.4698186387267422</v>
      </c>
      <c r="B37" s="1">
        <f>Hopper!U20</f>
        <v>0.47147993036345281</v>
      </c>
      <c r="C37" s="1">
        <f>Hopper!V20</f>
        <v>1.2352774175522465</v>
      </c>
    </row>
    <row r="38" spans="1:3">
      <c r="A38" s="1">
        <f>Hopper!T21</f>
        <v>2.5220207096963803</v>
      </c>
      <c r="B38" s="1">
        <f>Hopper!U21</f>
        <v>0.42877720386039997</v>
      </c>
      <c r="C38" s="1">
        <f>Hopper!V21</f>
        <v>1.123396274114248</v>
      </c>
    </row>
    <row r="39" spans="1:3">
      <c r="A39" s="1">
        <f>Hopper!T22</f>
        <v>2.5742227806660183</v>
      </c>
      <c r="B39" s="1">
        <f>Hopper!U22</f>
        <v>0.3939879289809296</v>
      </c>
      <c r="C39" s="1">
        <f>Hopper!V22</f>
        <v>1.0322483739300357</v>
      </c>
    </row>
    <row r="40" spans="1:3">
      <c r="A40" s="1">
        <f>Hopper!T23</f>
        <v>2.6264248516356563</v>
      </c>
      <c r="B40" s="1">
        <f>Hopper!U23</f>
        <v>0.3637964513715643</v>
      </c>
      <c r="C40" s="1">
        <f>Hopper!V23</f>
        <v>0.95314670259349854</v>
      </c>
    </row>
    <row r="41" spans="1:3">
      <c r="A41" s="1">
        <f>Hopper!T24</f>
        <v>2.6786269226052943</v>
      </c>
      <c r="B41" s="1">
        <f>Hopper!U24</f>
        <v>0.3361453510214587</v>
      </c>
      <c r="C41" s="1">
        <f>Hopper!V24</f>
        <v>0.88070081967622182</v>
      </c>
    </row>
    <row r="42" spans="1:3">
      <c r="A42" s="1">
        <f>Hopper!T25</f>
        <v>2.7308289935749324</v>
      </c>
      <c r="B42" s="1">
        <f>Hopper!U25</f>
        <v>0.3098164011744331</v>
      </c>
      <c r="C42" s="1">
        <f>Hopper!V25</f>
        <v>0.81171897107701474</v>
      </c>
    </row>
    <row r="43" spans="1:3">
      <c r="A43" s="1">
        <f>Hopper!T26</f>
        <v>2.7830310645445704</v>
      </c>
      <c r="B43" s="1">
        <f>Hopper!U26</f>
        <v>0.28412876246298518</v>
      </c>
      <c r="C43" s="1">
        <f>Hopper!V26</f>
        <v>0.74441735765302119</v>
      </c>
    </row>
    <row r="44" spans="1:3">
      <c r="A44" s="1">
        <f>Hopper!T27</f>
        <v>2.8352331355142084</v>
      </c>
      <c r="B44" s="1">
        <f>Hopper!U27</f>
        <v>0.25872880289257932</v>
      </c>
      <c r="C44" s="1">
        <f>Hopper!V27</f>
        <v>0.67786946357855782</v>
      </c>
    </row>
    <row r="45" spans="1:3">
      <c r="A45" s="1">
        <f>Hopper!T28</f>
        <v>2.8874352064838464</v>
      </c>
      <c r="B45" s="1">
        <f>Hopper!U28</f>
        <v>0.23344980929761125</v>
      </c>
      <c r="C45" s="1">
        <f>Hopper!V28</f>
        <v>0.61163850035974154</v>
      </c>
    </row>
    <row r="46" spans="1:3">
      <c r="A46" s="1">
        <f>Hopper!T29</f>
        <v>2.9396372774534845</v>
      </c>
      <c r="B46" s="1">
        <f>Hopper!U29</f>
        <v>0.20822333935147669</v>
      </c>
      <c r="C46" s="1">
        <f>Hopper!V29</f>
        <v>0.54554514910086893</v>
      </c>
    </row>
    <row r="47" spans="1:3">
      <c r="A47" s="1">
        <f>Hopper!T30</f>
        <v>2.9918393484231225</v>
      </c>
      <c r="B47" s="1">
        <f>Hopper!U30</f>
        <v>0.18302715550799317</v>
      </c>
      <c r="C47" s="1">
        <f>Hopper!V30</f>
        <v>0.47953114743094211</v>
      </c>
    </row>
    <row r="48" spans="1:3">
      <c r="A48" s="1">
        <f>Hopper!T31</f>
        <v>3.0440414193927605</v>
      </c>
      <c r="B48" s="1">
        <f>Hopper!U31</f>
        <v>0.15785764312392186</v>
      </c>
      <c r="C48" s="1">
        <f>Hopper!V31</f>
        <v>0.41358702498467531</v>
      </c>
    </row>
    <row r="49" spans="1:3">
      <c r="A49" s="1">
        <f>Hopper!T32</f>
        <v>3.0962434903623985</v>
      </c>
      <c r="B49" s="1">
        <f>Hopper!U32</f>
        <v>0.13271736984609944</v>
      </c>
      <c r="C49" s="1">
        <f>Hopper!V32</f>
        <v>0.34771950899678056</v>
      </c>
    </row>
    <row r="50" spans="1:3">
      <c r="A50" s="1">
        <f>Hopper!T33</f>
        <v>3.1484455613320366</v>
      </c>
      <c r="B50" s="1">
        <f>Hopper!U33</f>
        <v>0.10761100129229703</v>
      </c>
      <c r="C50" s="1">
        <f>Hopper!V33</f>
        <v>0.28194082338581822</v>
      </c>
    </row>
    <row r="51" spans="1:3">
      <c r="A51" s="1">
        <f>Hopper!T34</f>
        <v>3.2006476323016746</v>
      </c>
      <c r="B51" s="1">
        <f>Hopper!U34</f>
        <v>8.254517150024876E-2</v>
      </c>
      <c r="C51" s="1">
        <f>Hopper!V34</f>
        <v>0.21626834933065175</v>
      </c>
    </row>
    <row r="52" spans="1:3">
      <c r="A52" s="1">
        <f>Hopper!T35</f>
        <v>3.2528497032713126</v>
      </c>
      <c r="B52" s="1">
        <f>Hopper!U35</f>
        <v>5.7530246749071243E-2</v>
      </c>
      <c r="C52" s="1">
        <f>Hopper!V35</f>
        <v>0.15072924648256666</v>
      </c>
    </row>
    <row r="53" spans="1:3">
      <c r="A53" s="1">
        <f>Hopper!T36</f>
        <v>3.3050517742409506</v>
      </c>
      <c r="B53" s="1">
        <f>Hopper!U36</f>
        <v>3.2585012613761156E-2</v>
      </c>
      <c r="C53" s="1">
        <f>Hopper!V36</f>
        <v>8.5372733048054233E-2</v>
      </c>
    </row>
    <row r="54" spans="1:3">
      <c r="A54" s="1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Cylinder</vt:lpstr>
      <vt:lpstr>Hopper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Greg Mehos</cp:lastModifiedBy>
  <dcterms:created xsi:type="dcterms:W3CDTF">2023-05-06T02:58:05Z</dcterms:created>
  <dcterms:modified xsi:type="dcterms:W3CDTF">2026-05-26T10:35:14Z</dcterms:modified>
</cp:coreProperties>
</file>