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325"/>
  <workbookPr filterPrivacy="1" autoCompressPictures="0"/>
  <xr:revisionPtr revIDLastSave="0" documentId="8_{343E6968-1586-42DC-8C4D-F2AFC39E259B}" xr6:coauthVersionLast="45" xr6:coauthVersionMax="45" xr10:uidLastSave="{00000000-0000-0000-0000-000000000000}"/>
  <bookViews>
    <workbookView xWindow="-110" yWindow="-110" windowWidth="19420" windowHeight="11020" activeTab="2" xr2:uid="{00000000-000D-0000-FFFF-FFFF00000000}"/>
  </bookViews>
  <sheets>
    <sheet name="Start" sheetId="7" r:id="rId1"/>
    <sheet name="Seasonal Family Calendar" sheetId="6" r:id="rId2"/>
    <sheet name="Sheet1" sheetId="8" r:id="rId3"/>
  </sheets>
  <definedNames>
    <definedName name="AprSun1">DATE(CalendarYear,4,1)-WEEKDAY(DATE(CalendarYear,4,1))+1</definedName>
    <definedName name="AugSun1">DATE(CalendarYear,8,1)-WEEKDAY(DATE(CalendarYear,8,1))+1</definedName>
    <definedName name="CalendarYear">'Seasonal Family Calendar'!$M$2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1">'Seasonal Family Calendar'!$A$1:$Q$398</definedName>
    <definedName name="SepSun1">DATE(CalendarYear,9,1)-WEEKDAY(DATE(CalendarYear,9,1))+1</definedName>
  </definedNames>
  <calcPr calcId="18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2" i="8" l="1"/>
  <c r="J22" i="8"/>
  <c r="H22" i="8"/>
  <c r="F22" i="8"/>
  <c r="D22" i="8"/>
  <c r="B22" i="8"/>
  <c r="J20" i="8"/>
  <c r="H20" i="8"/>
  <c r="F20" i="8"/>
  <c r="D20" i="8"/>
  <c r="B20" i="8"/>
  <c r="J18" i="8"/>
  <c r="H18" i="8"/>
  <c r="F18" i="8"/>
  <c r="D18" i="8"/>
  <c r="B18" i="8"/>
  <c r="J16" i="8"/>
  <c r="H16" i="8"/>
  <c r="F16" i="8"/>
  <c r="D16" i="8"/>
  <c r="B16" i="8"/>
  <c r="A14" i="8"/>
  <c r="J12" i="8"/>
  <c r="H12" i="8"/>
  <c r="F12" i="8"/>
  <c r="D12" i="8"/>
  <c r="B12" i="8"/>
  <c r="J10" i="8"/>
  <c r="H10" i="8"/>
  <c r="F10" i="8"/>
  <c r="D10" i="8"/>
  <c r="B10" i="8"/>
  <c r="J8" i="8"/>
  <c r="H8" i="8"/>
  <c r="F8" i="8"/>
  <c r="D8" i="8"/>
  <c r="B8" i="8"/>
  <c r="J6" i="8"/>
  <c r="H6" i="8"/>
  <c r="F6" i="8"/>
  <c r="D6" i="8"/>
  <c r="B6" i="8"/>
  <c r="J4" i="8"/>
  <c r="H4" i="8"/>
  <c r="F4" i="8"/>
  <c r="D4" i="8"/>
  <c r="M328" i="6" l="1"/>
  <c r="M292" i="6"/>
  <c r="M220" i="6"/>
  <c r="B364" i="6" l="1"/>
  <c r="B256" i="6"/>
  <c r="M74" i="6"/>
  <c r="B2" i="6"/>
  <c r="M256" i="6"/>
  <c r="M199" i="6"/>
  <c r="M182" i="6"/>
  <c r="M146" i="6"/>
  <c r="M38" i="6"/>
  <c r="M110" i="6"/>
  <c r="O396" i="6" l="1"/>
  <c r="M396" i="6"/>
  <c r="K396" i="6"/>
  <c r="I396" i="6"/>
  <c r="G396" i="6"/>
  <c r="E396" i="6"/>
  <c r="C396" i="6"/>
  <c r="O393" i="6"/>
  <c r="M393" i="6"/>
  <c r="K393" i="6"/>
  <c r="I393" i="6"/>
  <c r="G393" i="6"/>
  <c r="E393" i="6"/>
  <c r="C393" i="6"/>
  <c r="O390" i="6"/>
  <c r="M390" i="6"/>
  <c r="K390" i="6"/>
  <c r="I390" i="6"/>
  <c r="G390" i="6"/>
  <c r="E390" i="6"/>
  <c r="C390" i="6"/>
  <c r="O387" i="6"/>
  <c r="M387" i="6"/>
  <c r="K387" i="6"/>
  <c r="I387" i="6"/>
  <c r="G387" i="6"/>
  <c r="E387" i="6"/>
  <c r="C387" i="6"/>
  <c r="O384" i="6"/>
  <c r="M384" i="6"/>
  <c r="K384" i="6"/>
  <c r="I384" i="6"/>
  <c r="G384" i="6"/>
  <c r="E384" i="6"/>
  <c r="C384" i="6"/>
  <c r="O381" i="6"/>
  <c r="M381" i="6"/>
  <c r="K381" i="6"/>
  <c r="I381" i="6"/>
  <c r="G381" i="6"/>
  <c r="E381" i="6"/>
  <c r="C381" i="6"/>
  <c r="M364" i="6"/>
  <c r="O360" i="6"/>
  <c r="M360" i="6"/>
  <c r="K360" i="6"/>
  <c r="I360" i="6"/>
  <c r="G360" i="6"/>
  <c r="E360" i="6"/>
  <c r="C360" i="6"/>
  <c r="O357" i="6"/>
  <c r="M357" i="6"/>
  <c r="K357" i="6"/>
  <c r="I357" i="6"/>
  <c r="G357" i="6"/>
  <c r="E357" i="6"/>
  <c r="C357" i="6"/>
  <c r="O354" i="6"/>
  <c r="M354" i="6"/>
  <c r="K354" i="6"/>
  <c r="I354" i="6"/>
  <c r="G354" i="6"/>
  <c r="E354" i="6"/>
  <c r="C354" i="6"/>
  <c r="O351" i="6"/>
  <c r="M351" i="6"/>
  <c r="K351" i="6"/>
  <c r="I351" i="6"/>
  <c r="G351" i="6"/>
  <c r="E351" i="6"/>
  <c r="C351" i="6"/>
  <c r="O348" i="6"/>
  <c r="M348" i="6"/>
  <c r="K348" i="6"/>
  <c r="I348" i="6"/>
  <c r="G348" i="6"/>
  <c r="E348" i="6"/>
  <c r="C348" i="6"/>
  <c r="O345" i="6"/>
  <c r="M345" i="6"/>
  <c r="K345" i="6"/>
  <c r="I345" i="6"/>
  <c r="G345" i="6"/>
  <c r="E345" i="6"/>
  <c r="C345" i="6"/>
  <c r="O288" i="6"/>
  <c r="M288" i="6"/>
  <c r="K288" i="6"/>
  <c r="I288" i="6"/>
  <c r="G288" i="6"/>
  <c r="E288" i="6"/>
  <c r="C288" i="6"/>
  <c r="O285" i="6"/>
  <c r="M285" i="6"/>
  <c r="K285" i="6"/>
  <c r="I285" i="6"/>
  <c r="G285" i="6"/>
  <c r="E285" i="6"/>
  <c r="C285" i="6"/>
  <c r="O282" i="6"/>
  <c r="M282" i="6"/>
  <c r="K282" i="6"/>
  <c r="I282" i="6"/>
  <c r="G282" i="6"/>
  <c r="E282" i="6"/>
  <c r="C282" i="6"/>
  <c r="O279" i="6"/>
  <c r="M279" i="6"/>
  <c r="K279" i="6"/>
  <c r="I279" i="6"/>
  <c r="G279" i="6"/>
  <c r="E279" i="6"/>
  <c r="C279" i="6"/>
  <c r="O276" i="6"/>
  <c r="M276" i="6"/>
  <c r="K276" i="6"/>
  <c r="I276" i="6"/>
  <c r="G276" i="6"/>
  <c r="E276" i="6"/>
  <c r="C276" i="6"/>
  <c r="O273" i="6"/>
  <c r="M273" i="6"/>
  <c r="K273" i="6"/>
  <c r="I273" i="6"/>
  <c r="G273" i="6"/>
  <c r="E273" i="6"/>
  <c r="C273" i="6"/>
  <c r="B328" i="6"/>
  <c r="O324" i="6"/>
  <c r="M324" i="6"/>
  <c r="K324" i="6"/>
  <c r="I324" i="6"/>
  <c r="G324" i="6"/>
  <c r="E324" i="6"/>
  <c r="C324" i="6"/>
  <c r="O321" i="6"/>
  <c r="M321" i="6"/>
  <c r="K321" i="6"/>
  <c r="I321" i="6"/>
  <c r="G321" i="6"/>
  <c r="E321" i="6"/>
  <c r="C321" i="6"/>
  <c r="O318" i="6"/>
  <c r="M318" i="6"/>
  <c r="K318" i="6"/>
  <c r="I318" i="6"/>
  <c r="G318" i="6"/>
  <c r="E318" i="6"/>
  <c r="C318" i="6"/>
  <c r="O315" i="6"/>
  <c r="M315" i="6"/>
  <c r="K315" i="6"/>
  <c r="I315" i="6"/>
  <c r="G315" i="6"/>
  <c r="E315" i="6"/>
  <c r="C315" i="6"/>
  <c r="O312" i="6"/>
  <c r="M312" i="6"/>
  <c r="K312" i="6"/>
  <c r="I312" i="6"/>
  <c r="G312" i="6"/>
  <c r="E312" i="6"/>
  <c r="C312" i="6"/>
  <c r="O309" i="6"/>
  <c r="M309" i="6"/>
  <c r="K309" i="6"/>
  <c r="I309" i="6"/>
  <c r="G309" i="6"/>
  <c r="E309" i="6"/>
  <c r="C309" i="6"/>
  <c r="B292" i="6"/>
  <c r="B220" i="6"/>
  <c r="O252" i="6"/>
  <c r="M252" i="6"/>
  <c r="K252" i="6"/>
  <c r="I252" i="6"/>
  <c r="G252" i="6"/>
  <c r="E252" i="6"/>
  <c r="C252" i="6"/>
  <c r="O249" i="6"/>
  <c r="M249" i="6"/>
  <c r="K249" i="6"/>
  <c r="I249" i="6"/>
  <c r="G249" i="6"/>
  <c r="E249" i="6"/>
  <c r="C249" i="6"/>
  <c r="O246" i="6"/>
  <c r="M246" i="6"/>
  <c r="K246" i="6"/>
  <c r="I246" i="6"/>
  <c r="G246" i="6"/>
  <c r="E246" i="6"/>
  <c r="C246" i="6"/>
  <c r="O243" i="6"/>
  <c r="M243" i="6"/>
  <c r="K243" i="6"/>
  <c r="I243" i="6"/>
  <c r="G243" i="6"/>
  <c r="E243" i="6"/>
  <c r="C243" i="6"/>
  <c r="O240" i="6"/>
  <c r="M240" i="6"/>
  <c r="K240" i="6"/>
  <c r="I240" i="6"/>
  <c r="G240" i="6"/>
  <c r="E240" i="6"/>
  <c r="C240" i="6"/>
  <c r="O237" i="6"/>
  <c r="M237" i="6"/>
  <c r="K237" i="6"/>
  <c r="I237" i="6"/>
  <c r="G237" i="6"/>
  <c r="E237" i="6"/>
  <c r="C237" i="6"/>
  <c r="O216" i="6"/>
  <c r="M216" i="6"/>
  <c r="K216" i="6"/>
  <c r="I216" i="6"/>
  <c r="G216" i="6"/>
  <c r="E216" i="6"/>
  <c r="C216" i="6"/>
  <c r="O213" i="6"/>
  <c r="M213" i="6"/>
  <c r="K213" i="6"/>
  <c r="I213" i="6"/>
  <c r="G213" i="6"/>
  <c r="E213" i="6"/>
  <c r="C213" i="6"/>
  <c r="O210" i="6"/>
  <c r="M210" i="6"/>
  <c r="K210" i="6"/>
  <c r="I210" i="6"/>
  <c r="G210" i="6"/>
  <c r="E210" i="6"/>
  <c r="C210" i="6"/>
  <c r="O207" i="6"/>
  <c r="M207" i="6"/>
  <c r="K207" i="6"/>
  <c r="I207" i="6"/>
  <c r="G207" i="6"/>
  <c r="E207" i="6"/>
  <c r="C207" i="6"/>
  <c r="O204" i="6"/>
  <c r="M204" i="6"/>
  <c r="K204" i="6"/>
  <c r="I204" i="6"/>
  <c r="G204" i="6"/>
  <c r="E204" i="6"/>
  <c r="C204" i="6"/>
  <c r="O201" i="6"/>
  <c r="M201" i="6"/>
  <c r="K201" i="6"/>
  <c r="I201" i="6"/>
  <c r="G201" i="6"/>
  <c r="E201" i="6"/>
  <c r="C201" i="6"/>
  <c r="B199" i="6"/>
  <c r="O196" i="6"/>
  <c r="M196" i="6"/>
  <c r="K196" i="6"/>
  <c r="I196" i="6"/>
  <c r="G196" i="6"/>
  <c r="E196" i="6"/>
  <c r="C196" i="6"/>
  <c r="O193" i="6"/>
  <c r="M193" i="6"/>
  <c r="K193" i="6"/>
  <c r="I193" i="6"/>
  <c r="G193" i="6"/>
  <c r="E193" i="6"/>
  <c r="C193" i="6"/>
  <c r="O190" i="6"/>
  <c r="M190" i="6"/>
  <c r="K190" i="6"/>
  <c r="I190" i="6"/>
  <c r="G190" i="6"/>
  <c r="E190" i="6"/>
  <c r="C190" i="6"/>
  <c r="O187" i="6"/>
  <c r="M187" i="6"/>
  <c r="K187" i="6"/>
  <c r="I187" i="6"/>
  <c r="G187" i="6"/>
  <c r="E187" i="6"/>
  <c r="C187" i="6"/>
  <c r="O184" i="6"/>
  <c r="M184" i="6"/>
  <c r="K184" i="6"/>
  <c r="I184" i="6"/>
  <c r="G184" i="6"/>
  <c r="E184" i="6"/>
  <c r="C184" i="6"/>
  <c r="B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B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B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B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B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<sst xmlns="http://schemas.openxmlformats.org/spreadsheetml/2006/main" count="322" uniqueCount="99">
  <si>
    <t>MONDAY</t>
  </si>
  <si>
    <t>TUESDAY</t>
  </si>
  <si>
    <t>WEDNESDAY</t>
  </si>
  <si>
    <t>THURSDAY</t>
  </si>
  <si>
    <t>FRIDAY</t>
  </si>
  <si>
    <t>SATURDAY</t>
  </si>
  <si>
    <t>SUNDAY</t>
  </si>
  <si>
    <t>Sample Appointment</t>
  </si>
  <si>
    <t xml:space="preserve"> </t>
  </si>
  <si>
    <t xml:space="preserve">  </t>
  </si>
  <si>
    <t xml:space="preserve">   </t>
  </si>
  <si>
    <t xml:space="preserve">    </t>
  </si>
  <si>
    <t xml:space="preserve">     </t>
  </si>
  <si>
    <t xml:space="preserve">      </t>
  </si>
  <si>
    <t xml:space="preserve">       </t>
  </si>
  <si>
    <t xml:space="preserve">        </t>
  </si>
  <si>
    <t xml:space="preserve">         </t>
  </si>
  <si>
    <t>Use this template to create a personal family calendar.</t>
  </si>
  <si>
    <t>Monthly calendars are auto updated with Monday set as default week start day.</t>
  </si>
  <si>
    <t>Enter daily and monthly notes.</t>
  </si>
  <si>
    <t>Note: </t>
  </si>
  <si>
    <t>Additional instructions have been provided in column A in SEASONAL FAMILY CALENDAR worksheet. This text has been intentionally hidden. To remove text, select column A, then select DELETE. To unhide text, select column A, then change font color.</t>
  </si>
  <si>
    <t>ABOUT THIS TEMPLATE</t>
  </si>
  <si>
    <t>Create a Seasonal Family Calendar for any year in this worksheet. Helpful instructions on how to use this worksheet are in cells in this column. Arrow down to get started.</t>
  </si>
  <si>
    <t>Use the spinner to change the calendar year</t>
  </si>
  <si>
    <t>To replace picture in each monthly calendar with your own picture, select the picture, press SHIFT and then F10, and then select CHANGE PICTURE.</t>
  </si>
  <si>
    <t>Personalize this calendar!
Select any picture, press SHIFT and then F10, and then select Change Picture to swap it with your own.</t>
  </si>
  <si>
    <t>January label is in cell at right. Enter Year in cell M2 or use spinner to change the year.</t>
  </si>
  <si>
    <t>January calendar is in cells B18 through O35. Weekday names are in this row, cells B18 through N18.</t>
  </si>
  <si>
    <t>Dates are auto updated in this and row 22, 25, 28, 31, and 34. If the first day is not number 1, then it is previous month's day.</t>
  </si>
  <si>
    <t xml:space="preserve">NOTES
</t>
  </si>
  <si>
    <t>Insert your own picture in cell at right. Enter monthly Notes in cell J3. Next instruction is in cell A18.</t>
  </si>
  <si>
    <t>Enter daily notes in this and row 23, 26, 29, 32, and 35. Next instruction is in cell A38.</t>
  </si>
  <si>
    <t>February label is in cell at right. Year is auto updated in cell M38.</t>
  </si>
  <si>
    <t>Image is in this cell.</t>
  </si>
  <si>
    <t>Insert your own picture in cell at right. Enter monthly Notes in cells J39. Next instruction is in cell A54.</t>
  </si>
  <si>
    <t>February calendar is in cells B54 through O71. Weekday names are in this row, cells B54 through N54.</t>
  </si>
  <si>
    <t>Dates are auto updated in this and row 58, 61, 64, 67, and 70. If the first day is not number 1, then it is previous month's day.</t>
  </si>
  <si>
    <t>Enter daily notes in this and row 59, 62, 65, 68, and 71. Next instruction is in cell A74.</t>
  </si>
  <si>
    <t>March label is in cell at right. Year is auto updated in cell M74.</t>
  </si>
  <si>
    <t>Insert your own picture in cell at right. Enter monthly Notes in cells J75. Next instruction is in cell A90.</t>
  </si>
  <si>
    <t>March calendar is in cells B90 through O107. Weekday names are in this row, cells B90 through N90.</t>
  </si>
  <si>
    <t>Dates are auto updated in this and row 94, 97, 100, 103, and 106. If the first day is not number 1, then it is previous month's day.</t>
  </si>
  <si>
    <t>Enter daily notes in this and row 95, 98, 101, 104, and 107. Next instruction is in cell A110.</t>
  </si>
  <si>
    <t>April label is in cell at right. Year is auto updated in cell M110.</t>
  </si>
  <si>
    <t>Insert your own picture in cell at right. Enter monthly Notes in cells J111. Next instruction is in cell A126.</t>
  </si>
  <si>
    <t>April calendar is in cells B126 through O143. Weekday names are in this row, cells B126 through N126.</t>
  </si>
  <si>
    <t>Dates are auto updated in this and row 130, 133, 136, 139, and 142. If the first day is not number 1, then it is previous month's day.</t>
  </si>
  <si>
    <t>Enter daily notes in this and row 131, 134, 137, 140, and 143. Next instruction is in cell A146.</t>
  </si>
  <si>
    <t>May label is in cell at right. Year is auto updated in cell M146.</t>
  </si>
  <si>
    <t>Insert your own picture in cell at right. Enter monthly Notes in cells J147. Next instruction is in cell A162.</t>
  </si>
  <si>
    <t xml:space="preserve">NOTE
</t>
  </si>
  <si>
    <t>May calendar is in cells B162 through O179. Weekday names are in this row, cells B162 through N162.</t>
  </si>
  <si>
    <t>Dates are auto updated in this and row 166, 169, 172, 175, and 178. If the first day is not number 1, then it is previous month's day.</t>
  </si>
  <si>
    <t>Enter daily notes in this and row 167, 170, 173, 176, and 179. Next instruction is in cell A182.</t>
  </si>
  <si>
    <t>June label is in cell at right. Year is auto updated in cell M182.</t>
  </si>
  <si>
    <t>June calendar is in cells B198 through O216. Weekday names are in this row, cells B198 through N198.</t>
  </si>
  <si>
    <t>Dates are auto updated in this and row 202, 205, 208, 211, and 214. If the first day is not number 1, then it is previous month's day.</t>
  </si>
  <si>
    <t>Enter daily notes in this and row 203, 206, 209, 212, and 215. Next instruction is in cell A218.</t>
  </si>
  <si>
    <t>July label is in cell at right. Year is auto updated in cell M218.</t>
  </si>
  <si>
    <t>July calendar is in cells B234 through O251. Weekday names are in this row, cells B234 through N234.</t>
  </si>
  <si>
    <t>Dates are auto updated in this and row 238, 241, 244, 247, and 250. If the first day is not number 1, then it is previous month's day.</t>
  </si>
  <si>
    <t>Enter daily notes in this and row 239, 242, 245, 248, and 251. Next instruction is in cell A254.</t>
  </si>
  <si>
    <t>August label is in cell at right. Year is auto updated in cell M254.</t>
  </si>
  <si>
    <t>Insert your own picture in cell at right. Enter monthly Notes in cells K255. Next instruction is in cell A270.</t>
  </si>
  <si>
    <t>August calendar is in cells B270 through O287. Weekday names are in this row, cells B270 through N270.</t>
  </si>
  <si>
    <t>Dates are auto updated in this and row 274, 277, 280, 283, and 286. If the first day is not number 1, then it is previous month's day.</t>
  </si>
  <si>
    <t>Enter daily notes in this and row 275, 278, 281, 284, and 287. Next instruction is in cell A290.</t>
  </si>
  <si>
    <t>September label is in cell at right. Year is auto updated in cell M290.</t>
  </si>
  <si>
    <t>Insert your own picture in cell at right. Enter monthly Notes in cells K291. Next instruction is in cell A306.</t>
  </si>
  <si>
    <t>September calendar is in cells B306 through O323. Weekday names are in this row, cells B306 through N306.</t>
  </si>
  <si>
    <t>Dates are auto updated in this and row 310, 313, 316, 319, and 322. If the first day is not number 1, then it is previous month's day.</t>
  </si>
  <si>
    <t>Enter daily notes in this and row 311, 314, 317, 320, and 323. Next instruction is in cell A326.</t>
  </si>
  <si>
    <t>October label is in cell at right. Year is auto updated in cell M326.</t>
  </si>
  <si>
    <t>Insert your own picture in cell at right. Enter monthly Notes in cells K327. Next instruction is in cell A342.</t>
  </si>
  <si>
    <t>October calendar is in cells B342 through O359. Weekday names are in this row, cells B342 through N342.</t>
  </si>
  <si>
    <t>Dates are auto updated in this and row 346, 349, 352, 355, and 358. If the first day is not number 1, then it is previous month's day.</t>
  </si>
  <si>
    <t>Enter daily notes in this and row 347, 350, 353, 356, and 359. Next instruction is in cell A362.</t>
  </si>
  <si>
    <t>November label is in cell at right. Year is auto updated in cell M362.</t>
  </si>
  <si>
    <t>Insert your own picture in cell at right. Enter monthly Notes in cells K363. Next instruction is in cell A378.</t>
  </si>
  <si>
    <t>November calendar is in cells B378 through O395. Weekday names are in this row, cells B378 through N378.</t>
  </si>
  <si>
    <t>Dates are auto updated in this and row 382, 385, 388, 391, and 394. If the first day is not number 1, then it is previous month's day.</t>
  </si>
  <si>
    <t>Enter daily notes in this and row 383, 386, 389, 392, and 395. Next instruction is in cell A398.</t>
  </si>
  <si>
    <t>December label is in cell at right. Year is auto updated in cell M398.</t>
  </si>
  <si>
    <t>Insert your own picture in cell at right. Enter monthly Notes in cells K399. Next instruction is in cell A414.</t>
  </si>
  <si>
    <t>December calendar is in cells B411 through O431. Weekday names are in this row, cells B411 through N411.</t>
  </si>
  <si>
    <t>Dates are auto updated in this and row 418, 421, 424, 427, and 430. If the first day is not number 1, then it is previous month's day.</t>
  </si>
  <si>
    <t>Enter daily notes in this and row 419, 422, 425, 429, and 431.</t>
  </si>
  <si>
    <t>Enter Year to update monthly calendars.</t>
  </si>
  <si>
    <t>Bounce House
Socks Requied</t>
  </si>
  <si>
    <t>Park &amp;
Theater Jazz</t>
  </si>
  <si>
    <t>Movie 
Wonder Woman: 1984</t>
  </si>
  <si>
    <t>Move
Disney: Soul</t>
  </si>
  <si>
    <t>Movie
Minions: The Rise of Gru</t>
  </si>
  <si>
    <t>Movie
Ghostbusters: Afterlife</t>
  </si>
  <si>
    <r>
      <rPr>
        <b/>
        <sz val="16"/>
        <rFont val="Cambria"/>
        <family val="1"/>
        <scheme val="minor"/>
      </rPr>
      <t>Summer Camp 2020</t>
    </r>
    <r>
      <rPr>
        <sz val="28"/>
        <rFont val="Cambria"/>
        <family val="1"/>
        <scheme val="minor"/>
      </rPr>
      <t xml:space="preserve">
</t>
    </r>
    <r>
      <rPr>
        <sz val="12"/>
        <rFont val="Cambria"/>
        <family val="1"/>
        <scheme val="minor"/>
      </rPr>
      <t>Reading &amp; Math Enrichment Activities Daily
Weekly Rate $130 / Daily Rate $35</t>
    </r>
  </si>
  <si>
    <t>Swimming Pool
Swimming Suit / flip flops / towel</t>
  </si>
  <si>
    <t>Roller Skating
Socks Required</t>
  </si>
  <si>
    <t>Bowling
Tennis Shoes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</si>
</sst>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
    <numFmt numFmtId="165" formatCode="mmmm\ yyyy"/>
    <numFmt numFmtId="166" formatCode="mmmm"/>
  </numFmts>
  <fonts count="48"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40"/>
      <color theme="8"/>
      <name val="Cambria"/>
      <family val="1"/>
      <scheme val="major"/>
    </font>
    <font>
      <sz val="12"/>
      <color theme="1"/>
      <name val="Cambria"/>
      <family val="1"/>
      <scheme val="major"/>
    </font>
    <font>
      <sz val="10"/>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7" tint="-0.249977111117893"/>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sz val="40"/>
      <color theme="4" tint="-0.499984740745262"/>
      <name val="Cambria"/>
      <family val="1"/>
      <scheme val="major"/>
    </font>
    <font>
      <b/>
      <sz val="12"/>
      <color theme="4" tint="-0.499984740745262"/>
      <name val="Cambria"/>
      <family val="1"/>
      <scheme val="major"/>
    </font>
    <font>
      <sz val="10"/>
      <color theme="4" tint="-0.499984740745262"/>
      <name val="Cambria"/>
      <family val="1"/>
      <scheme val="minor"/>
    </font>
    <font>
      <sz val="40"/>
      <color theme="6" tint="-0.499984740745262"/>
      <name val="Cambria"/>
      <family val="1"/>
      <scheme val="major"/>
    </font>
    <font>
      <b/>
      <sz val="12"/>
      <color theme="6" tint="-0.499984740745262"/>
      <name val="Cambria"/>
      <family val="1"/>
      <scheme val="major"/>
    </font>
    <font>
      <sz val="10"/>
      <color theme="6" tint="-0.499984740745262"/>
      <name val="Cambria"/>
      <family val="1"/>
      <scheme val="minor"/>
    </font>
    <font>
      <b/>
      <sz val="13"/>
      <color theme="3"/>
      <name val="Cambria"/>
      <family val="2"/>
      <scheme val="minor"/>
    </font>
    <font>
      <sz val="11"/>
      <color theme="1"/>
      <name val="Calibri"/>
      <family val="2"/>
    </font>
    <font>
      <b/>
      <sz val="16"/>
      <color theme="0"/>
      <name val="Arial"/>
      <family val="2"/>
    </font>
    <font>
      <b/>
      <sz val="11"/>
      <color theme="1"/>
      <name val="Calibri"/>
      <family val="2"/>
    </font>
    <font>
      <sz val="12"/>
      <color theme="0"/>
      <name val="Cambria"/>
      <family val="1"/>
      <scheme val="major"/>
    </font>
    <font>
      <sz val="11"/>
      <color theme="1"/>
      <name val="Cambria"/>
      <family val="1"/>
      <scheme val="major"/>
    </font>
    <font>
      <sz val="22"/>
      <color theme="1"/>
      <name val="Cambria"/>
      <family val="1"/>
      <scheme val="major"/>
    </font>
    <font>
      <sz val="40"/>
      <color theme="1"/>
      <name val="Cambria"/>
      <family val="1"/>
      <scheme val="major"/>
    </font>
    <font>
      <sz val="16"/>
      <color theme="1"/>
      <name val="Cambria"/>
      <family val="1"/>
      <scheme val="major"/>
    </font>
    <font>
      <sz val="28"/>
      <name val="Cambria"/>
      <family val="1"/>
      <scheme val="minor"/>
    </font>
    <font>
      <b/>
      <sz val="16"/>
      <name val="Cambria"/>
      <family val="1"/>
      <scheme val="minor"/>
    </font>
    <font>
      <sz val="12"/>
      <name val="Cambria"/>
      <family val="1"/>
      <scheme val="minor"/>
    </font>
    <font>
      <sz val="24"/>
      <name val="Cambria"/>
      <family val="1"/>
      <scheme val="major"/>
    </font>
    <font>
      <sz val="12"/>
      <name val="Cambria"/>
      <family val="1"/>
      <scheme val="major"/>
    </font>
    <font>
      <b/>
      <sz val="12"/>
      <name val="Cambria"/>
      <family val="1"/>
      <scheme val="major"/>
    </font>
    <font>
      <sz val="10"/>
      <name val="Cambria"/>
      <family val="1"/>
      <scheme val="minor"/>
    </font>
    <font>
      <sz val="40"/>
      <name val="Cambria"/>
      <family val="1"/>
      <scheme val="maj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499984740745262"/>
        <bgColor indexed="64"/>
      </patternFill>
    </fill>
    <fill>
      <patternFill patternType="solid">
        <fgColor theme="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7" tint="-0.249977111117893"/>
        <bgColor indexed="64"/>
      </patternFill>
    </fill>
  </fills>
  <borders count="3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top style="thin">
        <color theme="6" tint="-0.24994659260841701"/>
      </top>
      <bottom/>
      <diagonal/>
    </border>
    <border>
      <left/>
      <right/>
      <top style="thin">
        <color theme="7" tint="-0.24994659260841701"/>
      </top>
      <bottom/>
      <diagonal/>
    </border>
    <border>
      <left style="thin">
        <color theme="4" tint="-0.24994659260841701"/>
      </left>
      <right/>
      <top/>
      <bottom/>
      <diagonal/>
    </border>
    <border>
      <left style="thin">
        <color theme="5" tint="-0.24994659260841701"/>
      </left>
      <right/>
      <top/>
      <bottom/>
      <diagonal/>
    </border>
    <border>
      <left style="thin">
        <color theme="0"/>
      </left>
      <right style="thin">
        <color theme="5" tint="-0.24994659260841701"/>
      </right>
      <top style="thin">
        <color theme="5" tint="-0.24994659260841701"/>
      </top>
      <bottom/>
      <diagonal/>
    </border>
    <border>
      <left style="thin">
        <color theme="0"/>
      </left>
      <right style="thin">
        <color theme="5" tint="-0.24994659260841701"/>
      </right>
      <top/>
      <bottom/>
      <diagonal/>
    </border>
    <border>
      <left style="thin">
        <color theme="0"/>
      </left>
      <right/>
      <top/>
      <bottom/>
      <diagonal/>
    </border>
    <border>
      <left style="thin">
        <color theme="6" tint="-0.24994659260841701"/>
      </left>
      <right/>
      <top/>
      <bottom/>
      <diagonal/>
    </border>
    <border>
      <left style="thin">
        <color theme="0"/>
      </left>
      <right style="thin">
        <color theme="6" tint="-0.24994659260841701"/>
      </right>
      <top style="thin">
        <color theme="6" tint="-0.24994659260841701"/>
      </top>
      <bottom/>
      <diagonal/>
    </border>
    <border>
      <left style="thin">
        <color theme="0"/>
      </left>
      <right style="thin">
        <color theme="6" tint="-0.24994659260841701"/>
      </right>
      <top/>
      <bottom/>
      <diagonal/>
    </border>
    <border>
      <left style="thin">
        <color theme="7" tint="-0.24994659260841701"/>
      </left>
      <right/>
      <top/>
      <bottom/>
      <diagonal/>
    </border>
    <border>
      <left style="thin">
        <color theme="0"/>
      </left>
      <right style="thin">
        <color theme="7" tint="-0.24994659260841701"/>
      </right>
      <top style="thin">
        <color theme="7" tint="-0.24994659260841701"/>
      </top>
      <bottom/>
      <diagonal/>
    </border>
    <border>
      <left style="thin">
        <color theme="0"/>
      </left>
      <right style="thin">
        <color theme="7" tint="-0.24994659260841701"/>
      </right>
      <top/>
      <bottom/>
      <diagonal/>
    </border>
    <border>
      <left style="thin">
        <color theme="0"/>
      </left>
      <right style="thin">
        <color theme="4" tint="-0.24994659260841701"/>
      </right>
      <top style="thin">
        <color theme="4" tint="-0.24994659260841701"/>
      </top>
      <bottom/>
      <diagonal/>
    </border>
    <border>
      <left style="thin">
        <color theme="0"/>
      </left>
      <right style="thin">
        <color theme="4" tint="-0.24994659260841701"/>
      </right>
      <top/>
      <bottom/>
      <diagonal/>
    </border>
    <border>
      <left/>
      <right/>
      <top/>
      <bottom style="thick">
        <color theme="4" tint="0.499984740745262"/>
      </bottom>
      <diagonal/>
    </border>
    <border>
      <left/>
      <right/>
      <top/>
      <bottom style="thin">
        <color theme="6" tint="-0.24994659260841701"/>
      </bottom>
      <diagonal/>
    </border>
    <border>
      <left/>
      <right style="thin">
        <color theme="6" tint="-0.24994659260841701"/>
      </right>
      <top/>
      <bottom style="thin">
        <color theme="6" tint="-0.24994659260841701"/>
      </bottom>
      <diagonal/>
    </border>
    <border>
      <left style="thin">
        <color theme="6" tint="-0.24994659260841701"/>
      </left>
      <right/>
      <top/>
      <bottom style="thin">
        <color theme="6" tint="-0.24994659260841701"/>
      </bottom>
      <diagonal/>
    </border>
    <border>
      <left/>
      <right style="thin">
        <color theme="6" tint="-0.24994659260841701"/>
      </right>
      <top/>
      <bottom/>
      <diagonal/>
    </border>
  </borders>
  <cellStyleXfs count="6">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xf numFmtId="0" fontId="31" fillId="0" borderId="26" applyNumberFormat="0" applyFill="0" applyAlignment="0" applyProtection="0"/>
  </cellStyleXfs>
  <cellXfs count="155">
    <xf numFmtId="0" fontId="0" fillId="0" borderId="0" xfId="0"/>
    <xf numFmtId="165" fontId="9" fillId="0" borderId="0" xfId="1" applyNumberFormat="1" applyFont="1" applyBorder="1" applyAlignment="1">
      <alignment vertical="center"/>
    </xf>
    <xf numFmtId="0" fontId="7" fillId="0" borderId="0" xfId="1" applyFont="1"/>
    <xf numFmtId="0" fontId="10" fillId="0" borderId="0" xfId="0" applyFont="1"/>
    <xf numFmtId="0" fontId="7" fillId="0" borderId="0" xfId="1" applyFont="1" applyAlignment="1"/>
    <xf numFmtId="166" fontId="10" fillId="0" borderId="0" xfId="0" applyNumberFormat="1" applyFont="1"/>
    <xf numFmtId="0" fontId="10" fillId="0" borderId="0" xfId="0" applyFont="1" applyAlignment="1">
      <alignment horizontal="center"/>
    </xf>
    <xf numFmtId="0" fontId="7" fillId="0" borderId="0" xfId="1" applyFont="1" applyAlignment="1">
      <alignment horizontal="center"/>
    </xf>
    <xf numFmtId="0" fontId="11" fillId="0" borderId="0" xfId="1" applyFont="1" applyAlignment="1">
      <alignment horizontal="center"/>
    </xf>
    <xf numFmtId="0" fontId="11" fillId="0" borderId="0" xfId="1" applyFont="1"/>
    <xf numFmtId="0" fontId="7" fillId="0" borderId="0" xfId="1" applyFont="1"/>
    <xf numFmtId="0" fontId="7" fillId="0" borderId="0" xfId="1" applyFont="1"/>
    <xf numFmtId="0" fontId="18" fillId="0" borderId="0" xfId="1" applyFont="1"/>
    <xf numFmtId="0" fontId="24" fillId="0" borderId="0" xfId="1" applyFont="1"/>
    <xf numFmtId="0" fontId="20" fillId="0" borderId="2" xfId="1" applyFont="1" applyBorder="1" applyAlignment="1">
      <alignment horizontal="center"/>
    </xf>
    <xf numFmtId="164" fontId="20" fillId="0" borderId="5" xfId="1" applyNumberFormat="1" applyFont="1" applyFill="1" applyBorder="1" applyAlignment="1">
      <alignment horizontal="center" vertical="top" wrapText="1"/>
    </xf>
    <xf numFmtId="164" fontId="20" fillId="0" borderId="2" xfId="1" applyNumberFormat="1" applyFont="1" applyFill="1" applyBorder="1" applyAlignment="1">
      <alignment horizontal="center" vertical="top" wrapText="1"/>
    </xf>
    <xf numFmtId="0" fontId="8" fillId="0" borderId="0" xfId="1" applyFont="1"/>
    <xf numFmtId="0" fontId="23" fillId="0" borderId="12" xfId="1" applyFont="1" applyBorder="1" applyAlignment="1">
      <alignment horizontal="center"/>
    </xf>
    <xf numFmtId="164" fontId="23" fillId="0" borderId="12" xfId="1" applyNumberFormat="1" applyFont="1" applyFill="1" applyBorder="1" applyAlignment="1">
      <alignment horizontal="center" vertical="top" wrapText="1"/>
    </xf>
    <xf numFmtId="0" fontId="17" fillId="0" borderId="0" xfId="1" applyFont="1"/>
    <xf numFmtId="0" fontId="23" fillId="0" borderId="0" xfId="1" applyFont="1"/>
    <xf numFmtId="0" fontId="22" fillId="0" borderId="11" xfId="1" applyFont="1" applyBorder="1" applyAlignment="1">
      <alignment horizontal="center"/>
    </xf>
    <xf numFmtId="164" fontId="22" fillId="0" borderId="11" xfId="1" applyNumberFormat="1" applyFont="1" applyFill="1" applyBorder="1" applyAlignment="1">
      <alignment horizontal="center" vertical="top" wrapText="1"/>
    </xf>
    <xf numFmtId="0" fontId="21" fillId="0" borderId="10" xfId="1" applyFont="1" applyBorder="1" applyAlignment="1">
      <alignment horizontal="center"/>
    </xf>
    <xf numFmtId="164" fontId="21" fillId="0" borderId="9" xfId="1" applyNumberFormat="1" applyFont="1" applyFill="1" applyBorder="1" applyAlignment="1">
      <alignment horizontal="center" vertical="top" wrapText="1"/>
    </xf>
    <xf numFmtId="164" fontId="21" fillId="0" borderId="10" xfId="1" applyNumberFormat="1" applyFont="1" applyFill="1" applyBorder="1" applyAlignment="1">
      <alignment horizontal="center" vertical="top" wrapText="1"/>
    </xf>
    <xf numFmtId="0" fontId="14" fillId="0" borderId="0" xfId="1" applyFont="1"/>
    <xf numFmtId="0" fontId="20" fillId="0" borderId="0" xfId="1" applyFont="1"/>
    <xf numFmtId="0" fontId="20" fillId="0" borderId="0" xfId="3" applyFont="1" applyFill="1" applyBorder="1" applyAlignment="1">
      <alignment horizontal="center" vertical="top" wrapText="1"/>
    </xf>
    <xf numFmtId="0" fontId="7" fillId="0" borderId="0" xfId="1" applyFont="1"/>
    <xf numFmtId="0" fontId="15" fillId="0" borderId="0" xfId="1" applyNumberFormat="1" applyFont="1" applyBorder="1" applyAlignment="1">
      <alignment vertical="top"/>
    </xf>
    <xf numFmtId="0" fontId="12" fillId="0" borderId="0" xfId="1" applyNumberFormat="1" applyFont="1" applyBorder="1" applyAlignment="1">
      <alignment vertical="top"/>
    </xf>
    <xf numFmtId="0" fontId="20" fillId="0" borderId="0" xfId="1" applyFont="1" applyFill="1" applyBorder="1" applyAlignment="1">
      <alignment horizontal="center" vertical="top" wrapText="1"/>
    </xf>
    <xf numFmtId="0" fontId="20" fillId="0" borderId="0" xfId="3" applyFont="1" applyFill="1" applyBorder="1" applyAlignment="1">
      <alignment horizontal="center" vertical="top" wrapText="1"/>
    </xf>
    <xf numFmtId="0" fontId="13" fillId="0" borderId="0" xfId="2" applyFont="1" applyFill="1" applyBorder="1" applyAlignment="1">
      <alignment horizontal="center"/>
    </xf>
    <xf numFmtId="0" fontId="21" fillId="0" borderId="0" xfId="1" applyFont="1" applyFill="1" applyBorder="1" applyAlignment="1">
      <alignment horizontal="center" vertical="top" wrapText="1"/>
    </xf>
    <xf numFmtId="0" fontId="21" fillId="0" borderId="0" xfId="3" applyFont="1" applyFill="1" applyBorder="1" applyAlignment="1">
      <alignment horizontal="center" vertical="top" wrapText="1"/>
    </xf>
    <xf numFmtId="0" fontId="21" fillId="0" borderId="8" xfId="1" applyFont="1" applyFill="1" applyBorder="1" applyAlignment="1">
      <alignment horizontal="left" vertical="top" wrapText="1"/>
    </xf>
    <xf numFmtId="0" fontId="22" fillId="0" borderId="0" xfId="1" applyFont="1" applyFill="1" applyBorder="1" applyAlignment="1">
      <alignment horizontal="center" vertical="top" wrapText="1"/>
    </xf>
    <xf numFmtId="0" fontId="22" fillId="0" borderId="0" xfId="3" applyFont="1" applyFill="1" applyBorder="1" applyAlignment="1">
      <alignment horizontal="center" vertical="top" wrapText="1"/>
    </xf>
    <xf numFmtId="0" fontId="16" fillId="0" borderId="0" xfId="2" applyFont="1" applyFill="1" applyBorder="1" applyAlignment="1">
      <alignment horizontal="center"/>
    </xf>
    <xf numFmtId="0" fontId="23" fillId="0" borderId="0" xfId="1" applyFont="1" applyFill="1" applyBorder="1" applyAlignment="1">
      <alignment horizontal="center" vertical="top" wrapText="1"/>
    </xf>
    <xf numFmtId="0" fontId="23" fillId="0" borderId="0" xfId="3" applyFont="1" applyFill="1" applyBorder="1" applyAlignment="1">
      <alignment horizontal="center" vertical="top" wrapText="1"/>
    </xf>
    <xf numFmtId="164" fontId="19" fillId="4" borderId="4" xfId="1" applyNumberFormat="1" applyFont="1" applyFill="1" applyBorder="1" applyAlignment="1">
      <alignment horizontal="center" vertical="top" wrapText="1"/>
    </xf>
    <xf numFmtId="164" fontId="19" fillId="5" borderId="4" xfId="1" applyNumberFormat="1" applyFont="1" applyFill="1" applyBorder="1" applyAlignment="1">
      <alignment horizontal="center" vertical="top" wrapText="1"/>
    </xf>
    <xf numFmtId="164" fontId="19" fillId="4" borderId="3" xfId="1" applyNumberFormat="1" applyFont="1" applyFill="1" applyBorder="1" applyAlignment="1">
      <alignment horizontal="center" vertical="top" wrapText="1"/>
    </xf>
    <xf numFmtId="0" fontId="26" fillId="0" borderId="6" xfId="2" applyFont="1" applyFill="1" applyBorder="1" applyAlignment="1">
      <alignment horizontal="center"/>
    </xf>
    <xf numFmtId="0" fontId="26" fillId="0" borderId="0" xfId="2" applyFont="1" applyFill="1" applyBorder="1" applyAlignment="1">
      <alignment horizontal="center"/>
    </xf>
    <xf numFmtId="0" fontId="27" fillId="0" borderId="3" xfId="1" applyFont="1" applyFill="1" applyBorder="1" applyAlignment="1">
      <alignment horizontal="left" vertical="top" wrapText="1"/>
    </xf>
    <xf numFmtId="0" fontId="27" fillId="0" borderId="13" xfId="1" applyFont="1" applyFill="1" applyBorder="1" applyAlignment="1">
      <alignment horizontal="left" vertical="top" wrapText="1"/>
    </xf>
    <xf numFmtId="0" fontId="27" fillId="0" borderId="0" xfId="1" applyFont="1" applyFill="1" applyBorder="1" applyAlignment="1">
      <alignment horizontal="left" vertical="top" wrapText="1"/>
    </xf>
    <xf numFmtId="0" fontId="27" fillId="0" borderId="13" xfId="3" applyFont="1" applyFill="1" applyBorder="1" applyAlignment="1">
      <alignment horizontal="left" vertical="top" wrapText="1"/>
    </xf>
    <xf numFmtId="0" fontId="27" fillId="0" borderId="3" xfId="3" applyFont="1" applyFill="1" applyBorder="1" applyAlignment="1">
      <alignment horizontal="left" vertical="top" wrapText="1"/>
    </xf>
    <xf numFmtId="0" fontId="20" fillId="0" borderId="6" xfId="1" applyFont="1" applyFill="1" applyBorder="1" applyAlignment="1">
      <alignment horizontal="center" vertical="top" wrapText="1"/>
    </xf>
    <xf numFmtId="0" fontId="27" fillId="0" borderId="13" xfId="2" applyFont="1" applyFill="1" applyBorder="1" applyAlignment="1">
      <alignment horizontal="left" vertical="top" wrapText="1"/>
    </xf>
    <xf numFmtId="0" fontId="27" fillId="0" borderId="3" xfId="2" applyFont="1" applyFill="1" applyBorder="1" applyAlignment="1">
      <alignment horizontal="left" vertical="top" wrapText="1"/>
    </xf>
    <xf numFmtId="0" fontId="20" fillId="0" borderId="6" xfId="3" applyFont="1" applyFill="1" applyBorder="1" applyAlignment="1">
      <alignment horizontal="center" vertical="top" wrapText="1"/>
    </xf>
    <xf numFmtId="0" fontId="25" fillId="0" borderId="0" xfId="1" applyNumberFormat="1" applyFont="1" applyBorder="1" applyAlignment="1">
      <alignment vertical="top"/>
    </xf>
    <xf numFmtId="164" fontId="19" fillId="6" borderId="7" xfId="1" applyNumberFormat="1" applyFont="1" applyFill="1" applyBorder="1" applyAlignment="1">
      <alignment horizontal="center" vertical="top" wrapText="1"/>
    </xf>
    <xf numFmtId="0" fontId="29" fillId="0" borderId="0" xfId="2" applyFont="1" applyFill="1" applyBorder="1" applyAlignment="1">
      <alignment horizontal="center"/>
    </xf>
    <xf numFmtId="0" fontId="21" fillId="0" borderId="0" xfId="1" applyFont="1" applyFill="1" applyBorder="1" applyAlignment="1">
      <alignment horizontal="left" vertical="top" wrapText="1"/>
    </xf>
    <xf numFmtId="0" fontId="21" fillId="0" borderId="14" xfId="1" applyFont="1" applyFill="1" applyBorder="1" applyAlignment="1">
      <alignment horizontal="left" vertical="top" wrapText="1"/>
    </xf>
    <xf numFmtId="0" fontId="21" fillId="0" borderId="14" xfId="2" applyFont="1" applyFill="1" applyBorder="1" applyAlignment="1">
      <alignment horizontal="left" vertical="top" wrapText="1"/>
    </xf>
    <xf numFmtId="0" fontId="21" fillId="0" borderId="14" xfId="3" applyFont="1" applyFill="1" applyBorder="1" applyAlignment="1">
      <alignment horizontal="left" vertical="top" wrapText="1"/>
    </xf>
    <xf numFmtId="0" fontId="21" fillId="0" borderId="8" xfId="2" applyFont="1" applyFill="1" applyBorder="1" applyAlignment="1">
      <alignment horizontal="left" vertical="top" wrapText="1"/>
    </xf>
    <xf numFmtId="0" fontId="21" fillId="0" borderId="8" xfId="3" applyFont="1" applyFill="1" applyBorder="1" applyAlignment="1">
      <alignment horizontal="left" vertical="top" wrapText="1"/>
    </xf>
    <xf numFmtId="164" fontId="19" fillId="6" borderId="15" xfId="1" applyNumberFormat="1" applyFont="1" applyFill="1" applyBorder="1" applyAlignment="1">
      <alignment horizontal="center" vertical="top" wrapText="1"/>
    </xf>
    <xf numFmtId="0" fontId="21" fillId="0" borderId="16" xfId="1" applyFont="1" applyFill="1" applyBorder="1" applyAlignment="1">
      <alignment horizontal="left" vertical="top" wrapText="1"/>
    </xf>
    <xf numFmtId="0" fontId="21" fillId="0" borderId="17" xfId="1" applyFont="1" applyFill="1" applyBorder="1" applyAlignment="1">
      <alignment horizontal="center" vertical="top" wrapText="1"/>
    </xf>
    <xf numFmtId="0" fontId="21" fillId="0" borderId="16" xfId="2" applyFont="1" applyFill="1" applyBorder="1" applyAlignment="1">
      <alignment horizontal="left" vertical="top" wrapText="1"/>
    </xf>
    <xf numFmtId="0" fontId="21" fillId="0" borderId="16" xfId="3" applyFont="1" applyFill="1" applyBorder="1" applyAlignment="1">
      <alignment horizontal="left" vertical="top" wrapText="1"/>
    </xf>
    <xf numFmtId="0" fontId="21" fillId="0" borderId="17" xfId="3" applyFont="1" applyFill="1" applyBorder="1" applyAlignment="1">
      <alignment horizontal="center" vertical="top" wrapText="1"/>
    </xf>
    <xf numFmtId="0" fontId="30" fillId="0" borderId="0" xfId="1" applyFont="1" applyFill="1" applyBorder="1" applyAlignment="1">
      <alignment horizontal="left" vertical="top" wrapText="1"/>
    </xf>
    <xf numFmtId="0" fontId="30" fillId="0" borderId="18" xfId="1" applyFont="1" applyFill="1" applyBorder="1" applyAlignment="1">
      <alignment horizontal="left" vertical="top" wrapText="1"/>
    </xf>
    <xf numFmtId="0" fontId="30" fillId="0" borderId="18" xfId="2" applyFont="1" applyFill="1" applyBorder="1" applyAlignment="1">
      <alignment horizontal="left" vertical="top" wrapText="1"/>
    </xf>
    <xf numFmtId="0" fontId="30" fillId="0" borderId="18" xfId="3" applyFont="1" applyFill="1" applyBorder="1" applyAlignment="1">
      <alignment horizontal="left" vertical="top" wrapText="1"/>
    </xf>
    <xf numFmtId="164" fontId="19" fillId="7" borderId="19" xfId="1" applyNumberFormat="1" applyFont="1" applyFill="1" applyBorder="1" applyAlignment="1">
      <alignment horizontal="center" vertical="top" wrapText="1"/>
    </xf>
    <xf numFmtId="0" fontId="30" fillId="0" borderId="20" xfId="1" applyFont="1" applyFill="1" applyBorder="1" applyAlignment="1">
      <alignment horizontal="left" vertical="top" wrapText="1"/>
    </xf>
    <xf numFmtId="0" fontId="22" fillId="0" borderId="17" xfId="1" applyFont="1" applyFill="1" applyBorder="1" applyAlignment="1">
      <alignment horizontal="center" vertical="top" wrapText="1"/>
    </xf>
    <xf numFmtId="0" fontId="30" fillId="0" borderId="20" xfId="2" applyFont="1" applyFill="1" applyBorder="1" applyAlignment="1">
      <alignment horizontal="left" vertical="top" wrapText="1"/>
    </xf>
    <xf numFmtId="0" fontId="30" fillId="0" borderId="20" xfId="3" applyFont="1" applyFill="1" applyBorder="1" applyAlignment="1">
      <alignment horizontal="left" vertical="top" wrapText="1"/>
    </xf>
    <xf numFmtId="0" fontId="22" fillId="0" borderId="17" xfId="3" applyFont="1" applyFill="1" applyBorder="1" applyAlignment="1">
      <alignment horizontal="center" vertical="top" wrapText="1"/>
    </xf>
    <xf numFmtId="0" fontId="23" fillId="0" borderId="0" xfId="1" applyFont="1" applyFill="1" applyBorder="1" applyAlignment="1">
      <alignment horizontal="left" vertical="top" wrapText="1"/>
    </xf>
    <xf numFmtId="0" fontId="23" fillId="0" borderId="21" xfId="1" applyFont="1" applyFill="1" applyBorder="1" applyAlignment="1">
      <alignment horizontal="left" vertical="top" wrapText="1"/>
    </xf>
    <xf numFmtId="0" fontId="23" fillId="0" borderId="21" xfId="2" applyFont="1" applyFill="1" applyBorder="1" applyAlignment="1">
      <alignment horizontal="left" vertical="top" wrapText="1"/>
    </xf>
    <xf numFmtId="0" fontId="23" fillId="0" borderId="21" xfId="3" applyFont="1" applyFill="1" applyBorder="1" applyAlignment="1">
      <alignment horizontal="left" vertical="top" wrapText="1"/>
    </xf>
    <xf numFmtId="164" fontId="19" fillId="8" borderId="22" xfId="1" applyNumberFormat="1" applyFont="1" applyFill="1" applyBorder="1" applyAlignment="1">
      <alignment horizontal="center" vertical="top" wrapText="1"/>
    </xf>
    <xf numFmtId="0" fontId="23" fillId="0" borderId="23" xfId="1" applyFont="1" applyFill="1" applyBorder="1" applyAlignment="1">
      <alignment horizontal="left" vertical="top" wrapText="1"/>
    </xf>
    <xf numFmtId="0" fontId="23" fillId="0" borderId="17" xfId="1" applyFont="1" applyFill="1" applyBorder="1" applyAlignment="1">
      <alignment horizontal="center" vertical="top" wrapText="1"/>
    </xf>
    <xf numFmtId="0" fontId="23" fillId="0" borderId="23" xfId="2" applyFont="1" applyFill="1" applyBorder="1" applyAlignment="1">
      <alignment horizontal="left" vertical="top" wrapText="1"/>
    </xf>
    <xf numFmtId="0" fontId="23" fillId="0" borderId="23" xfId="3" applyFont="1" applyFill="1" applyBorder="1" applyAlignment="1">
      <alignment horizontal="left" vertical="top" wrapText="1"/>
    </xf>
    <xf numFmtId="0" fontId="23" fillId="0" borderId="17" xfId="3" applyFont="1" applyFill="1" applyBorder="1" applyAlignment="1">
      <alignment horizontal="center" vertical="top" wrapText="1"/>
    </xf>
    <xf numFmtId="164" fontId="19" fillId="4" borderId="24" xfId="1" applyNumberFormat="1" applyFont="1" applyFill="1" applyBorder="1" applyAlignment="1">
      <alignment horizontal="center" vertical="top" wrapText="1"/>
    </xf>
    <xf numFmtId="0" fontId="27" fillId="0" borderId="25" xfId="1" applyFont="1" applyFill="1" applyBorder="1" applyAlignment="1">
      <alignment horizontal="left" vertical="top" wrapText="1"/>
    </xf>
    <xf numFmtId="0" fontId="20" fillId="0" borderId="17" xfId="1" applyFont="1" applyFill="1" applyBorder="1" applyAlignment="1">
      <alignment horizontal="center" vertical="top" wrapText="1"/>
    </xf>
    <xf numFmtId="0" fontId="27" fillId="0" borderId="25" xfId="2" applyFont="1" applyFill="1" applyBorder="1" applyAlignment="1">
      <alignment horizontal="left" vertical="top" wrapText="1"/>
    </xf>
    <xf numFmtId="0" fontId="27" fillId="0" borderId="25" xfId="3" applyFont="1" applyFill="1" applyBorder="1" applyAlignment="1">
      <alignment horizontal="left" vertical="top" wrapText="1"/>
    </xf>
    <xf numFmtId="0" fontId="20" fillId="0" borderId="17" xfId="3" applyFont="1" applyFill="1" applyBorder="1" applyAlignment="1">
      <alignment horizontal="center" vertical="top" wrapText="1"/>
    </xf>
    <xf numFmtId="164" fontId="19" fillId="4" borderId="25" xfId="1" applyNumberFormat="1" applyFont="1" applyFill="1" applyBorder="1" applyAlignment="1">
      <alignment horizontal="center" vertical="top" wrapText="1"/>
    </xf>
    <xf numFmtId="0" fontId="32" fillId="0" borderId="0" xfId="0" applyFont="1" applyAlignment="1">
      <alignment vertical="center" wrapText="1"/>
    </xf>
    <xf numFmtId="0" fontId="34" fillId="0" borderId="0" xfId="0" applyFont="1" applyAlignment="1">
      <alignment wrapText="1"/>
    </xf>
    <xf numFmtId="0" fontId="33" fillId="4" borderId="0" xfId="5" applyFont="1" applyFill="1" applyBorder="1" applyAlignment="1">
      <alignment horizontal="center" vertical="center"/>
    </xf>
    <xf numFmtId="0" fontId="10" fillId="0" borderId="0" xfId="0" applyFont="1" applyAlignment="1">
      <alignment wrapText="1"/>
    </xf>
    <xf numFmtId="0" fontId="10" fillId="0" borderId="0" xfId="0" applyFont="1" applyAlignment="1">
      <alignment horizontal="center" wrapText="1"/>
    </xf>
    <xf numFmtId="0" fontId="36" fillId="0" borderId="0" xfId="1" applyFont="1" applyAlignment="1">
      <alignment wrapText="1"/>
    </xf>
    <xf numFmtId="0" fontId="37" fillId="0" borderId="0" xfId="0" applyFont="1" applyAlignment="1">
      <alignment wrapText="1"/>
    </xf>
    <xf numFmtId="0" fontId="42" fillId="0" borderId="0" xfId="0" applyFont="1"/>
    <xf numFmtId="0" fontId="44" fillId="0" borderId="0" xfId="0" applyFont="1"/>
    <xf numFmtId="0" fontId="46" fillId="0" borderId="11" xfId="1" applyFont="1" applyBorder="1" applyAlignment="1">
      <alignment horizontal="center"/>
    </xf>
    <xf numFmtId="164" fontId="18" fillId="7" borderId="19" xfId="1" applyNumberFormat="1" applyFont="1" applyFill="1" applyBorder="1" applyAlignment="1">
      <alignment horizontal="center" vertical="top" wrapText="1"/>
    </xf>
    <xf numFmtId="164" fontId="46" fillId="0" borderId="11" xfId="1" applyNumberFormat="1" applyFont="1" applyFill="1" applyBorder="1" applyAlignment="1">
      <alignment horizontal="center" vertical="top" wrapText="1"/>
    </xf>
    <xf numFmtId="0" fontId="44" fillId="0" borderId="0" xfId="0" applyFont="1" applyAlignment="1">
      <alignment horizontal="center"/>
    </xf>
    <xf numFmtId="0" fontId="46" fillId="0" borderId="18" xfId="1" applyFont="1" applyFill="1" applyBorder="1" applyAlignment="1">
      <alignment horizontal="left" vertical="top" wrapText="1"/>
    </xf>
    <xf numFmtId="0" fontId="46" fillId="0" borderId="20" xfId="1" applyFont="1" applyFill="1" applyBorder="1" applyAlignment="1">
      <alignment horizontal="left" vertical="top" wrapText="1"/>
    </xf>
    <xf numFmtId="0" fontId="46" fillId="0" borderId="0" xfId="1" applyFont="1" applyFill="1" applyBorder="1" applyAlignment="1">
      <alignment horizontal="left" vertical="top" wrapText="1"/>
    </xf>
    <xf numFmtId="0" fontId="10" fillId="0" borderId="0" xfId="1" applyNumberFormat="1" applyFont="1" applyBorder="1" applyAlignment="1">
      <alignment horizontal="center" vertical="center" wrapText="1"/>
    </xf>
    <xf numFmtId="0" fontId="35" fillId="0" borderId="0" xfId="1" applyNumberFormat="1" applyFont="1" applyBorder="1" applyAlignment="1">
      <alignment horizontal="center" vertical="center"/>
    </xf>
    <xf numFmtId="0" fontId="10" fillId="0" borderId="0" xfId="1" applyFont="1" applyAlignment="1">
      <alignment horizontal="center" wrapText="1"/>
    </xf>
    <xf numFmtId="0" fontId="35" fillId="0" borderId="0" xfId="1" applyFont="1" applyAlignment="1">
      <alignment horizontal="center"/>
    </xf>
    <xf numFmtId="165" fontId="10" fillId="0" borderId="0" xfId="1" applyNumberFormat="1" applyFont="1" applyBorder="1" applyAlignment="1">
      <alignment horizontal="center" vertical="center"/>
    </xf>
    <xf numFmtId="165" fontId="9" fillId="0" borderId="0" xfId="1" applyNumberFormat="1" applyFont="1" applyBorder="1" applyAlignment="1">
      <alignment horizontal="center" vertical="center"/>
    </xf>
    <xf numFmtId="0" fontId="28" fillId="0" borderId="0" xfId="1" applyNumberFormat="1" applyFont="1" applyBorder="1" applyAlignment="1">
      <alignment horizontal="center" vertical="top"/>
    </xf>
    <xf numFmtId="165" fontId="5" fillId="0" borderId="0" xfId="1" applyNumberFormat="1" applyFont="1" applyBorder="1" applyAlignment="1">
      <alignment horizontal="center" vertical="center"/>
    </xf>
    <xf numFmtId="165" fontId="28" fillId="0" borderId="0" xfId="1" applyNumberFormat="1" applyFont="1" applyBorder="1" applyAlignment="1">
      <alignment vertical="top"/>
    </xf>
    <xf numFmtId="0" fontId="25" fillId="0" borderId="0" xfId="1" applyNumberFormat="1" applyFont="1" applyBorder="1" applyAlignment="1">
      <alignment horizontal="left" vertical="top"/>
    </xf>
    <xf numFmtId="165" fontId="25" fillId="0" borderId="0" xfId="1" applyNumberFormat="1" applyFont="1" applyBorder="1" applyAlignment="1">
      <alignment horizontal="left" vertical="top"/>
    </xf>
    <xf numFmtId="0" fontId="15" fillId="0" borderId="0" xfId="1" applyNumberFormat="1" applyFont="1" applyBorder="1" applyAlignment="1">
      <alignment horizontal="center" vertical="top"/>
    </xf>
    <xf numFmtId="0" fontId="36" fillId="0" borderId="0" xfId="1" applyFont="1" applyAlignment="1">
      <alignment horizontal="center" vertical="top" wrapText="1"/>
    </xf>
    <xf numFmtId="165" fontId="39" fillId="0" borderId="0" xfId="1" applyNumberFormat="1" applyFont="1" applyBorder="1" applyAlignment="1">
      <alignment horizontal="center" vertical="center" wrapText="1"/>
    </xf>
    <xf numFmtId="165" fontId="39" fillId="0" borderId="0" xfId="1" applyNumberFormat="1" applyFont="1" applyBorder="1" applyAlignment="1">
      <alignment horizontal="center" vertical="center"/>
    </xf>
    <xf numFmtId="165" fontId="10" fillId="0" borderId="0" xfId="1" applyNumberFormat="1" applyFont="1" applyBorder="1" applyAlignment="1">
      <alignment horizontal="center" vertical="center" wrapText="1"/>
    </xf>
    <xf numFmtId="165" fontId="35" fillId="0" borderId="0" xfId="1" applyNumberFormat="1" applyFont="1" applyBorder="1" applyAlignment="1">
      <alignment horizontal="center" vertical="center"/>
    </xf>
    <xf numFmtId="0" fontId="12" fillId="0" borderId="0" xfId="1" applyNumberFormat="1" applyFont="1" applyBorder="1" applyAlignment="1">
      <alignment horizontal="center" vertical="top"/>
    </xf>
    <xf numFmtId="0" fontId="28" fillId="0" borderId="0" xfId="1" applyNumberFormat="1" applyFont="1" applyBorder="1" applyAlignment="1">
      <alignment horizontal="right" vertical="top"/>
    </xf>
    <xf numFmtId="165" fontId="10" fillId="0" borderId="0" xfId="1" applyNumberFormat="1" applyFont="1" applyBorder="1" applyAlignment="1">
      <alignment horizontal="center" vertical="top"/>
    </xf>
    <xf numFmtId="165" fontId="9" fillId="0" borderId="0" xfId="1" applyNumberFormat="1" applyFont="1" applyBorder="1" applyAlignment="1">
      <alignment horizontal="center" vertical="top"/>
    </xf>
    <xf numFmtId="165" fontId="15" fillId="0" borderId="0" xfId="1" applyNumberFormat="1" applyFont="1" applyBorder="1" applyAlignment="1">
      <alignment vertical="top"/>
    </xf>
    <xf numFmtId="165" fontId="15" fillId="0" borderId="0" xfId="1" applyNumberFormat="1" applyFont="1" applyBorder="1" applyAlignment="1">
      <alignment horizontal="left" vertical="top"/>
    </xf>
    <xf numFmtId="165" fontId="12" fillId="0" borderId="0" xfId="1" applyNumberFormat="1" applyFont="1" applyBorder="1" applyAlignment="1">
      <alignment horizontal="left" vertical="top"/>
    </xf>
    <xf numFmtId="0" fontId="25" fillId="0" borderId="0" xfId="1" applyNumberFormat="1" applyFont="1" applyBorder="1" applyAlignment="1">
      <alignment horizontal="center" vertical="top"/>
    </xf>
    <xf numFmtId="0" fontId="36" fillId="0" borderId="0" xfId="1" applyFont="1" applyAlignment="1">
      <alignment horizontal="center" wrapText="1"/>
    </xf>
    <xf numFmtId="0" fontId="6" fillId="0" borderId="0" xfId="1" applyNumberFormat="1" applyFont="1" applyBorder="1" applyAlignment="1">
      <alignment horizontal="center" vertical="top"/>
    </xf>
    <xf numFmtId="165" fontId="38" fillId="0" borderId="0" xfId="1" applyNumberFormat="1" applyFont="1" applyBorder="1" applyAlignment="1">
      <alignment horizontal="center" vertical="center"/>
    </xf>
    <xf numFmtId="0" fontId="46" fillId="0" borderId="29" xfId="1" applyFont="1" applyFill="1" applyBorder="1" applyAlignment="1">
      <alignment horizontal="center" vertical="center" wrapText="1"/>
    </xf>
    <xf numFmtId="0" fontId="46" fillId="0" borderId="28" xfId="1" applyFont="1" applyFill="1" applyBorder="1" applyAlignment="1">
      <alignment horizontal="center" vertical="center" wrapText="1"/>
    </xf>
    <xf numFmtId="0" fontId="46" fillId="0" borderId="18" xfId="1" applyFont="1" applyFill="1" applyBorder="1" applyAlignment="1">
      <alignment horizontal="center" vertical="center" wrapText="1"/>
    </xf>
    <xf numFmtId="0" fontId="46" fillId="0" borderId="30" xfId="1" applyFont="1" applyFill="1" applyBorder="1" applyAlignment="1">
      <alignment horizontal="center" vertical="center" wrapText="1"/>
    </xf>
    <xf numFmtId="165" fontId="44" fillId="0" borderId="0" xfId="1" applyNumberFormat="1" applyFont="1" applyBorder="1" applyAlignment="1">
      <alignment horizontal="center" vertical="center"/>
    </xf>
    <xf numFmtId="165" fontId="43" fillId="0" borderId="0" xfId="1" applyNumberFormat="1" applyFont="1" applyBorder="1" applyAlignment="1">
      <alignment vertical="top"/>
    </xf>
    <xf numFmtId="165" fontId="47" fillId="0" borderId="0" xfId="1" applyNumberFormat="1" applyFont="1" applyBorder="1" applyAlignment="1">
      <alignment horizontal="center" vertical="center"/>
    </xf>
    <xf numFmtId="0" fontId="45" fillId="0" borderId="27" xfId="2" applyFont="1" applyFill="1" applyBorder="1" applyAlignment="1">
      <alignment horizontal="center"/>
    </xf>
    <xf numFmtId="0" fontId="46" fillId="0" borderId="27" xfId="1" applyFont="1" applyFill="1" applyBorder="1" applyAlignment="1">
      <alignment horizontal="center" vertical="center" wrapText="1"/>
    </xf>
    <xf numFmtId="0" fontId="40" fillId="0" borderId="0" xfId="0" applyFont="1" applyAlignment="1">
      <alignment horizontal="center" wrapText="1"/>
    </xf>
    <xf numFmtId="0" fontId="40" fillId="0" borderId="0" xfId="0" applyFont="1" applyAlignment="1">
      <alignment horizontal="center"/>
    </xf>
  </cellXfs>
  <cellStyles count="6">
    <cellStyle name="40% - Accent1 2" xfId="3" xr:uid="{00000000-0005-0000-0000-000000000000}"/>
    <cellStyle name="Accent1 2" xfId="2" xr:uid="{00000000-0005-0000-0000-000001000000}"/>
    <cellStyle name="Heading 1 2" xfId="4" xr:uid="{00000000-0005-0000-0000-000002000000}"/>
    <cellStyle name="Heading 2" xfId="5" builtinId="17"/>
    <cellStyle name="Normal" xfId="0" builtinId="0" customBuiltin="1"/>
    <cellStyle name="Normal 2" xfId="1" xr:uid="{00000000-0005-0000-0000-000004000000}"/>
  </cellStyles>
  <dxfs count="57">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dxf>
    <dxf>
      <font>
        <color theme="0"/>
      </font>
    </dxf>
    <dxf>
      <font>
        <color theme="0"/>
      </font>
    </dxf>
    <dxf>
      <font>
        <color theme="0"/>
      </font>
    </dxf>
    <dxf>
      <font>
        <color theme="0"/>
      </font>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xr9:uid="{00000000-0011-0000-FFFF-FFFF00000000}">
      <tableStyleElement type="wholeTable" dxfId="56"/>
      <tableStyleElement type="headerRow" dxfId="55"/>
      <tableStyleElement type="totalRow" dxfId="54"/>
      <tableStyleElement type="firstColumn" dxfId="53"/>
      <tableStyleElement type="lastColumn" dxfId="52"/>
      <tableStyleElement type="firstRowStripe" dxfId="51"/>
      <tableStyleElement type="firstColumnStripe" dxfId="50"/>
    </tableStyle>
    <tableStyle name="TableStyleLight9 2" pivot="0" count="4" xr9:uid="{00000000-0011-0000-FFFF-FFFF01000000}">
      <tableStyleElement type="wholeTable" dxfId="49"/>
      <tableStyleElement type="headerRow" dxfId="48"/>
      <tableStyleElement type="totalRow" dxfId="47"/>
      <tableStyleElement type="firstColumn" dxfId="4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trlProps/ctrlProp1.xml><?xml version="1.0" encoding="utf-8"?>
<formControlPr xmlns="http://schemas.microsoft.com/office/spreadsheetml/2009/9/main" objectType="Spin" dx="16" fmlaLink="$M$2" max="2999" min="1900" page="10" val="2020"/>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9</xdr:col>
      <xdr:colOff>371476</xdr:colOff>
      <xdr:row>0</xdr:row>
      <xdr:rowOff>152399</xdr:rowOff>
    </xdr:from>
    <xdr:to>
      <xdr:col>11</xdr:col>
      <xdr:colOff>771121</xdr:colOff>
      <xdr:row>3</xdr:row>
      <xdr:rowOff>38099</xdr:rowOff>
    </xdr:to>
    <xdr:pic>
      <xdr:nvPicPr>
        <xdr:cNvPr id="3" name="Picture 2" descr="Tree and snow flick">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2</xdr:row>
      <xdr:rowOff>28573</xdr:rowOff>
    </xdr:from>
    <xdr:to>
      <xdr:col>13</xdr:col>
      <xdr:colOff>251862</xdr:colOff>
      <xdr:row>17</xdr:row>
      <xdr:rowOff>22858</xdr:rowOff>
    </xdr:to>
    <xdr:grpSp>
      <xdr:nvGrpSpPr>
        <xdr:cNvPr id="46" name="Group 45" descr="Season block with picture and notes">
          <a:extLst>
            <a:ext uri="{FF2B5EF4-FFF2-40B4-BE49-F238E27FC236}">
              <a16:creationId xmlns:a16="http://schemas.microsoft.com/office/drawing/2014/main" id="{00000000-0008-0000-0100-00002E000000}"/>
            </a:ext>
          </a:extLst>
        </xdr:cNvPr>
        <xdr:cNvGrpSpPr/>
      </xdr:nvGrpSpPr>
      <xdr:grpSpPr>
        <a:xfrm>
          <a:off x="321564" y="892173"/>
          <a:ext cx="7054998" cy="3518535"/>
          <a:chOff x="327914" y="895348"/>
          <a:chExt cx="7277248" cy="3566160"/>
        </a:xfrm>
      </xdr:grpSpPr>
      <xdr:sp macro="" textlink="">
        <xdr:nvSpPr>
          <xdr:cNvPr id="2" name="Rectangle 1" descr="Blue block representing winters">
            <a:extLst>
              <a:ext uri="{FF2B5EF4-FFF2-40B4-BE49-F238E27FC236}">
                <a16:creationId xmlns:a16="http://schemas.microsoft.com/office/drawing/2014/main" id="{00000000-0008-0000-0100-000002000000}"/>
              </a:ext>
            </a:extLst>
          </xdr:cNvPr>
          <xdr:cNvSpPr/>
        </xdr:nvSpPr>
        <xdr:spPr>
          <a:xfrm>
            <a:off x="327914" y="895348"/>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 name="Picture 3" descr="Mother and son on sled">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
        <xdr:nvSpPr>
          <xdr:cNvPr id="5" name="TextBox 4" descr="Notes">
            <a:extLst>
              <a:ext uri="{FF2B5EF4-FFF2-40B4-BE49-F238E27FC236}">
                <a16:creationId xmlns:a16="http://schemas.microsoft.com/office/drawing/2014/main" id="{00000000-0008-0000-0100-000005000000}"/>
              </a:ext>
            </a:extLst>
          </xdr:cNvPr>
          <xdr:cNvSpPr txBox="1"/>
        </xdr:nvSpPr>
        <xdr:spPr>
          <a:xfrm>
            <a:off x="5486400"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B4ADB0E0-3411-46C2-A6D9-A535DCBC2046}" type="TxLink">
              <a:rPr lang="en-US" sz="1200" b="0" i="0" u="none" strike="noStrike">
                <a:solidFill>
                  <a:schemeClr val="bg1"/>
                </a:solidFill>
                <a:latin typeface="Cambria"/>
              </a:rPr>
              <a:pPr algn="ctr"/>
              <a:t>NOTES
</a:t>
            </a:fld>
            <a:endParaRPr lang="en-US" sz="1200">
              <a:solidFill>
                <a:schemeClr val="bg1"/>
              </a:solidFill>
              <a:latin typeface="+mn-lt"/>
            </a:endParaRPr>
          </a:p>
        </xdr:txBody>
      </xdr:sp>
    </xdr:grpSp>
    <xdr:clientData/>
  </xdr:twoCellAnchor>
  <xdr:twoCellAnchor editAs="oneCell">
    <xdr:from>
      <xdr:col>9</xdr:col>
      <xdr:colOff>371476</xdr:colOff>
      <xdr:row>36</xdr:row>
      <xdr:rowOff>152399</xdr:rowOff>
    </xdr:from>
    <xdr:to>
      <xdr:col>11</xdr:col>
      <xdr:colOff>771121</xdr:colOff>
      <xdr:row>39</xdr:row>
      <xdr:rowOff>38099</xdr:rowOff>
    </xdr:to>
    <xdr:pic>
      <xdr:nvPicPr>
        <xdr:cNvPr id="6" name="Picture 5" descr="Tree and snow flick">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38</xdr:row>
      <xdr:rowOff>28573</xdr:rowOff>
    </xdr:from>
    <xdr:to>
      <xdr:col>13</xdr:col>
      <xdr:colOff>251862</xdr:colOff>
      <xdr:row>53</xdr:row>
      <xdr:rowOff>22858</xdr:rowOff>
    </xdr:to>
    <xdr:grpSp>
      <xdr:nvGrpSpPr>
        <xdr:cNvPr id="47" name="Group 46" descr="Season block with picture and notes">
          <a:extLst>
            <a:ext uri="{FF2B5EF4-FFF2-40B4-BE49-F238E27FC236}">
              <a16:creationId xmlns:a16="http://schemas.microsoft.com/office/drawing/2014/main" id="{00000000-0008-0000-0100-00002F000000}"/>
            </a:ext>
          </a:extLst>
        </xdr:cNvPr>
        <xdr:cNvGrpSpPr/>
      </xdr:nvGrpSpPr>
      <xdr:grpSpPr>
        <a:xfrm>
          <a:off x="321564" y="11712573"/>
          <a:ext cx="7054998" cy="3518535"/>
          <a:chOff x="327914" y="11782423"/>
          <a:chExt cx="7277248" cy="3566160"/>
        </a:xfrm>
      </xdr:grpSpPr>
      <xdr:sp macro="" textlink="">
        <xdr:nvSpPr>
          <xdr:cNvPr id="7" name="Rectangle 6" descr="Blue block representing winters">
            <a:extLst>
              <a:ext uri="{FF2B5EF4-FFF2-40B4-BE49-F238E27FC236}">
                <a16:creationId xmlns:a16="http://schemas.microsoft.com/office/drawing/2014/main" id="{00000000-0008-0000-0100-000007000000}"/>
              </a:ext>
            </a:extLst>
          </xdr:cNvPr>
          <xdr:cNvSpPr/>
        </xdr:nvSpPr>
        <xdr:spPr>
          <a:xfrm>
            <a:off x="327914" y="11782423"/>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8" name="Picture 7" descr="Young child wrapped in a blanket">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9">
        <xdr:nvSpPr>
          <xdr:cNvPr id="9" name="TextBox 8" descr="Notes">
            <a:extLst>
              <a:ext uri="{FF2B5EF4-FFF2-40B4-BE49-F238E27FC236}">
                <a16:creationId xmlns:a16="http://schemas.microsoft.com/office/drawing/2014/main" id="{00000000-0008-0000-0100-000009000000}"/>
              </a:ext>
            </a:extLst>
          </xdr:cNvPr>
          <xdr:cNvSpPr txBox="1"/>
        </xdr:nvSpPr>
        <xdr:spPr>
          <a:xfrm>
            <a:off x="5524500"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0774B4B5-CE9B-4950-BAD5-86FE61F4953C}" type="TxLink">
              <a:rPr lang="en-US" sz="1200" b="0" i="0" u="none" strike="noStrike">
                <a:solidFill>
                  <a:srgbClr val="FFFFFF"/>
                </a:solidFill>
                <a:latin typeface="Cambria"/>
              </a:rPr>
              <a:pPr algn="ctr"/>
              <a:t>NOTES
</a:t>
            </a:fld>
            <a:endParaRPr lang="en-US" sz="1200">
              <a:solidFill>
                <a:schemeClr val="bg1"/>
              </a:solidFill>
              <a:latin typeface="+mn-lt"/>
            </a:endParaRPr>
          </a:p>
        </xdr:txBody>
      </xdr:sp>
    </xdr:grpSp>
    <xdr:clientData/>
  </xdr:twoCellAnchor>
  <xdr:twoCellAnchor editAs="oneCell">
    <xdr:from>
      <xdr:col>10</xdr:col>
      <xdr:colOff>57150</xdr:colOff>
      <xdr:row>73</xdr:row>
      <xdr:rowOff>73554</xdr:rowOff>
    </xdr:from>
    <xdr:to>
      <xdr:col>11</xdr:col>
      <xdr:colOff>590550</xdr:colOff>
      <xdr:row>74</xdr:row>
      <xdr:rowOff>185473</xdr:rowOff>
    </xdr:to>
    <xdr:pic>
      <xdr:nvPicPr>
        <xdr:cNvPr id="10" name="Picture 9" descr="Green tree">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953125" y="22028679"/>
          <a:ext cx="771525" cy="797719"/>
        </a:xfrm>
        <a:prstGeom prst="rect">
          <a:avLst/>
        </a:prstGeom>
      </xdr:spPr>
    </xdr:pic>
    <xdr:clientData/>
  </xdr:twoCellAnchor>
  <xdr:twoCellAnchor editAs="oneCell">
    <xdr:from>
      <xdr:col>1</xdr:col>
      <xdr:colOff>0</xdr:colOff>
      <xdr:row>74</xdr:row>
      <xdr:rowOff>28574</xdr:rowOff>
    </xdr:from>
    <xdr:to>
      <xdr:col>13</xdr:col>
      <xdr:colOff>249174</xdr:colOff>
      <xdr:row>89</xdr:row>
      <xdr:rowOff>19050</xdr:rowOff>
    </xdr:to>
    <xdr:grpSp>
      <xdr:nvGrpSpPr>
        <xdr:cNvPr id="48" name="Group 47" descr="Season block with picture and notes">
          <a:extLst>
            <a:ext uri="{FF2B5EF4-FFF2-40B4-BE49-F238E27FC236}">
              <a16:creationId xmlns:a16="http://schemas.microsoft.com/office/drawing/2014/main" id="{00000000-0008-0000-0100-000030000000}"/>
            </a:ext>
          </a:extLst>
        </xdr:cNvPr>
        <xdr:cNvGrpSpPr/>
      </xdr:nvGrpSpPr>
      <xdr:grpSpPr>
        <a:xfrm>
          <a:off x="317500" y="22532974"/>
          <a:ext cx="7056374" cy="3514726"/>
          <a:chOff x="323850" y="22669499"/>
          <a:chExt cx="7278624" cy="3562351"/>
        </a:xfrm>
      </xdr:grpSpPr>
      <xdr:sp macro="" textlink="">
        <xdr:nvSpPr>
          <xdr:cNvPr id="11" name="Rectangle 10" descr="Green block representing spring">
            <a:extLst>
              <a:ext uri="{FF2B5EF4-FFF2-40B4-BE49-F238E27FC236}">
                <a16:creationId xmlns:a16="http://schemas.microsoft.com/office/drawing/2014/main" id="{00000000-0008-0000-0100-00000B000000}"/>
              </a:ext>
            </a:extLst>
          </xdr:cNvPr>
          <xdr:cNvSpPr/>
        </xdr:nvSpPr>
        <xdr:spPr>
          <a:xfrm>
            <a:off x="323850" y="22669499"/>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2" name="Picture 11" descr="Three kids wearing rain boots playing outside">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75">
        <xdr:nvSpPr>
          <xdr:cNvPr id="13" name="TextBox 12" descr="Notes">
            <a:extLst>
              <a:ext uri="{FF2B5EF4-FFF2-40B4-BE49-F238E27FC236}">
                <a16:creationId xmlns:a16="http://schemas.microsoft.com/office/drawing/2014/main" id="{00000000-0008-0000-0100-00000D000000}"/>
              </a:ext>
            </a:extLst>
          </xdr:cNvPr>
          <xdr:cNvSpPr txBox="1"/>
        </xdr:nvSpPr>
        <xdr:spPr>
          <a:xfrm>
            <a:off x="5514976"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3F3973DD-6219-4BB2-8E58-5CC1773E09D7}" type="TxLink">
              <a:rPr lang="en-US" sz="1200" b="0" i="0" u="none" strike="noStrike">
                <a:solidFill>
                  <a:srgbClr val="FFFFFF"/>
                </a:solidFill>
                <a:latin typeface="Cambria"/>
              </a:rPr>
              <a:pPr algn="ctr"/>
              <a:t>NOTES
</a:t>
            </a:fld>
            <a:endParaRPr lang="en-US" sz="1200">
              <a:solidFill>
                <a:schemeClr val="bg1"/>
              </a:solidFill>
              <a:latin typeface="+mn-lt"/>
            </a:endParaRPr>
          </a:p>
        </xdr:txBody>
      </xdr:sp>
    </xdr:grpSp>
    <xdr:clientData/>
  </xdr:twoCellAnchor>
  <xdr:twoCellAnchor editAs="oneCell">
    <xdr:from>
      <xdr:col>11</xdr:col>
      <xdr:colOff>9525</xdr:colOff>
      <xdr:row>109</xdr:row>
      <xdr:rowOff>73554</xdr:rowOff>
    </xdr:from>
    <xdr:to>
      <xdr:col>11</xdr:col>
      <xdr:colOff>781050</xdr:colOff>
      <xdr:row>110</xdr:row>
      <xdr:rowOff>185473</xdr:rowOff>
    </xdr:to>
    <xdr:pic>
      <xdr:nvPicPr>
        <xdr:cNvPr id="14" name="Picture 13" descr="Green tree">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editAs="oneCell">
    <xdr:from>
      <xdr:col>1</xdr:col>
      <xdr:colOff>0</xdr:colOff>
      <xdr:row>110</xdr:row>
      <xdr:rowOff>28574</xdr:rowOff>
    </xdr:from>
    <xdr:to>
      <xdr:col>13</xdr:col>
      <xdr:colOff>249174</xdr:colOff>
      <xdr:row>125</xdr:row>
      <xdr:rowOff>19050</xdr:rowOff>
    </xdr:to>
    <xdr:grpSp>
      <xdr:nvGrpSpPr>
        <xdr:cNvPr id="49" name="Group 48" descr="Season block with picture and notes">
          <a:extLst>
            <a:ext uri="{FF2B5EF4-FFF2-40B4-BE49-F238E27FC236}">
              <a16:creationId xmlns:a16="http://schemas.microsoft.com/office/drawing/2014/main" id="{00000000-0008-0000-0100-000031000000}"/>
            </a:ext>
          </a:extLst>
        </xdr:cNvPr>
        <xdr:cNvGrpSpPr/>
      </xdr:nvGrpSpPr>
      <xdr:grpSpPr>
        <a:xfrm>
          <a:off x="317500" y="33353374"/>
          <a:ext cx="7056374" cy="3514726"/>
          <a:chOff x="323850" y="33556574"/>
          <a:chExt cx="7278624" cy="3562351"/>
        </a:xfrm>
      </xdr:grpSpPr>
      <xdr:sp macro="" textlink="">
        <xdr:nvSpPr>
          <xdr:cNvPr id="15" name="Rectangle 14" descr="Green block representing spring">
            <a:extLst>
              <a:ext uri="{FF2B5EF4-FFF2-40B4-BE49-F238E27FC236}">
                <a16:creationId xmlns:a16="http://schemas.microsoft.com/office/drawing/2014/main" id="{00000000-0008-0000-0100-00000F000000}"/>
              </a:ext>
            </a:extLst>
          </xdr:cNvPr>
          <xdr:cNvSpPr/>
        </xdr:nvSpPr>
        <xdr:spPr>
          <a:xfrm>
            <a:off x="323850" y="33556574"/>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6" name="Picture 15" descr="Young girl standing in a field of cherry blossoms">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11">
        <xdr:nvSpPr>
          <xdr:cNvPr id="17" name="TextBox 16" descr="Notes">
            <a:extLst>
              <a:ext uri="{FF2B5EF4-FFF2-40B4-BE49-F238E27FC236}">
                <a16:creationId xmlns:a16="http://schemas.microsoft.com/office/drawing/2014/main" id="{00000000-0008-0000-0100-000011000000}"/>
              </a:ext>
            </a:extLst>
          </xdr:cNvPr>
          <xdr:cNvSpPr txBox="1"/>
        </xdr:nvSpPr>
        <xdr:spPr>
          <a:xfrm>
            <a:off x="5524501"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F6BC6EB1-2CAB-4C11-AB2B-2719D4AF2BD4}" type="TxLink">
              <a:rPr lang="en-US" sz="1200" b="0" i="0" u="none" strike="noStrike">
                <a:solidFill>
                  <a:srgbClr val="FFFFFF"/>
                </a:solidFill>
                <a:latin typeface="Cambria"/>
              </a:rPr>
              <a:pPr algn="ctr"/>
              <a:t>NOTES
</a:t>
            </a:fld>
            <a:endParaRPr lang="en-US" sz="1600">
              <a:solidFill>
                <a:schemeClr val="bg1"/>
              </a:solidFill>
              <a:latin typeface="+mj-lt"/>
            </a:endParaRPr>
          </a:p>
        </xdr:txBody>
      </xdr:sp>
    </xdr:grpSp>
    <xdr:clientData/>
  </xdr:twoCellAnchor>
  <xdr:twoCellAnchor editAs="oneCell">
    <xdr:from>
      <xdr:col>11</xdr:col>
      <xdr:colOff>9525</xdr:colOff>
      <xdr:row>145</xdr:row>
      <xdr:rowOff>73554</xdr:rowOff>
    </xdr:from>
    <xdr:to>
      <xdr:col>11</xdr:col>
      <xdr:colOff>781050</xdr:colOff>
      <xdr:row>146</xdr:row>
      <xdr:rowOff>185473</xdr:rowOff>
    </xdr:to>
    <xdr:pic>
      <xdr:nvPicPr>
        <xdr:cNvPr id="18" name="Picture 17" descr="Green tree">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editAs="oneCell">
    <xdr:from>
      <xdr:col>1</xdr:col>
      <xdr:colOff>0</xdr:colOff>
      <xdr:row>146</xdr:row>
      <xdr:rowOff>28574</xdr:rowOff>
    </xdr:from>
    <xdr:to>
      <xdr:col>13</xdr:col>
      <xdr:colOff>249174</xdr:colOff>
      <xdr:row>161</xdr:row>
      <xdr:rowOff>19050</xdr:rowOff>
    </xdr:to>
    <xdr:grpSp>
      <xdr:nvGrpSpPr>
        <xdr:cNvPr id="62" name="Group 61" descr="Season block with picture and notes">
          <a:extLst>
            <a:ext uri="{FF2B5EF4-FFF2-40B4-BE49-F238E27FC236}">
              <a16:creationId xmlns:a16="http://schemas.microsoft.com/office/drawing/2014/main" id="{00000000-0008-0000-0100-00003E000000}"/>
            </a:ext>
          </a:extLst>
        </xdr:cNvPr>
        <xdr:cNvGrpSpPr/>
      </xdr:nvGrpSpPr>
      <xdr:grpSpPr>
        <a:xfrm>
          <a:off x="317500" y="44173774"/>
          <a:ext cx="7056374" cy="3514726"/>
          <a:chOff x="323850" y="44443649"/>
          <a:chExt cx="7278624" cy="3562351"/>
        </a:xfrm>
      </xdr:grpSpPr>
      <xdr:sp macro="" textlink="">
        <xdr:nvSpPr>
          <xdr:cNvPr id="19" name="Rectangle 18" descr="Green block representing spring">
            <a:extLst>
              <a:ext uri="{FF2B5EF4-FFF2-40B4-BE49-F238E27FC236}">
                <a16:creationId xmlns:a16="http://schemas.microsoft.com/office/drawing/2014/main" id="{00000000-0008-0000-01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0" name="Picture 19" descr="Mother and daughter tending a garden">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47">
        <xdr:nvSpPr>
          <xdr:cNvPr id="21" name="TextBox 20" descr="Notes">
            <a:extLst>
              <a:ext uri="{FF2B5EF4-FFF2-40B4-BE49-F238E27FC236}">
                <a16:creationId xmlns:a16="http://schemas.microsoft.com/office/drawing/2014/main" id="{00000000-0008-0000-0100-000015000000}"/>
              </a:ext>
            </a:extLst>
          </xdr:cNvPr>
          <xdr:cNvSpPr txBox="1"/>
        </xdr:nvSpPr>
        <xdr:spPr>
          <a:xfrm>
            <a:off x="5505451"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63D5E41-5658-4F5B-8AB7-7203663C3E8B}" type="TxLink">
              <a:rPr lang="en-US" sz="1200" b="0" i="0" u="none" strike="noStrike">
                <a:solidFill>
                  <a:srgbClr val="FFFFFF"/>
                </a:solidFill>
                <a:latin typeface="Cambria"/>
              </a:rPr>
              <a:pPr algn="ctr"/>
              <a:t>NOTE
</a:t>
            </a:fld>
            <a:endParaRPr lang="en-US" sz="1200">
              <a:solidFill>
                <a:schemeClr val="bg1"/>
              </a:solidFill>
              <a:latin typeface="+mn-lt"/>
            </a:endParaRPr>
          </a:p>
        </xdr:txBody>
      </xdr:sp>
    </xdr:grpSp>
    <xdr:clientData/>
  </xdr:twoCellAnchor>
  <xdr:twoCellAnchor editAs="oneCell">
    <xdr:from>
      <xdr:col>11</xdr:col>
      <xdr:colOff>123826</xdr:colOff>
      <xdr:row>181</xdr:row>
      <xdr:rowOff>81699</xdr:rowOff>
    </xdr:from>
    <xdr:to>
      <xdr:col>11</xdr:col>
      <xdr:colOff>733425</xdr:colOff>
      <xdr:row>183</xdr:row>
      <xdr:rowOff>53974</xdr:rowOff>
    </xdr:to>
    <xdr:pic>
      <xdr:nvPicPr>
        <xdr:cNvPr id="22" name="Picture 21" descr="Palm tree">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6257926" y="54698049"/>
          <a:ext cx="609599" cy="1004150"/>
        </a:xfrm>
        <a:prstGeom prst="rect">
          <a:avLst/>
        </a:prstGeom>
        <a:noFill/>
        <a:ln>
          <a:noFill/>
        </a:ln>
      </xdr:spPr>
    </xdr:pic>
    <xdr:clientData/>
  </xdr:twoCellAnchor>
  <xdr:twoCellAnchor editAs="oneCell">
    <xdr:from>
      <xdr:col>11</xdr:col>
      <xdr:colOff>123826</xdr:colOff>
      <xdr:row>198</xdr:row>
      <xdr:rowOff>81699</xdr:rowOff>
    </xdr:from>
    <xdr:to>
      <xdr:col>11</xdr:col>
      <xdr:colOff>733425</xdr:colOff>
      <xdr:row>200</xdr:row>
      <xdr:rowOff>53974</xdr:rowOff>
    </xdr:to>
    <xdr:pic>
      <xdr:nvPicPr>
        <xdr:cNvPr id="26" name="Picture 25" descr="Palm tree">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11</xdr:col>
      <xdr:colOff>123826</xdr:colOff>
      <xdr:row>219</xdr:row>
      <xdr:rowOff>81699</xdr:rowOff>
    </xdr:from>
    <xdr:to>
      <xdr:col>11</xdr:col>
      <xdr:colOff>733425</xdr:colOff>
      <xdr:row>221</xdr:row>
      <xdr:rowOff>161924</xdr:rowOff>
    </xdr:to>
    <xdr:pic>
      <xdr:nvPicPr>
        <xdr:cNvPr id="30" name="Picture 29" descr="Palm tree">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220</xdr:row>
      <xdr:rowOff>28574</xdr:rowOff>
    </xdr:from>
    <xdr:to>
      <xdr:col>13</xdr:col>
      <xdr:colOff>249174</xdr:colOff>
      <xdr:row>235</xdr:row>
      <xdr:rowOff>19050</xdr:rowOff>
    </xdr:to>
    <xdr:grpSp>
      <xdr:nvGrpSpPr>
        <xdr:cNvPr id="53" name="Group 52" descr="Season block with picture and notes">
          <a:extLst>
            <a:ext uri="{FF2B5EF4-FFF2-40B4-BE49-F238E27FC236}">
              <a16:creationId xmlns:a16="http://schemas.microsoft.com/office/drawing/2014/main" id="{00000000-0008-0000-0100-000035000000}"/>
            </a:ext>
          </a:extLst>
        </xdr:cNvPr>
        <xdr:cNvGrpSpPr/>
      </xdr:nvGrpSpPr>
      <xdr:grpSpPr>
        <a:xfrm>
          <a:off x="317500" y="68399024"/>
          <a:ext cx="7056374" cy="3514726"/>
          <a:chOff x="323850" y="77104874"/>
          <a:chExt cx="7278624" cy="3562351"/>
        </a:xfrm>
      </xdr:grpSpPr>
      <xdr:sp macro="" textlink="">
        <xdr:nvSpPr>
          <xdr:cNvPr id="31" name="Rectangle 30" descr="Yellow block representing summers">
            <a:extLst>
              <a:ext uri="{FF2B5EF4-FFF2-40B4-BE49-F238E27FC236}">
                <a16:creationId xmlns:a16="http://schemas.microsoft.com/office/drawing/2014/main" id="{00000000-0008-0000-0100-00001F000000}"/>
              </a:ext>
            </a:extLst>
          </xdr:cNvPr>
          <xdr:cNvSpPr/>
        </xdr:nvSpPr>
        <xdr:spPr>
          <a:xfrm>
            <a:off x="323850" y="7710487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2" name="Picture 31" descr="Close-up of two young boys wearing life vests on a boat">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21">
        <xdr:nvSpPr>
          <xdr:cNvPr id="33" name="TextBox 32" descr="Notes">
            <a:extLst>
              <a:ext uri="{FF2B5EF4-FFF2-40B4-BE49-F238E27FC236}">
                <a16:creationId xmlns:a16="http://schemas.microsoft.com/office/drawing/2014/main" id="{00000000-0008-0000-0100-000021000000}"/>
              </a:ext>
            </a:extLst>
          </xdr:cNvPr>
          <xdr:cNvSpPr txBox="1"/>
        </xdr:nvSpPr>
        <xdr:spPr>
          <a:xfrm>
            <a:off x="5524500"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5E8F4CCB-EDF6-496A-A76F-D4E9E2B7D90E}" type="TxLink">
              <a:rPr lang="en-US" sz="1200" b="0" i="0" u="none" strike="noStrike">
                <a:solidFill>
                  <a:srgbClr val="FFFFFF"/>
                </a:solidFill>
                <a:latin typeface="Cambria"/>
              </a:rPr>
              <a:pPr algn="ctr"/>
              <a:t>NOTES
</a:t>
            </a:fld>
            <a:endParaRPr lang="en-US" sz="1200">
              <a:solidFill>
                <a:schemeClr val="bg1"/>
              </a:solidFill>
              <a:latin typeface="+mn-lt"/>
            </a:endParaRPr>
          </a:p>
        </xdr:txBody>
      </xdr:sp>
    </xdr:grpSp>
    <xdr:clientData/>
  </xdr:twoCellAnchor>
  <xdr:twoCellAnchor editAs="oneCell">
    <xdr:from>
      <xdr:col>9</xdr:col>
      <xdr:colOff>447675</xdr:colOff>
      <xdr:row>254</xdr:row>
      <xdr:rowOff>160699</xdr:rowOff>
    </xdr:from>
    <xdr:to>
      <xdr:col>11</xdr:col>
      <xdr:colOff>771525</xdr:colOff>
      <xdr:row>256</xdr:row>
      <xdr:rowOff>167807</xdr:rowOff>
    </xdr:to>
    <xdr:pic>
      <xdr:nvPicPr>
        <xdr:cNvPr id="34" name="Picture 33" descr="Leaves">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0">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256</xdr:row>
      <xdr:rowOff>28574</xdr:rowOff>
    </xdr:from>
    <xdr:to>
      <xdr:col>13</xdr:col>
      <xdr:colOff>249174</xdr:colOff>
      <xdr:row>271</xdr:row>
      <xdr:rowOff>19050</xdr:rowOff>
    </xdr:to>
    <xdr:grpSp>
      <xdr:nvGrpSpPr>
        <xdr:cNvPr id="54" name="Group 53" descr="Season block with picture and notes">
          <a:extLst>
            <a:ext uri="{FF2B5EF4-FFF2-40B4-BE49-F238E27FC236}">
              <a16:creationId xmlns:a16="http://schemas.microsoft.com/office/drawing/2014/main" id="{00000000-0008-0000-0100-000036000000}"/>
            </a:ext>
          </a:extLst>
        </xdr:cNvPr>
        <xdr:cNvGrpSpPr/>
      </xdr:nvGrpSpPr>
      <xdr:grpSpPr>
        <a:xfrm>
          <a:off x="317500" y="79219424"/>
          <a:ext cx="7056374" cy="3514726"/>
          <a:chOff x="323850" y="87991949"/>
          <a:chExt cx="7278624" cy="3562351"/>
        </a:xfrm>
      </xdr:grpSpPr>
      <xdr:sp macro="" textlink="">
        <xdr:nvSpPr>
          <xdr:cNvPr id="35" name="Rectangle 34" descr="Brown block representing fall">
            <a:extLst>
              <a:ext uri="{FF2B5EF4-FFF2-40B4-BE49-F238E27FC236}">
                <a16:creationId xmlns:a16="http://schemas.microsoft.com/office/drawing/2014/main" id="{00000000-0008-0000-0100-000023000000}"/>
              </a:ext>
            </a:extLst>
          </xdr:cNvPr>
          <xdr:cNvSpPr/>
        </xdr:nvSpPr>
        <xdr:spPr>
          <a:xfrm>
            <a:off x="323850" y="8799194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6" name="Picture 35" descr="Cute toddler showing tongue">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257">
        <xdr:nvSpPr>
          <xdr:cNvPr id="37" name="TextBox 36" descr="Notes">
            <a:extLst>
              <a:ext uri="{FF2B5EF4-FFF2-40B4-BE49-F238E27FC236}">
                <a16:creationId xmlns:a16="http://schemas.microsoft.com/office/drawing/2014/main" id="{00000000-0008-0000-0100-000025000000}"/>
              </a:ext>
            </a:extLst>
          </xdr:cNvPr>
          <xdr:cNvSpPr txBox="1"/>
        </xdr:nvSpPr>
        <xdr:spPr>
          <a:xfrm>
            <a:off x="5505450"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B0463BF6-C25C-4975-88D1-338A4BE28323}" type="TxLink">
              <a:rPr lang="en-US" sz="1200" b="0" i="0" u="none" strike="noStrike">
                <a:solidFill>
                  <a:srgbClr val="FFFFFF"/>
                </a:solidFill>
                <a:latin typeface="Cambria"/>
              </a:rPr>
              <a:pPr algn="ctr"/>
              <a:t>NOTES
</a:t>
            </a:fld>
            <a:endParaRPr lang="en-US" sz="1400">
              <a:solidFill>
                <a:schemeClr val="bg1"/>
              </a:solidFill>
              <a:latin typeface="+mj-lt"/>
            </a:endParaRPr>
          </a:p>
        </xdr:txBody>
      </xdr:sp>
    </xdr:grpSp>
    <xdr:clientData/>
  </xdr:twoCellAnchor>
  <xdr:twoCellAnchor editAs="oneCell">
    <xdr:from>
      <xdr:col>9</xdr:col>
      <xdr:colOff>447675</xdr:colOff>
      <xdr:row>290</xdr:row>
      <xdr:rowOff>160699</xdr:rowOff>
    </xdr:from>
    <xdr:to>
      <xdr:col>11</xdr:col>
      <xdr:colOff>771525</xdr:colOff>
      <xdr:row>292</xdr:row>
      <xdr:rowOff>167807</xdr:rowOff>
    </xdr:to>
    <xdr:pic>
      <xdr:nvPicPr>
        <xdr:cNvPr id="38" name="Picture 37" descr="Leaves">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0">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292</xdr:row>
      <xdr:rowOff>28574</xdr:rowOff>
    </xdr:from>
    <xdr:to>
      <xdr:col>13</xdr:col>
      <xdr:colOff>249174</xdr:colOff>
      <xdr:row>307</xdr:row>
      <xdr:rowOff>19050</xdr:rowOff>
    </xdr:to>
    <xdr:grpSp>
      <xdr:nvGrpSpPr>
        <xdr:cNvPr id="55" name="Group 54" descr="Season block with picture and notes">
          <a:extLst>
            <a:ext uri="{FF2B5EF4-FFF2-40B4-BE49-F238E27FC236}">
              <a16:creationId xmlns:a16="http://schemas.microsoft.com/office/drawing/2014/main" id="{00000000-0008-0000-0100-000037000000}"/>
            </a:ext>
          </a:extLst>
        </xdr:cNvPr>
        <xdr:cNvGrpSpPr/>
      </xdr:nvGrpSpPr>
      <xdr:grpSpPr>
        <a:xfrm>
          <a:off x="317500" y="90039824"/>
          <a:ext cx="7056374" cy="3514726"/>
          <a:chOff x="323850" y="98879024"/>
          <a:chExt cx="7278624" cy="3562351"/>
        </a:xfrm>
      </xdr:grpSpPr>
      <xdr:sp macro="" textlink="">
        <xdr:nvSpPr>
          <xdr:cNvPr id="39" name="Rectangle 38" descr="Brown block representing fall">
            <a:extLst>
              <a:ext uri="{FF2B5EF4-FFF2-40B4-BE49-F238E27FC236}">
                <a16:creationId xmlns:a16="http://schemas.microsoft.com/office/drawing/2014/main" id="{00000000-0008-0000-0100-000027000000}"/>
              </a:ext>
            </a:extLst>
          </xdr:cNvPr>
          <xdr:cNvSpPr/>
        </xdr:nvSpPr>
        <xdr:spPr>
          <a:xfrm>
            <a:off x="323850" y="98879024"/>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Picture 39" descr="Cute young girl in a pumpkin patch holding a pumpkin">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293">
        <xdr:nvSpPr>
          <xdr:cNvPr id="41" name="TextBox 40" descr="Notes">
            <a:extLst>
              <a:ext uri="{FF2B5EF4-FFF2-40B4-BE49-F238E27FC236}">
                <a16:creationId xmlns:a16="http://schemas.microsoft.com/office/drawing/2014/main" id="{00000000-0008-0000-0100-000029000000}"/>
              </a:ext>
            </a:extLst>
          </xdr:cNvPr>
          <xdr:cNvSpPr txBox="1"/>
        </xdr:nvSpPr>
        <xdr:spPr>
          <a:xfrm>
            <a:off x="5514975"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3A569CBE-F430-4CF0-9A17-152994283791}" type="TxLink">
              <a:rPr lang="en-US" sz="1200" b="0" i="0" u="none" strike="noStrike">
                <a:solidFill>
                  <a:srgbClr val="FFFFFF"/>
                </a:solidFill>
                <a:latin typeface="Cambria"/>
              </a:rPr>
              <a:pPr algn="ctr"/>
              <a:t>NOTES
</a:t>
            </a:fld>
            <a:endParaRPr lang="en-US" sz="1200">
              <a:solidFill>
                <a:schemeClr val="bg1"/>
              </a:solidFill>
              <a:latin typeface="+mn-lt"/>
            </a:endParaRPr>
          </a:p>
        </xdr:txBody>
      </xdr:sp>
    </xdr:grpSp>
    <xdr:clientData/>
  </xdr:twoCellAnchor>
  <xdr:twoCellAnchor editAs="oneCell">
    <xdr:from>
      <xdr:col>9</xdr:col>
      <xdr:colOff>447675</xdr:colOff>
      <xdr:row>326</xdr:row>
      <xdr:rowOff>160699</xdr:rowOff>
    </xdr:from>
    <xdr:to>
      <xdr:col>11</xdr:col>
      <xdr:colOff>771525</xdr:colOff>
      <xdr:row>328</xdr:row>
      <xdr:rowOff>167807</xdr:rowOff>
    </xdr:to>
    <xdr:pic>
      <xdr:nvPicPr>
        <xdr:cNvPr id="42" name="Picture 41" descr="Leaves">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0">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0</xdr:col>
      <xdr:colOff>323849</xdr:colOff>
      <xdr:row>328</xdr:row>
      <xdr:rowOff>28574</xdr:rowOff>
    </xdr:from>
    <xdr:to>
      <xdr:col>13</xdr:col>
      <xdr:colOff>754928</xdr:colOff>
      <xdr:row>343</xdr:row>
      <xdr:rowOff>19050</xdr:rowOff>
    </xdr:to>
    <xdr:grpSp>
      <xdr:nvGrpSpPr>
        <xdr:cNvPr id="56" name="Group 55" descr="Season block with picture and notes">
          <a:extLst>
            <a:ext uri="{FF2B5EF4-FFF2-40B4-BE49-F238E27FC236}">
              <a16:creationId xmlns:a16="http://schemas.microsoft.com/office/drawing/2014/main" id="{00000000-0008-0000-0100-000038000000}"/>
            </a:ext>
          </a:extLst>
        </xdr:cNvPr>
        <xdr:cNvGrpSpPr/>
      </xdr:nvGrpSpPr>
      <xdr:grpSpPr>
        <a:xfrm>
          <a:off x="317499" y="100860224"/>
          <a:ext cx="7562129" cy="3514726"/>
          <a:chOff x="323850" y="109766099"/>
          <a:chExt cx="7278624" cy="3562351"/>
        </a:xfrm>
      </xdr:grpSpPr>
      <xdr:sp macro="" textlink="">
        <xdr:nvSpPr>
          <xdr:cNvPr id="43" name="Rectangle 42" descr="Brown block representing fall">
            <a:extLst>
              <a:ext uri="{FF2B5EF4-FFF2-40B4-BE49-F238E27FC236}">
                <a16:creationId xmlns:a16="http://schemas.microsoft.com/office/drawing/2014/main" id="{00000000-0008-0000-0100-00002B000000}"/>
              </a:ext>
            </a:extLst>
          </xdr:cNvPr>
          <xdr:cNvSpPr/>
        </xdr:nvSpPr>
        <xdr:spPr>
          <a:xfrm>
            <a:off x="323850" y="10976609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4" name="Picture 43" descr="Boy holding a red sweet gum leaf close to the camera with his family in background">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90549" y="110149997"/>
            <a:ext cx="4676218" cy="2794554"/>
          </a:xfrm>
          <a:prstGeom prst="rect">
            <a:avLst/>
          </a:prstGeom>
          <a:ln w="88900" cap="sq" cmpd="sng">
            <a:solidFill>
              <a:schemeClr val="bg1"/>
            </a:solidFill>
            <a:prstDash val="solid"/>
            <a:miter lim="800000"/>
          </a:ln>
          <a:effectLst>
            <a:innerShdw blurRad="114300">
              <a:prstClr val="black"/>
            </a:innerShdw>
          </a:effectLst>
        </xdr:spPr>
      </xdr:pic>
      <xdr:sp macro="" textlink="K329">
        <xdr:nvSpPr>
          <xdr:cNvPr id="45" name="TextBox 44" descr="Notes">
            <a:extLst>
              <a:ext uri="{FF2B5EF4-FFF2-40B4-BE49-F238E27FC236}">
                <a16:creationId xmlns:a16="http://schemas.microsoft.com/office/drawing/2014/main" id="{00000000-0008-0000-0100-00002D000000}"/>
              </a:ext>
            </a:extLst>
          </xdr:cNvPr>
          <xdr:cNvSpPr txBox="1"/>
        </xdr:nvSpPr>
        <xdr:spPr>
          <a:xfrm>
            <a:off x="5482914" y="109985176"/>
            <a:ext cx="1965862"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126A1C47-74A4-48DE-9C54-5F7BFA9F3ED7}" type="TxLink">
              <a:rPr lang="en-US" sz="1200" b="0" i="0" u="none" strike="noStrike">
                <a:solidFill>
                  <a:srgbClr val="FFFFFF"/>
                </a:solidFill>
                <a:latin typeface="Cambria"/>
              </a:rPr>
              <a:pPr algn="ctr"/>
              <a:t>NOTES
</a:t>
            </a:fld>
            <a:endParaRPr lang="en-US" sz="1100">
              <a:solidFill>
                <a:schemeClr val="bg1"/>
              </a:solidFill>
              <a:latin typeface="+mn-lt"/>
            </a:endParaRPr>
          </a:p>
        </xdr:txBody>
      </xdr:sp>
    </xdr:grpSp>
    <xdr:clientData/>
  </xdr:twoCellAnchor>
  <xdr:twoCellAnchor editAs="oneCell">
    <xdr:from>
      <xdr:col>9</xdr:col>
      <xdr:colOff>371476</xdr:colOff>
      <xdr:row>362</xdr:row>
      <xdr:rowOff>152399</xdr:rowOff>
    </xdr:from>
    <xdr:to>
      <xdr:col>11</xdr:col>
      <xdr:colOff>771121</xdr:colOff>
      <xdr:row>365</xdr:row>
      <xdr:rowOff>38099</xdr:rowOff>
    </xdr:to>
    <xdr:pic>
      <xdr:nvPicPr>
        <xdr:cNvPr id="58" name="Picture 57" descr="Tree and snow flick">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364</xdr:row>
      <xdr:rowOff>28573</xdr:rowOff>
    </xdr:from>
    <xdr:to>
      <xdr:col>13</xdr:col>
      <xdr:colOff>251862</xdr:colOff>
      <xdr:row>379</xdr:row>
      <xdr:rowOff>62992</xdr:rowOff>
    </xdr:to>
    <xdr:grpSp>
      <xdr:nvGrpSpPr>
        <xdr:cNvPr id="57" name="Group 56" descr="Season block with picture and notes">
          <a:extLst>
            <a:ext uri="{FF2B5EF4-FFF2-40B4-BE49-F238E27FC236}">
              <a16:creationId xmlns:a16="http://schemas.microsoft.com/office/drawing/2014/main" id="{00000000-0008-0000-0100-000039000000}"/>
            </a:ext>
          </a:extLst>
        </xdr:cNvPr>
        <xdr:cNvGrpSpPr/>
      </xdr:nvGrpSpPr>
      <xdr:grpSpPr>
        <a:xfrm>
          <a:off x="321564" y="111680623"/>
          <a:ext cx="7054998" cy="3558669"/>
          <a:chOff x="327914" y="120653173"/>
          <a:chExt cx="7277248" cy="3606294"/>
        </a:xfrm>
      </xdr:grpSpPr>
      <xdr:sp macro="" textlink="">
        <xdr:nvSpPr>
          <xdr:cNvPr id="59" name="Rectangle 58" descr="Blue block representing winters">
            <a:extLst>
              <a:ext uri="{FF2B5EF4-FFF2-40B4-BE49-F238E27FC236}">
                <a16:creationId xmlns:a16="http://schemas.microsoft.com/office/drawing/2014/main" id="{00000000-0008-0000-0100-00003B000000}"/>
              </a:ext>
            </a:extLst>
          </xdr:cNvPr>
          <xdr:cNvSpPr/>
        </xdr:nvSpPr>
        <xdr:spPr>
          <a:xfrm>
            <a:off x="327914" y="120653173"/>
            <a:ext cx="7277248" cy="3606294"/>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0" name="Picture 59" descr="Father and young son rolling a large snowball in a snow-covered park">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sp macro="" textlink="J365">
        <xdr:nvSpPr>
          <xdr:cNvPr id="61" name="TextBox 60" descr="Notes">
            <a:extLst>
              <a:ext uri="{FF2B5EF4-FFF2-40B4-BE49-F238E27FC236}">
                <a16:creationId xmlns:a16="http://schemas.microsoft.com/office/drawing/2014/main" id="{00000000-0008-0000-0100-00003D000000}"/>
              </a:ext>
            </a:extLst>
          </xdr:cNvPr>
          <xdr:cNvSpPr txBox="1"/>
        </xdr:nvSpPr>
        <xdr:spPr>
          <a:xfrm>
            <a:off x="5514975"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5424961C-3CCB-4AA5-8EEA-A7DB10748596}" type="TxLink">
              <a:rPr lang="en-US" sz="1200" b="0" i="0" u="none" strike="noStrike">
                <a:solidFill>
                  <a:schemeClr val="bg1"/>
                </a:solidFill>
                <a:latin typeface="Cambria"/>
              </a:rPr>
              <a:pPr algn="ctr"/>
              <a:t>NOTES
</a:t>
            </a:fld>
            <a:endParaRPr lang="en-US" sz="1200">
              <a:solidFill>
                <a:schemeClr val="bg1"/>
              </a:solidFill>
              <a:latin typeface="+mn-lt"/>
            </a:endParaRPr>
          </a:p>
        </xdr:txBody>
      </xdr:sp>
    </xdr:grpSp>
    <xdr:clientData/>
  </xdr:twoCellAnchor>
  <mc:AlternateContent xmlns:mc="http://schemas.openxmlformats.org/markup-compatibility/2006">
    <mc:Choice xmlns:a14="http://schemas.microsoft.com/office/drawing/2010/main" Requires="a14">
      <xdr:twoCellAnchor editAs="oneCell">
        <xdr:from>
          <xdr:col>15</xdr:col>
          <xdr:colOff>44450</xdr:colOff>
          <xdr:row>1</xdr:row>
          <xdr:rowOff>146050</xdr:rowOff>
        </xdr:from>
        <xdr:to>
          <xdr:col>16</xdr:col>
          <xdr:colOff>107950</xdr:colOff>
          <xdr:row>1</xdr:row>
          <xdr:rowOff>527050</xdr:rowOff>
        </xdr:to>
        <xdr:sp macro="" textlink="">
          <xdr:nvSpPr>
            <xdr:cNvPr id="1025" name="Spinner 1" descr="Spinner control. Use spinner to change calendar year or type desired year in cell L2 "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16</xdr:col>
      <xdr:colOff>247650</xdr:colOff>
      <xdr:row>1</xdr:row>
      <xdr:rowOff>142875</xdr:rowOff>
    </xdr:from>
    <xdr:to>
      <xdr:col>20</xdr:col>
      <xdr:colOff>171450</xdr:colOff>
      <xdr:row>1</xdr:row>
      <xdr:rowOff>571499</xdr:rowOff>
    </xdr:to>
    <xdr:sp macro="" textlink="">
      <xdr:nvSpPr>
        <xdr:cNvPr id="63" name="TextBox 62" descr="Tip: Use the spinner to change the calendar year">
          <a:extLst>
            <a:ext uri="{FF2B5EF4-FFF2-40B4-BE49-F238E27FC236}">
              <a16:creationId xmlns:a16="http://schemas.microsoft.com/office/drawing/2014/main" id="{00000000-0008-0000-0100-00003F000000}"/>
            </a:ext>
          </a:extLst>
        </xdr:cNvPr>
        <xdr:cNvSpPr txBox="1"/>
      </xdr:nvSpPr>
      <xdr:spPr>
        <a:xfrm>
          <a:off x="794385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lumMod val="50000"/>
                </a:schemeClr>
              </a:solidFill>
            </a:rPr>
            <a:t>Use the spinner to </a:t>
          </a:r>
        </a:p>
        <a:p>
          <a:pPr algn="l"/>
          <a:r>
            <a:rPr lang="en-US" sz="1000" b="1">
              <a:solidFill>
                <a:schemeClr val="accent1">
                  <a:lumMod val="50000"/>
                </a:schemeClr>
              </a:solidFill>
            </a:rPr>
            <a:t>change the calendar year</a:t>
          </a:r>
        </a:p>
      </xdr:txBody>
    </xdr:sp>
    <xdr:clientData fPrintsWithSheet="0"/>
  </xdr:twoCellAnchor>
  <xdr:twoCellAnchor editAs="oneCell">
    <xdr:from>
      <xdr:col>17</xdr:col>
      <xdr:colOff>47625</xdr:colOff>
      <xdr:row>2</xdr:row>
      <xdr:rowOff>19050</xdr:rowOff>
    </xdr:from>
    <xdr:to>
      <xdr:col>20</xdr:col>
      <xdr:colOff>485775</xdr:colOff>
      <xdr:row>7</xdr:row>
      <xdr:rowOff>142875</xdr:rowOff>
    </xdr:to>
    <xdr:sp macro="" textlink="">
      <xdr:nvSpPr>
        <xdr:cNvPr id="52" name="Folded Corner 51" descr="Tip: Select any picture, press SHIFT and then F10, and then select Change Picture to swap it with your own">
          <a:extLst>
            <a:ext uri="{FF2B5EF4-FFF2-40B4-BE49-F238E27FC236}">
              <a16:creationId xmlns:a16="http://schemas.microsoft.com/office/drawing/2014/main" id="{00000000-0008-0000-0100-000034000000}"/>
            </a:ext>
          </a:extLst>
        </xdr:cNvPr>
        <xdr:cNvSpPr/>
      </xdr:nvSpPr>
      <xdr:spPr>
        <a:xfrm>
          <a:off x="8810625" y="885825"/>
          <a:ext cx="2152650" cy="131445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1">
              <a:solidFill>
                <a:schemeClr val="tx2"/>
              </a:solidFill>
              <a:latin typeface="+mn-lt"/>
              <a:ea typeface="+mn-ea"/>
              <a:cs typeface="+mn-cs"/>
            </a:rPr>
            <a:t>Personalize this calendar!</a:t>
          </a:r>
        </a:p>
        <a:p>
          <a:pPr marL="0" indent="0" algn="l"/>
          <a:endParaRPr lang="en-US" sz="1100">
            <a:solidFill>
              <a:schemeClr val="tx2"/>
            </a:solidFill>
            <a:latin typeface="+mn-lt"/>
            <a:ea typeface="+mn-ea"/>
            <a:cs typeface="+mn-cs"/>
          </a:endParaRPr>
        </a:p>
        <a:p>
          <a:pPr marL="0" indent="0" algn="l"/>
          <a:r>
            <a:rPr lang="en-US" sz="1100">
              <a:solidFill>
                <a:schemeClr val="tx2"/>
              </a:solidFill>
              <a:latin typeface="+mn-lt"/>
              <a:ea typeface="+mn-ea"/>
              <a:cs typeface="+mn-cs"/>
            </a:rPr>
            <a:t>Select any picture, press SHIFT and then F10, and then select Change Picture to swap it with your own.</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823A-7014-4D44-B52C-BE839CC529E2}">
  <dimension ref="B1:B8"/>
  <sheetViews>
    <sheetView showGridLines="0" workbookViewId="0"/>
  </sheetViews>
  <sheetFormatPr defaultRowHeight="15" x14ac:dyDescent="0.3"/>
  <cols>
    <col min="1" max="1" width="2.84375" customWidth="1"/>
    <col min="2" max="2" width="80.84375" customWidth="1"/>
    <col min="3" max="3" width="2.84375" customWidth="1"/>
  </cols>
  <sheetData>
    <row r="1" spans="2:2" ht="30" customHeight="1" x14ac:dyDescent="0.3">
      <c r="B1" s="102" t="s">
        <v>22</v>
      </c>
    </row>
    <row r="2" spans="2:2" ht="30" customHeight="1" x14ac:dyDescent="0.3">
      <c r="B2" s="100" t="s">
        <v>17</v>
      </c>
    </row>
    <row r="3" spans="2:2" ht="30" customHeight="1" x14ac:dyDescent="0.3">
      <c r="B3" s="100" t="s">
        <v>88</v>
      </c>
    </row>
    <row r="4" spans="2:2" ht="30" customHeight="1" x14ac:dyDescent="0.3">
      <c r="B4" s="100" t="s">
        <v>18</v>
      </c>
    </row>
    <row r="5" spans="2:2" ht="30" customHeight="1" x14ac:dyDescent="0.3">
      <c r="B5" s="100" t="s">
        <v>25</v>
      </c>
    </row>
    <row r="6" spans="2:2" ht="30" customHeight="1" x14ac:dyDescent="0.3">
      <c r="B6" s="100" t="s">
        <v>19</v>
      </c>
    </row>
    <row r="7" spans="2:2" ht="30" customHeight="1" x14ac:dyDescent="0.35">
      <c r="B7" s="101" t="s">
        <v>20</v>
      </c>
    </row>
    <row r="8" spans="2:2" ht="77.25" customHeight="1" x14ac:dyDescent="0.3">
      <c r="B8" s="100" t="s">
        <v>21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398"/>
  <sheetViews>
    <sheetView showGridLines="0" topLeftCell="A209" zoomScaleNormal="100" workbookViewId="0">
      <selection activeCell="A215" sqref="A181:XFD215"/>
    </sheetView>
  </sheetViews>
  <sheetFormatPr defaultColWidth="6.61328125" defaultRowHeight="14" x14ac:dyDescent="0.3"/>
  <cols>
    <col min="1" max="1" width="3.84375" style="105" customWidth="1"/>
    <col min="2" max="2" width="9.921875" style="2" customWidth="1"/>
    <col min="3" max="3" width="2.84375" style="2" customWidth="1"/>
    <col min="4" max="4" width="10.07421875" style="2" customWidth="1"/>
    <col min="5" max="5" width="2.84375" style="2" customWidth="1"/>
    <col min="6" max="6" width="12.921875" style="2" customWidth="1"/>
    <col min="7" max="7" width="2.84375" style="2" customWidth="1"/>
    <col min="8" max="8" width="11.61328125" style="2" customWidth="1"/>
    <col min="9" max="9" width="2.84375" style="2" customWidth="1"/>
    <col min="10" max="10" width="9.3828125" style="2" customWidth="1"/>
    <col min="11" max="11" width="2.84375" style="2" customWidth="1"/>
    <col min="12" max="12" width="11.4609375" style="2" customWidth="1"/>
    <col min="13" max="13" width="2.84375" style="2" customWidth="1"/>
    <col min="14" max="14" width="9.3828125" style="2" customWidth="1"/>
    <col min="15" max="15" width="2.84375" style="2" customWidth="1"/>
    <col min="16" max="16" width="1.15234375" style="2" customWidth="1"/>
    <col min="17" max="17" width="3.07421875" style="2" customWidth="1"/>
    <col min="18" max="16384" width="6.61328125" style="2"/>
  </cols>
  <sheetData>
    <row r="1" spans="1:21" s="10" customFormat="1" ht="14.25" customHeight="1" x14ac:dyDescent="0.3">
      <c r="A1" s="105" t="s">
        <v>23</v>
      </c>
    </row>
    <row r="2" spans="1:21" ht="54" customHeight="1" x14ac:dyDescent="0.3">
      <c r="A2" s="100" t="s">
        <v>27</v>
      </c>
      <c r="B2" s="126" t="str">
        <f>TEXT(DATE(CalendarYear,1,1),"mmmm")</f>
        <v>January</v>
      </c>
      <c r="C2" s="126"/>
      <c r="D2" s="126"/>
      <c r="E2" s="126"/>
      <c r="F2" s="126"/>
      <c r="G2" s="126"/>
      <c r="H2" s="126"/>
      <c r="I2" s="126"/>
      <c r="J2" s="120" t="s">
        <v>34</v>
      </c>
      <c r="K2" s="143"/>
      <c r="L2" s="143"/>
      <c r="M2" s="142">
        <v>2020</v>
      </c>
      <c r="N2" s="142"/>
      <c r="O2" s="142"/>
      <c r="P2" s="142"/>
      <c r="R2" s="141" t="s">
        <v>24</v>
      </c>
      <c r="S2" s="141"/>
      <c r="T2" s="141"/>
      <c r="U2" s="141"/>
    </row>
    <row r="3" spans="1:21" ht="18.75" customHeight="1" x14ac:dyDescent="0.3">
      <c r="A3" s="100" t="s">
        <v>31</v>
      </c>
      <c r="B3" s="123"/>
      <c r="C3" s="123"/>
      <c r="D3" s="123"/>
      <c r="E3" s="123"/>
      <c r="F3" s="123"/>
      <c r="G3" s="123"/>
      <c r="H3" s="123"/>
      <c r="I3" s="123"/>
      <c r="J3" s="129" t="s">
        <v>30</v>
      </c>
      <c r="K3" s="130"/>
      <c r="L3" s="130"/>
      <c r="M3" s="130"/>
      <c r="N3" s="4"/>
      <c r="O3" s="4"/>
      <c r="R3" s="128" t="s">
        <v>26</v>
      </c>
      <c r="S3" s="128"/>
      <c r="T3" s="128"/>
      <c r="U3" s="128"/>
    </row>
    <row r="4" spans="1:21" ht="18.75" customHeight="1" x14ac:dyDescent="0.3">
      <c r="A4" s="100"/>
      <c r="B4" s="123"/>
      <c r="C4" s="123"/>
      <c r="D4" s="123"/>
      <c r="E4" s="123"/>
      <c r="F4" s="123"/>
      <c r="G4" s="123"/>
      <c r="H4" s="123"/>
      <c r="I4" s="123"/>
      <c r="J4" s="130"/>
      <c r="K4" s="130"/>
      <c r="L4" s="130"/>
      <c r="M4" s="130"/>
      <c r="N4" s="30"/>
      <c r="O4" s="30"/>
      <c r="R4" s="128"/>
      <c r="S4" s="128"/>
      <c r="T4" s="128"/>
      <c r="U4" s="128"/>
    </row>
    <row r="5" spans="1:21" ht="18.75" customHeight="1" x14ac:dyDescent="0.55000000000000004">
      <c r="A5" s="106"/>
      <c r="B5" s="123"/>
      <c r="C5" s="123"/>
      <c r="D5" s="123"/>
      <c r="E5" s="123"/>
      <c r="F5" s="123"/>
      <c r="G5" s="123"/>
      <c r="H5" s="123"/>
      <c r="I5" s="123"/>
      <c r="J5" s="130"/>
      <c r="K5" s="130"/>
      <c r="L5" s="130"/>
      <c r="M5" s="130"/>
      <c r="N5" s="30"/>
      <c r="O5" s="30"/>
      <c r="R5" s="128"/>
      <c r="S5" s="128"/>
      <c r="T5" s="128"/>
      <c r="U5" s="128"/>
    </row>
    <row r="6" spans="1:21" ht="18.75" customHeight="1" x14ac:dyDescent="0.55000000000000004">
      <c r="A6" s="106"/>
      <c r="B6" s="123"/>
      <c r="C6" s="123"/>
      <c r="D6" s="123"/>
      <c r="E6" s="123"/>
      <c r="F6" s="123"/>
      <c r="G6" s="123"/>
      <c r="H6" s="123"/>
      <c r="I6" s="123"/>
      <c r="J6" s="130"/>
      <c r="K6" s="130"/>
      <c r="L6" s="130"/>
      <c r="M6" s="130"/>
      <c r="N6" s="30"/>
      <c r="O6" s="30"/>
      <c r="R6" s="128"/>
      <c r="S6" s="128"/>
      <c r="T6" s="128"/>
      <c r="U6" s="128"/>
    </row>
    <row r="7" spans="1:21" ht="18.75" customHeight="1" x14ac:dyDescent="0.55000000000000004">
      <c r="A7" s="106"/>
      <c r="B7" s="123"/>
      <c r="C7" s="123"/>
      <c r="D7" s="123"/>
      <c r="E7" s="123"/>
      <c r="F7" s="123"/>
      <c r="G7" s="123"/>
      <c r="H7" s="123"/>
      <c r="I7" s="123"/>
      <c r="J7" s="130"/>
      <c r="K7" s="130"/>
      <c r="L7" s="130"/>
      <c r="M7" s="130"/>
      <c r="N7" s="30"/>
      <c r="O7" s="30"/>
      <c r="R7" s="128"/>
      <c r="S7" s="128"/>
      <c r="T7" s="128"/>
      <c r="U7" s="128"/>
    </row>
    <row r="8" spans="1:21" ht="18.75" customHeight="1" x14ac:dyDescent="0.55000000000000004">
      <c r="A8" s="106"/>
      <c r="B8" s="123"/>
      <c r="C8" s="123"/>
      <c r="D8" s="123"/>
      <c r="E8" s="123"/>
      <c r="F8" s="123"/>
      <c r="G8" s="123"/>
      <c r="H8" s="123"/>
      <c r="I8" s="123"/>
      <c r="J8" s="130"/>
      <c r="K8" s="130"/>
      <c r="L8" s="130"/>
      <c r="M8" s="130"/>
      <c r="N8" s="30"/>
      <c r="O8" s="30"/>
      <c r="R8" s="128"/>
      <c r="S8" s="128"/>
      <c r="T8" s="128"/>
      <c r="U8" s="128"/>
    </row>
    <row r="9" spans="1:21" ht="18.75" customHeight="1" x14ac:dyDescent="0.55000000000000004">
      <c r="A9" s="106"/>
      <c r="B9" s="123"/>
      <c r="C9" s="123"/>
      <c r="D9" s="123"/>
      <c r="E9" s="123"/>
      <c r="F9" s="123"/>
      <c r="G9" s="123"/>
      <c r="H9" s="123"/>
      <c r="I9" s="123"/>
      <c r="J9" s="130"/>
      <c r="K9" s="130"/>
      <c r="L9" s="130"/>
      <c r="M9" s="130"/>
      <c r="N9" s="30"/>
      <c r="O9" s="30"/>
    </row>
    <row r="10" spans="1:21" ht="18.75" customHeight="1" x14ac:dyDescent="0.55000000000000004">
      <c r="A10" s="106"/>
      <c r="B10" s="123"/>
      <c r="C10" s="123"/>
      <c r="D10" s="123"/>
      <c r="E10" s="123"/>
      <c r="F10" s="123"/>
      <c r="G10" s="123"/>
      <c r="H10" s="123"/>
      <c r="I10" s="123"/>
      <c r="J10" s="130"/>
      <c r="K10" s="130"/>
      <c r="L10" s="130"/>
      <c r="M10" s="130"/>
      <c r="N10" s="30"/>
      <c r="O10" s="30"/>
    </row>
    <row r="11" spans="1:21" ht="18.75" customHeight="1" x14ac:dyDescent="0.55000000000000004">
      <c r="A11" s="106"/>
      <c r="B11" s="123"/>
      <c r="C11" s="123"/>
      <c r="D11" s="123"/>
      <c r="E11" s="123"/>
      <c r="F11" s="123"/>
      <c r="G11" s="123"/>
      <c r="H11" s="123"/>
      <c r="I11" s="123"/>
      <c r="J11" s="130"/>
      <c r="K11" s="130"/>
      <c r="L11" s="130"/>
      <c r="M11" s="130"/>
      <c r="N11" s="30"/>
      <c r="O11" s="30"/>
    </row>
    <row r="12" spans="1:21" ht="18.75" customHeight="1" x14ac:dyDescent="0.55000000000000004">
      <c r="A12" s="106"/>
      <c r="B12" s="123"/>
      <c r="C12" s="123"/>
      <c r="D12" s="123"/>
      <c r="E12" s="123"/>
      <c r="F12" s="123"/>
      <c r="G12" s="123"/>
      <c r="H12" s="123"/>
      <c r="I12" s="123"/>
      <c r="J12" s="130"/>
      <c r="K12" s="130"/>
      <c r="L12" s="130"/>
      <c r="M12" s="130"/>
      <c r="N12" s="30"/>
      <c r="O12" s="30"/>
    </row>
    <row r="13" spans="1:21" ht="18.75" customHeight="1" x14ac:dyDescent="0.55000000000000004">
      <c r="A13" s="106"/>
      <c r="B13" s="123"/>
      <c r="C13" s="123"/>
      <c r="D13" s="123"/>
      <c r="E13" s="123"/>
      <c r="F13" s="123"/>
      <c r="G13" s="123"/>
      <c r="H13" s="123"/>
      <c r="I13" s="123"/>
      <c r="J13" s="130"/>
      <c r="K13" s="130"/>
      <c r="L13" s="130"/>
      <c r="M13" s="130"/>
      <c r="N13" s="30"/>
      <c r="O13" s="30"/>
    </row>
    <row r="14" spans="1:21" ht="18.75" customHeight="1" x14ac:dyDescent="0.55000000000000004">
      <c r="A14" s="106"/>
      <c r="B14" s="123"/>
      <c r="C14" s="123"/>
      <c r="D14" s="123"/>
      <c r="E14" s="123"/>
      <c r="F14" s="123"/>
      <c r="G14" s="123"/>
      <c r="H14" s="123"/>
      <c r="I14" s="123"/>
      <c r="J14" s="130"/>
      <c r="K14" s="130"/>
      <c r="L14" s="130"/>
      <c r="M14" s="130"/>
      <c r="N14" s="30"/>
      <c r="O14" s="30"/>
    </row>
    <row r="15" spans="1:21" ht="18.75" customHeight="1" x14ac:dyDescent="0.55000000000000004">
      <c r="A15" s="106"/>
      <c r="B15" s="123"/>
      <c r="C15" s="123"/>
      <c r="D15" s="123"/>
      <c r="E15" s="123"/>
      <c r="F15" s="123"/>
      <c r="G15" s="123"/>
      <c r="H15" s="123"/>
      <c r="I15" s="123"/>
      <c r="J15" s="130"/>
      <c r="K15" s="130"/>
      <c r="L15" s="130"/>
      <c r="M15" s="130"/>
      <c r="N15" s="30"/>
      <c r="O15" s="30"/>
    </row>
    <row r="16" spans="1:21" ht="18.75" customHeight="1" x14ac:dyDescent="0.55000000000000004">
      <c r="A16" s="106"/>
      <c r="B16" s="123"/>
      <c r="C16" s="123"/>
      <c r="D16" s="123"/>
      <c r="E16" s="123"/>
      <c r="F16" s="123"/>
      <c r="G16" s="123"/>
      <c r="H16" s="123"/>
      <c r="I16" s="123"/>
      <c r="J16" s="130"/>
      <c r="K16" s="130"/>
      <c r="L16" s="130"/>
      <c r="M16" s="130"/>
      <c r="N16" s="30"/>
      <c r="O16" s="30"/>
    </row>
    <row r="17" spans="1:21" ht="18.75" customHeight="1" x14ac:dyDescent="0.3">
      <c r="A17" s="103"/>
      <c r="B17" s="123"/>
      <c r="C17" s="123"/>
      <c r="D17" s="123"/>
      <c r="E17" s="123"/>
      <c r="F17" s="123"/>
      <c r="G17" s="123"/>
      <c r="H17" s="123"/>
      <c r="I17" s="123"/>
      <c r="J17" s="130"/>
      <c r="K17" s="130"/>
      <c r="L17" s="130"/>
      <c r="M17" s="130"/>
      <c r="N17" s="4"/>
      <c r="O17" s="4"/>
    </row>
    <row r="18" spans="1:21" s="3" customFormat="1" ht="27" customHeight="1" x14ac:dyDescent="0.3">
      <c r="A18" s="100" t="s">
        <v>28</v>
      </c>
      <c r="B18" s="47" t="s">
        <v>0</v>
      </c>
      <c r="C18" s="47" t="s">
        <v>8</v>
      </c>
      <c r="D18" s="47" t="s">
        <v>1</v>
      </c>
      <c r="E18" s="48" t="s">
        <v>9</v>
      </c>
      <c r="F18" s="47" t="s">
        <v>2</v>
      </c>
      <c r="G18" s="48" t="s">
        <v>10</v>
      </c>
      <c r="H18" s="47" t="s">
        <v>3</v>
      </c>
      <c r="I18" s="48" t="s">
        <v>11</v>
      </c>
      <c r="J18" s="47" t="s">
        <v>4</v>
      </c>
      <c r="K18" s="48" t="s">
        <v>12</v>
      </c>
      <c r="L18" s="47" t="s">
        <v>5</v>
      </c>
      <c r="M18" s="48"/>
      <c r="N18" s="47" t="s">
        <v>6</v>
      </c>
      <c r="O18" s="48" t="s">
        <v>13</v>
      </c>
      <c r="P18" s="5"/>
      <c r="T18" s="2"/>
      <c r="U18" s="2"/>
    </row>
    <row r="19" spans="1:21" s="6" customFormat="1" ht="16.5" customHeight="1" x14ac:dyDescent="0.3">
      <c r="A19" s="100" t="s">
        <v>29</v>
      </c>
      <c r="B19" s="14"/>
      <c r="C19" s="44">
        <f>IF(DAY(JanSun1)=1,JanSun1-6,JanSun1+1)</f>
        <v>43829</v>
      </c>
      <c r="D19" s="15"/>
      <c r="E19" s="44">
        <f>IF(DAY(JanSun1)=1,JanSun1-5,JanSun1+2)</f>
        <v>43830</v>
      </c>
      <c r="F19" s="15"/>
      <c r="G19" s="44">
        <f>IF(DAY(JanSun1)=1,JanSun1-4,JanSun1+3)</f>
        <v>43831</v>
      </c>
      <c r="H19" s="15"/>
      <c r="I19" s="44">
        <f>IF(DAY(JanSun1)=1,JanSun1-3,JanSun1+4)</f>
        <v>43832</v>
      </c>
      <c r="J19" s="15"/>
      <c r="K19" s="44">
        <f>IF(DAY(JanSun1)=1,JanSun1-2,JanSun1+5)</f>
        <v>43833</v>
      </c>
      <c r="L19" s="15"/>
      <c r="M19" s="44">
        <f>IF(DAY(JanSun1)=1,JanSun1-1,JanSun1+6)</f>
        <v>43834</v>
      </c>
      <c r="N19" s="15"/>
      <c r="O19" s="44">
        <f>IF(DAY(JanSun1)=1,JanSun1,JanSun1+7)</f>
        <v>43835</v>
      </c>
      <c r="P19" s="7"/>
      <c r="T19" s="8"/>
      <c r="U19" s="7"/>
    </row>
    <row r="20" spans="1:21" s="9" customFormat="1" ht="55.5" customHeight="1" x14ac:dyDescent="0.25">
      <c r="A20" s="100" t="s">
        <v>32</v>
      </c>
      <c r="B20" s="51"/>
      <c r="C20" s="49"/>
      <c r="D20" s="50"/>
      <c r="E20" s="49"/>
      <c r="F20" s="50"/>
      <c r="G20" s="49"/>
      <c r="H20" s="50"/>
      <c r="I20" s="49"/>
      <c r="J20" s="50"/>
      <c r="K20" s="49"/>
      <c r="L20" s="52"/>
      <c r="M20" s="53"/>
      <c r="N20" s="52"/>
      <c r="O20" s="53"/>
    </row>
    <row r="21" spans="1:21" s="9" customFormat="1" ht="8.25" customHeight="1" x14ac:dyDescent="0.3">
      <c r="A21" s="103"/>
      <c r="B21" s="54"/>
      <c r="C21" s="54"/>
      <c r="D21" s="54"/>
      <c r="E21" s="54"/>
      <c r="F21" s="54"/>
      <c r="G21" s="54"/>
      <c r="H21" s="54"/>
      <c r="I21" s="54"/>
      <c r="J21" s="54"/>
      <c r="K21" s="54"/>
      <c r="L21" s="57"/>
      <c r="M21" s="57"/>
      <c r="N21" s="29"/>
      <c r="O21" s="29"/>
    </row>
    <row r="22" spans="1:21" s="7" customFormat="1" ht="16.5" customHeight="1" x14ac:dyDescent="0.3">
      <c r="A22" s="104"/>
      <c r="B22" s="16"/>
      <c r="C22" s="44">
        <f>IF(DAY(JanSun1)=1,JanSun1+1,JanSun1+8)</f>
        <v>43836</v>
      </c>
      <c r="D22" s="15"/>
      <c r="E22" s="44">
        <f>IF(DAY(JanSun1)=1,JanSun1+2,JanSun1+9)</f>
        <v>43837</v>
      </c>
      <c r="F22" s="15"/>
      <c r="G22" s="45">
        <f>IF(DAY(JanSun1)=1,JanSun1+3,JanSun1+10)</f>
        <v>43838</v>
      </c>
      <c r="H22" s="15"/>
      <c r="I22" s="44">
        <f>IF(DAY(JanSun1)=1,JanSun1+4,JanSun1+11)</f>
        <v>43839</v>
      </c>
      <c r="J22" s="15"/>
      <c r="K22" s="44">
        <f>IF(DAY(JanSun1)=1,JanSun1+5,JanSun1+12)</f>
        <v>43840</v>
      </c>
      <c r="L22" s="15"/>
      <c r="M22" s="44">
        <f>IF(DAY(JanSun1)=1,JanSun1+6,JanSun1+13)</f>
        <v>43841</v>
      </c>
      <c r="N22" s="15"/>
      <c r="O22" s="46">
        <f>IF(DAY(JanSun1)=1,JanSun1+7,JanSun1+14)</f>
        <v>43842</v>
      </c>
    </row>
    <row r="23" spans="1:21" ht="55.5" customHeight="1" x14ac:dyDescent="0.3">
      <c r="A23" s="103"/>
      <c r="B23" s="51"/>
      <c r="C23" s="49"/>
      <c r="D23" s="50"/>
      <c r="E23" s="49"/>
      <c r="F23" s="50" t="s">
        <v>7</v>
      </c>
      <c r="G23" s="49"/>
      <c r="H23" s="50"/>
      <c r="I23" s="49"/>
      <c r="J23" s="50"/>
      <c r="K23" s="49"/>
      <c r="L23" s="52"/>
      <c r="M23" s="53"/>
      <c r="N23" s="52"/>
      <c r="O23" s="53"/>
    </row>
    <row r="24" spans="1:21" ht="8.25" customHeight="1" x14ac:dyDescent="0.3">
      <c r="A24" s="103"/>
      <c r="B24" s="54"/>
      <c r="C24" s="54"/>
      <c r="D24" s="54"/>
      <c r="E24" s="54"/>
      <c r="F24" s="54"/>
      <c r="G24" s="54"/>
      <c r="H24" s="54"/>
      <c r="I24" s="54"/>
      <c r="J24" s="54"/>
      <c r="K24" s="54"/>
      <c r="L24" s="57"/>
      <c r="M24" s="57"/>
      <c r="N24" s="57"/>
      <c r="O24" s="57"/>
    </row>
    <row r="25" spans="1:21" s="7" customFormat="1" ht="16.5" customHeight="1" x14ac:dyDescent="0.3">
      <c r="A25" s="104"/>
      <c r="B25" s="16"/>
      <c r="C25" s="44">
        <f>IF(DAY(JanSun1)=1,JanSun1+8,JanSun1+15)</f>
        <v>43843</v>
      </c>
      <c r="D25" s="15"/>
      <c r="E25" s="44">
        <f>IF(DAY(JanSun1)=1,JanSun1+9,JanSun1+16)</f>
        <v>43844</v>
      </c>
      <c r="F25" s="15"/>
      <c r="G25" s="44">
        <f>IF(DAY(JanSun1)=1,JanSun1+10,JanSun1+17)</f>
        <v>43845</v>
      </c>
      <c r="H25" s="15"/>
      <c r="I25" s="44">
        <f>IF(DAY(JanSun1)=1,JanSun1+11,JanSun1+18)</f>
        <v>43846</v>
      </c>
      <c r="J25" s="15"/>
      <c r="K25" s="44">
        <f>IF(DAY(JanSun1)=1,JanSun1+12,JanSun1+19)</f>
        <v>43847</v>
      </c>
      <c r="L25" s="15"/>
      <c r="M25" s="44">
        <f>IF(DAY(JanSun1)=1,JanSun1+13,JanSun1+20)</f>
        <v>43848</v>
      </c>
      <c r="N25" s="15"/>
      <c r="O25" s="44">
        <f>IF(DAY(JanSun1)=1,JanSun1+14,JanSun1+21)</f>
        <v>43849</v>
      </c>
    </row>
    <row r="26" spans="1:21" ht="55.5" customHeight="1" x14ac:dyDescent="0.3">
      <c r="A26" s="103"/>
      <c r="B26" s="51"/>
      <c r="C26" s="49"/>
      <c r="D26" s="50"/>
      <c r="E26" s="49"/>
      <c r="F26" s="50"/>
      <c r="G26" s="49"/>
      <c r="H26" s="50"/>
      <c r="I26" s="49"/>
      <c r="J26" s="50"/>
      <c r="K26" s="49"/>
      <c r="L26" s="52"/>
      <c r="M26" s="53"/>
      <c r="N26" s="52"/>
      <c r="O26" s="53"/>
    </row>
    <row r="27" spans="1:21" ht="8.25" customHeight="1" x14ac:dyDescent="0.3">
      <c r="A27" s="103"/>
      <c r="B27" s="54"/>
      <c r="C27" s="54"/>
      <c r="D27" s="54"/>
      <c r="E27" s="54"/>
      <c r="F27" s="54"/>
      <c r="G27" s="54"/>
      <c r="H27" s="54"/>
      <c r="I27" s="54"/>
      <c r="J27" s="54"/>
      <c r="K27" s="54"/>
      <c r="L27" s="57"/>
      <c r="M27" s="57"/>
      <c r="N27" s="57"/>
      <c r="O27" s="57"/>
    </row>
    <row r="28" spans="1:21" s="7" customFormat="1" ht="16.5" customHeight="1" x14ac:dyDescent="0.3">
      <c r="A28" s="104"/>
      <c r="B28" s="16"/>
      <c r="C28" s="44">
        <f>IF(DAY(JanSun1)=1,JanSun1+15,JanSun1+22)</f>
        <v>43850</v>
      </c>
      <c r="D28" s="15"/>
      <c r="E28" s="44">
        <f>IF(DAY(JanSun1)=1,JanSun1+16,JanSun1+23)</f>
        <v>43851</v>
      </c>
      <c r="F28" s="15"/>
      <c r="G28" s="44">
        <f>IF(DAY(JanSun1)=1,JanSun1+17,JanSun1+24)</f>
        <v>43852</v>
      </c>
      <c r="H28" s="15"/>
      <c r="I28" s="44">
        <f>IF(DAY(JanSun1)=1,JanSun1+18,JanSun1+25)</f>
        <v>43853</v>
      </c>
      <c r="J28" s="15"/>
      <c r="K28" s="44">
        <f>IF(DAY(JanSun1)=1,JanSun1+19,JanSun1+26)</f>
        <v>43854</v>
      </c>
      <c r="L28" s="15"/>
      <c r="M28" s="44">
        <f>IF(DAY(JanSun1)=1,JanSun1+20,JanSun1+27)</f>
        <v>43855</v>
      </c>
      <c r="N28" s="15"/>
      <c r="O28" s="44">
        <f>IF(DAY(JanSun1)=1,JanSun1+21,JanSun1+28)</f>
        <v>43856</v>
      </c>
    </row>
    <row r="29" spans="1:21" ht="55.5" customHeight="1" x14ac:dyDescent="0.3">
      <c r="A29" s="103"/>
      <c r="B29" s="51"/>
      <c r="C29" s="49"/>
      <c r="D29" s="50"/>
      <c r="E29" s="49"/>
      <c r="F29" s="50"/>
      <c r="G29" s="49"/>
      <c r="H29" s="50"/>
      <c r="I29" s="49"/>
      <c r="J29" s="50"/>
      <c r="K29" s="49"/>
      <c r="L29" s="52"/>
      <c r="M29" s="53"/>
      <c r="N29" s="52"/>
      <c r="O29" s="53"/>
    </row>
    <row r="30" spans="1:21" ht="8.25" customHeight="1" x14ac:dyDescent="0.3">
      <c r="A30" s="103"/>
      <c r="B30" s="54"/>
      <c r="C30" s="54"/>
      <c r="D30" s="54"/>
      <c r="E30" s="54"/>
      <c r="F30" s="54"/>
      <c r="G30" s="54"/>
      <c r="H30" s="54"/>
      <c r="I30" s="54"/>
      <c r="J30" s="54"/>
      <c r="K30" s="54"/>
      <c r="L30" s="57"/>
      <c r="M30" s="57"/>
      <c r="N30" s="57"/>
      <c r="O30" s="57"/>
    </row>
    <row r="31" spans="1:21" s="7" customFormat="1" ht="16.5" customHeight="1" x14ac:dyDescent="0.3">
      <c r="A31" s="104"/>
      <c r="B31" s="16"/>
      <c r="C31" s="44">
        <f>IF(DAY(JanSun1)=1,JanSun1+22,JanSun1+29)</f>
        <v>43857</v>
      </c>
      <c r="D31" s="15"/>
      <c r="E31" s="44">
        <f>IF(DAY(JanSun1)=1,JanSun1+23,JanSun1+30)</f>
        <v>43858</v>
      </c>
      <c r="F31" s="15"/>
      <c r="G31" s="44">
        <f>IF(DAY(JanSun1)=1,JanSun1+24,JanSun1+31)</f>
        <v>43859</v>
      </c>
      <c r="H31" s="15"/>
      <c r="I31" s="44">
        <f>IF(DAY(JanSun1)=1,JanSun1+25,JanSun1+32)</f>
        <v>43860</v>
      </c>
      <c r="J31" s="15"/>
      <c r="K31" s="44">
        <f>IF(DAY(JanSun1)=1,JanSun1+26,JanSun1+33)</f>
        <v>43861</v>
      </c>
      <c r="L31" s="15"/>
      <c r="M31" s="44">
        <f>IF(DAY(JanSun1)=1,JanSun1+27,JanSun1+34)</f>
        <v>43862</v>
      </c>
      <c r="N31" s="15"/>
      <c r="O31" s="44">
        <f>IF(DAY(JanSun1)=1,JanSun1+28,JanSun1+35)</f>
        <v>43863</v>
      </c>
    </row>
    <row r="32" spans="1:21" ht="55.5" customHeight="1" x14ac:dyDescent="0.3">
      <c r="A32" s="103"/>
      <c r="B32" s="51"/>
      <c r="C32" s="49"/>
      <c r="D32" s="50"/>
      <c r="E32" s="49"/>
      <c r="F32" s="50"/>
      <c r="G32" s="49"/>
      <c r="H32" s="50"/>
      <c r="I32" s="49"/>
      <c r="J32" s="50"/>
      <c r="K32" s="49"/>
      <c r="L32" s="52"/>
      <c r="M32" s="53"/>
      <c r="N32" s="52"/>
      <c r="O32" s="53"/>
    </row>
    <row r="33" spans="1:16" ht="8.25" customHeight="1" x14ac:dyDescent="0.3">
      <c r="A33" s="103"/>
      <c r="B33" s="54"/>
      <c r="C33" s="54"/>
      <c r="D33" s="54"/>
      <c r="E33" s="54"/>
      <c r="F33" s="54"/>
      <c r="G33" s="54"/>
      <c r="H33" s="54"/>
      <c r="I33" s="54"/>
      <c r="J33" s="54"/>
      <c r="K33" s="54"/>
      <c r="L33" s="57"/>
      <c r="M33" s="57"/>
      <c r="N33" s="57"/>
      <c r="O33" s="57"/>
    </row>
    <row r="34" spans="1:16" s="7" customFormat="1" ht="16.5" customHeight="1" x14ac:dyDescent="0.3">
      <c r="A34" s="104"/>
      <c r="B34" s="16"/>
      <c r="C34" s="44">
        <f>IF(DAY(JanSun1)=1,JanSun1+29,JanSun1+36)</f>
        <v>43864</v>
      </c>
      <c r="D34" s="15"/>
      <c r="E34" s="44">
        <f>IF(DAY(JanSun1)=1,JanSun1+30,JanSun1+37)</f>
        <v>43865</v>
      </c>
      <c r="F34" s="15"/>
      <c r="G34" s="44">
        <f>IF(DAY(JanSun1)=1,JanSun1+31,JanSun1+38)</f>
        <v>43866</v>
      </c>
      <c r="H34" s="15"/>
      <c r="I34" s="44">
        <f>IF(DAY(JanSun1)=1,JanSun1+32,JanSun1+39)</f>
        <v>43867</v>
      </c>
      <c r="J34" s="16"/>
      <c r="K34" s="44">
        <f>IF(DAY(JanSun1)=1,JanSun1+33,JanSun1+40)</f>
        <v>43868</v>
      </c>
      <c r="L34" s="15"/>
      <c r="M34" s="44">
        <f>IF(DAY(JanSun1)=1,JanSun1+34,JanSun1+41)</f>
        <v>43869</v>
      </c>
      <c r="N34" s="15"/>
      <c r="O34" s="44">
        <f>IF(DAY(JanSun1)=1,JanSun1+35,JanSun1+42)</f>
        <v>43870</v>
      </c>
    </row>
    <row r="35" spans="1:16" ht="55.5" customHeight="1" x14ac:dyDescent="0.3">
      <c r="A35" s="103"/>
      <c r="B35" s="51"/>
      <c r="C35" s="49"/>
      <c r="D35" s="50"/>
      <c r="E35" s="49"/>
      <c r="F35" s="55"/>
      <c r="G35" s="56"/>
      <c r="H35" s="55"/>
      <c r="I35" s="56"/>
      <c r="J35" s="55"/>
      <c r="K35" s="56"/>
      <c r="L35" s="55"/>
      <c r="M35" s="56"/>
      <c r="N35" s="55"/>
      <c r="O35" s="56"/>
    </row>
    <row r="36" spans="1:16" ht="7.5" customHeight="1" x14ac:dyDescent="0.3">
      <c r="B36" s="28"/>
      <c r="C36" s="28"/>
      <c r="D36" s="28"/>
      <c r="E36" s="28"/>
      <c r="F36" s="28"/>
      <c r="G36" s="28"/>
      <c r="H36" s="28"/>
      <c r="I36" s="28"/>
      <c r="J36" s="28"/>
      <c r="K36" s="28"/>
      <c r="L36" s="28"/>
      <c r="M36" s="28"/>
      <c r="N36" s="28"/>
      <c r="O36" s="28"/>
    </row>
    <row r="37" spans="1:16" s="11" customFormat="1" x14ac:dyDescent="0.3">
      <c r="A37" s="105"/>
    </row>
    <row r="38" spans="1:16" s="11" customFormat="1" ht="54" customHeight="1" x14ac:dyDescent="0.3">
      <c r="A38" s="100" t="s">
        <v>33</v>
      </c>
      <c r="B38" s="126" t="str">
        <f>TEXT(DATE(CalendarYear,2,1),"mmmm")</f>
        <v>February</v>
      </c>
      <c r="C38" s="126"/>
      <c r="D38" s="126"/>
      <c r="E38" s="126"/>
      <c r="F38" s="126"/>
      <c r="G38" s="126"/>
      <c r="H38" s="126"/>
      <c r="I38" s="126"/>
      <c r="J38" s="120" t="s">
        <v>34</v>
      </c>
      <c r="K38" s="121"/>
      <c r="L38" s="121"/>
      <c r="M38" s="140">
        <f>CalendarYear</f>
        <v>2020</v>
      </c>
      <c r="N38" s="140"/>
      <c r="O38" s="140"/>
      <c r="P38" s="58"/>
    </row>
    <row r="39" spans="1:16" s="11" customFormat="1" ht="18.75" customHeight="1" x14ac:dyDescent="0.3">
      <c r="A39" s="100" t="s">
        <v>35</v>
      </c>
      <c r="B39" s="123"/>
      <c r="C39" s="123"/>
      <c r="D39" s="123"/>
      <c r="E39" s="123"/>
      <c r="F39" s="123"/>
      <c r="G39" s="123"/>
      <c r="H39" s="123"/>
      <c r="I39" s="123"/>
      <c r="J39" s="116" t="s">
        <v>30</v>
      </c>
      <c r="K39" s="117"/>
      <c r="L39" s="117"/>
      <c r="M39" s="117"/>
      <c r="N39" s="117"/>
      <c r="O39" s="117"/>
    </row>
    <row r="40" spans="1:16" s="11" customFormat="1" ht="18.75" customHeight="1" x14ac:dyDescent="0.3">
      <c r="A40" s="100"/>
      <c r="B40" s="123"/>
      <c r="C40" s="123"/>
      <c r="D40" s="123"/>
      <c r="E40" s="123"/>
      <c r="F40" s="123"/>
      <c r="G40" s="123"/>
      <c r="H40" s="123"/>
      <c r="I40" s="123"/>
      <c r="J40" s="117"/>
      <c r="K40" s="117"/>
      <c r="L40" s="117"/>
      <c r="M40" s="117"/>
      <c r="N40" s="117"/>
      <c r="O40" s="117"/>
    </row>
    <row r="41" spans="1:16" s="11" customFormat="1" ht="18.75" customHeight="1" x14ac:dyDescent="0.55000000000000004">
      <c r="A41" s="106"/>
      <c r="B41" s="123"/>
      <c r="C41" s="123"/>
      <c r="D41" s="123"/>
      <c r="E41" s="123"/>
      <c r="F41" s="123"/>
      <c r="G41" s="123"/>
      <c r="H41" s="123"/>
      <c r="I41" s="123"/>
      <c r="J41" s="117"/>
      <c r="K41" s="117"/>
      <c r="L41" s="117"/>
      <c r="M41" s="117"/>
      <c r="N41" s="117"/>
      <c r="O41" s="117"/>
    </row>
    <row r="42" spans="1:16" s="11" customFormat="1" ht="18.75" customHeight="1" x14ac:dyDescent="0.55000000000000004">
      <c r="A42" s="106"/>
      <c r="B42" s="123"/>
      <c r="C42" s="123"/>
      <c r="D42" s="123"/>
      <c r="E42" s="123"/>
      <c r="F42" s="123"/>
      <c r="G42" s="123"/>
      <c r="H42" s="123"/>
      <c r="I42" s="123"/>
      <c r="J42" s="117"/>
      <c r="K42" s="117"/>
      <c r="L42" s="117"/>
      <c r="M42" s="117"/>
      <c r="N42" s="117"/>
      <c r="O42" s="117"/>
    </row>
    <row r="43" spans="1:16" s="11" customFormat="1" ht="18.75" customHeight="1" x14ac:dyDescent="0.55000000000000004">
      <c r="A43" s="106"/>
      <c r="B43" s="123"/>
      <c r="C43" s="123"/>
      <c r="D43" s="123"/>
      <c r="E43" s="123"/>
      <c r="F43" s="123"/>
      <c r="G43" s="123"/>
      <c r="H43" s="123"/>
      <c r="I43" s="123"/>
      <c r="J43" s="117"/>
      <c r="K43" s="117"/>
      <c r="L43" s="117"/>
      <c r="M43" s="117"/>
      <c r="N43" s="117"/>
      <c r="O43" s="117"/>
    </row>
    <row r="44" spans="1:16" s="11" customFormat="1" ht="18.75" customHeight="1" x14ac:dyDescent="0.55000000000000004">
      <c r="A44" s="106"/>
      <c r="B44" s="123"/>
      <c r="C44" s="123"/>
      <c r="D44" s="123"/>
      <c r="E44" s="123"/>
      <c r="F44" s="123"/>
      <c r="G44" s="123"/>
      <c r="H44" s="123"/>
      <c r="I44" s="123"/>
      <c r="J44" s="117"/>
      <c r="K44" s="117"/>
      <c r="L44" s="117"/>
      <c r="M44" s="117"/>
      <c r="N44" s="117"/>
      <c r="O44" s="117"/>
    </row>
    <row r="45" spans="1:16" s="11" customFormat="1" ht="18.75" customHeight="1" x14ac:dyDescent="0.55000000000000004">
      <c r="A45" s="106"/>
      <c r="B45" s="123"/>
      <c r="C45" s="123"/>
      <c r="D45" s="123"/>
      <c r="E45" s="123"/>
      <c r="F45" s="123"/>
      <c r="G45" s="123"/>
      <c r="H45" s="123"/>
      <c r="I45" s="123"/>
      <c r="J45" s="117"/>
      <c r="K45" s="117"/>
      <c r="L45" s="117"/>
      <c r="M45" s="117"/>
      <c r="N45" s="117"/>
      <c r="O45" s="117"/>
    </row>
    <row r="46" spans="1:16" s="11" customFormat="1" ht="18.75" customHeight="1" x14ac:dyDescent="0.55000000000000004">
      <c r="A46" s="106"/>
      <c r="B46" s="123"/>
      <c r="C46" s="123"/>
      <c r="D46" s="123"/>
      <c r="E46" s="123"/>
      <c r="F46" s="123"/>
      <c r="G46" s="123"/>
      <c r="H46" s="123"/>
      <c r="I46" s="123"/>
      <c r="J46" s="117"/>
      <c r="K46" s="117"/>
      <c r="L46" s="117"/>
      <c r="M46" s="117"/>
      <c r="N46" s="117"/>
      <c r="O46" s="117"/>
    </row>
    <row r="47" spans="1:16" s="11" customFormat="1" ht="18.75" customHeight="1" x14ac:dyDescent="0.55000000000000004">
      <c r="A47" s="106"/>
      <c r="B47" s="123"/>
      <c r="C47" s="123"/>
      <c r="D47" s="123"/>
      <c r="E47" s="123"/>
      <c r="F47" s="123"/>
      <c r="G47" s="123"/>
      <c r="H47" s="123"/>
      <c r="I47" s="123"/>
      <c r="J47" s="117"/>
      <c r="K47" s="117"/>
      <c r="L47" s="117"/>
      <c r="M47" s="117"/>
      <c r="N47" s="117"/>
      <c r="O47" s="117"/>
    </row>
    <row r="48" spans="1:16" s="11" customFormat="1" ht="18.75" customHeight="1" x14ac:dyDescent="0.55000000000000004">
      <c r="A48" s="106"/>
      <c r="B48" s="123"/>
      <c r="C48" s="123"/>
      <c r="D48" s="123"/>
      <c r="E48" s="123"/>
      <c r="F48" s="123"/>
      <c r="G48" s="123"/>
      <c r="H48" s="123"/>
      <c r="I48" s="123"/>
      <c r="J48" s="117"/>
      <c r="K48" s="117"/>
      <c r="L48" s="117"/>
      <c r="M48" s="117"/>
      <c r="N48" s="117"/>
      <c r="O48" s="117"/>
    </row>
    <row r="49" spans="1:22" s="11" customFormat="1" ht="18.75" customHeight="1" x14ac:dyDescent="0.55000000000000004">
      <c r="A49" s="106"/>
      <c r="B49" s="123"/>
      <c r="C49" s="123"/>
      <c r="D49" s="123"/>
      <c r="E49" s="123"/>
      <c r="F49" s="123"/>
      <c r="G49" s="123"/>
      <c r="H49" s="123"/>
      <c r="I49" s="123"/>
      <c r="J49" s="117"/>
      <c r="K49" s="117"/>
      <c r="L49" s="117"/>
      <c r="M49" s="117"/>
      <c r="N49" s="117"/>
      <c r="O49" s="117"/>
    </row>
    <row r="50" spans="1:22" s="11" customFormat="1" ht="18.75" customHeight="1" x14ac:dyDescent="0.55000000000000004">
      <c r="A50" s="106"/>
      <c r="B50" s="123"/>
      <c r="C50" s="123"/>
      <c r="D50" s="123"/>
      <c r="E50" s="123"/>
      <c r="F50" s="123"/>
      <c r="G50" s="123"/>
      <c r="H50" s="123"/>
      <c r="I50" s="123"/>
      <c r="J50" s="117"/>
      <c r="K50" s="117"/>
      <c r="L50" s="117"/>
      <c r="M50" s="117"/>
      <c r="N50" s="117"/>
      <c r="O50" s="117"/>
    </row>
    <row r="51" spans="1:22" s="11" customFormat="1" ht="18.75" customHeight="1" x14ac:dyDescent="0.55000000000000004">
      <c r="A51" s="106"/>
      <c r="B51" s="123"/>
      <c r="C51" s="123"/>
      <c r="D51" s="123"/>
      <c r="E51" s="123"/>
      <c r="F51" s="123"/>
      <c r="G51" s="123"/>
      <c r="H51" s="123"/>
      <c r="I51" s="123"/>
      <c r="J51" s="117"/>
      <c r="K51" s="117"/>
      <c r="L51" s="117"/>
      <c r="M51" s="117"/>
      <c r="N51" s="117"/>
      <c r="O51" s="117"/>
    </row>
    <row r="52" spans="1:22" s="11" customFormat="1" ht="18.75" customHeight="1" x14ac:dyDescent="0.55000000000000004">
      <c r="A52" s="106"/>
      <c r="B52" s="123"/>
      <c r="C52" s="123"/>
      <c r="D52" s="123"/>
      <c r="E52" s="123"/>
      <c r="F52" s="123"/>
      <c r="G52" s="123"/>
      <c r="H52" s="123"/>
      <c r="I52" s="123"/>
      <c r="J52" s="117"/>
      <c r="K52" s="117"/>
      <c r="L52" s="117"/>
      <c r="M52" s="117"/>
      <c r="N52" s="117"/>
      <c r="O52" s="117"/>
    </row>
    <row r="53" spans="1:22" s="11" customFormat="1" ht="18.75" customHeight="1" x14ac:dyDescent="0.3">
      <c r="A53" s="103"/>
      <c r="B53" s="123"/>
      <c r="C53" s="123"/>
      <c r="D53" s="123"/>
      <c r="E53" s="123"/>
      <c r="F53" s="123"/>
      <c r="G53" s="123"/>
      <c r="H53" s="123"/>
      <c r="I53" s="123"/>
      <c r="J53" s="117"/>
      <c r="K53" s="117"/>
      <c r="L53" s="117"/>
      <c r="M53" s="117"/>
      <c r="N53" s="117"/>
      <c r="O53" s="117"/>
    </row>
    <row r="54" spans="1:22" s="3" customFormat="1" ht="27" customHeight="1" x14ac:dyDescent="0.3">
      <c r="A54" s="100" t="s">
        <v>36</v>
      </c>
      <c r="B54" s="47" t="s">
        <v>0</v>
      </c>
      <c r="C54" s="47" t="s">
        <v>8</v>
      </c>
      <c r="D54" s="47" t="s">
        <v>1</v>
      </c>
      <c r="E54" s="47" t="s">
        <v>9</v>
      </c>
      <c r="F54" s="47" t="s">
        <v>2</v>
      </c>
      <c r="G54" s="47" t="s">
        <v>10</v>
      </c>
      <c r="H54" s="47" t="s">
        <v>3</v>
      </c>
      <c r="I54" s="47" t="s">
        <v>11</v>
      </c>
      <c r="J54" s="47" t="s">
        <v>4</v>
      </c>
      <c r="K54" s="47" t="s">
        <v>12</v>
      </c>
      <c r="L54" s="47" t="s">
        <v>5</v>
      </c>
      <c r="M54" s="47" t="s">
        <v>13</v>
      </c>
      <c r="N54" s="47" t="s">
        <v>6</v>
      </c>
      <c r="O54" s="47" t="s">
        <v>14</v>
      </c>
      <c r="P54" s="11"/>
      <c r="Q54" s="5"/>
      <c r="U54" s="11"/>
      <c r="V54" s="11"/>
    </row>
    <row r="55" spans="1:22" s="6" customFormat="1" ht="16.5" customHeight="1" x14ac:dyDescent="0.3">
      <c r="A55" s="100" t="s">
        <v>37</v>
      </c>
      <c r="B55" s="14"/>
      <c r="C55" s="44">
        <f>IF(DAY(FebSun1)=1,FebSun1-6,FebSun1+1)</f>
        <v>43857</v>
      </c>
      <c r="D55" s="15"/>
      <c r="E55" s="44">
        <f>IF(DAY(FebSun1)=1,FebSun1-5,FebSun1+2)</f>
        <v>43858</v>
      </c>
      <c r="F55" s="15"/>
      <c r="G55" s="44">
        <f>IF(DAY(FebSun1)=1,FebSun1-4,FebSun1+3)</f>
        <v>43859</v>
      </c>
      <c r="H55" s="15"/>
      <c r="I55" s="44">
        <f>IF(DAY(FebSun1)=1,FebSun1-3,FebSun1+4)</f>
        <v>43860</v>
      </c>
      <c r="J55" s="15"/>
      <c r="K55" s="44">
        <f>IF(DAY(FebSun1)=1,FebSun1-2,FebSun1+5)</f>
        <v>43861</v>
      </c>
      <c r="L55" s="15"/>
      <c r="M55" s="44">
        <f>IF(DAY(FebSun1)=1,FebSun1-1,FebSun1+6)</f>
        <v>43862</v>
      </c>
      <c r="N55" s="15"/>
      <c r="O55" s="44">
        <f>IF(DAY(FebSun1)=1,FebSun1,FebSun1+7)</f>
        <v>43863</v>
      </c>
      <c r="P55" s="7"/>
      <c r="Q55" s="7"/>
      <c r="U55" s="8"/>
      <c r="V55" s="7"/>
    </row>
    <row r="56" spans="1:22" s="9" customFormat="1" ht="55.5" customHeight="1" x14ac:dyDescent="0.25">
      <c r="A56" s="100" t="s">
        <v>38</v>
      </c>
      <c r="B56" s="51"/>
      <c r="C56" s="49"/>
      <c r="D56" s="50"/>
      <c r="E56" s="49"/>
      <c r="F56" s="50"/>
      <c r="G56" s="49"/>
      <c r="H56" s="50"/>
      <c r="I56" s="49"/>
      <c r="J56" s="50"/>
      <c r="K56" s="49"/>
      <c r="L56" s="52"/>
      <c r="M56" s="53"/>
      <c r="N56" s="52"/>
      <c r="O56" s="53"/>
    </row>
    <row r="57" spans="1:22" s="9" customFormat="1" ht="8.25" customHeight="1" x14ac:dyDescent="0.3">
      <c r="A57" s="103"/>
      <c r="B57" s="54"/>
      <c r="C57" s="54"/>
      <c r="D57" s="54"/>
      <c r="E57" s="54"/>
      <c r="F57" s="54"/>
      <c r="G57" s="54"/>
      <c r="H57" s="54"/>
      <c r="I57" s="54"/>
      <c r="J57" s="54"/>
      <c r="K57" s="54"/>
      <c r="L57" s="57"/>
      <c r="M57" s="57"/>
      <c r="N57" s="34"/>
      <c r="O57" s="34"/>
    </row>
    <row r="58" spans="1:22" s="7" customFormat="1" ht="16.5" customHeight="1" x14ac:dyDescent="0.3">
      <c r="A58" s="104"/>
      <c r="B58" s="16"/>
      <c r="C58" s="44">
        <f>IF(DAY(FebSun1)=1,FebSun1+1,FebSun1+8)</f>
        <v>43864</v>
      </c>
      <c r="D58" s="15"/>
      <c r="E58" s="44">
        <f>IF(DAY(FebSun1)=1,FebSun1+2,FebSun1+9)</f>
        <v>43865</v>
      </c>
      <c r="F58" s="15"/>
      <c r="G58" s="44">
        <f>IF(DAY(FebSun1)=1,FebSun1+3,FebSun1+10)</f>
        <v>43866</v>
      </c>
      <c r="H58" s="15"/>
      <c r="I58" s="44">
        <f>IF(DAY(FebSun1)=1,FebSun1+4,FebSun1+11)</f>
        <v>43867</v>
      </c>
      <c r="J58" s="15"/>
      <c r="K58" s="44">
        <f>IF(DAY(FebSun1)=1,FebSun1+5,FebSun1+12)</f>
        <v>43868</v>
      </c>
      <c r="L58" s="15"/>
      <c r="M58" s="44">
        <f>IF(DAY(FebSun1)=1,FebSun1+6,FebSun1+13)</f>
        <v>43869</v>
      </c>
      <c r="N58" s="15"/>
      <c r="O58" s="46">
        <f>IF(DAY(FebSun1)=1,FebSun1+7,FebSun1+14)</f>
        <v>43870</v>
      </c>
    </row>
    <row r="59" spans="1:22" s="11" customFormat="1" ht="55.5" customHeight="1" x14ac:dyDescent="0.3">
      <c r="A59" s="103"/>
      <c r="B59" s="51"/>
      <c r="C59" s="49"/>
      <c r="D59" s="50"/>
      <c r="E59" s="49"/>
      <c r="F59" s="50" t="s">
        <v>7</v>
      </c>
      <c r="G59" s="49"/>
      <c r="H59" s="50"/>
      <c r="I59" s="49"/>
      <c r="J59" s="50"/>
      <c r="K59" s="49"/>
      <c r="L59" s="52"/>
      <c r="M59" s="53"/>
      <c r="N59" s="52"/>
      <c r="O59" s="53"/>
    </row>
    <row r="60" spans="1:22" s="11" customFormat="1" ht="8.25" customHeight="1" x14ac:dyDescent="0.3">
      <c r="A60" s="103"/>
      <c r="B60" s="54"/>
      <c r="C60" s="54"/>
      <c r="D60" s="54"/>
      <c r="E60" s="54"/>
      <c r="F60" s="54"/>
      <c r="G60" s="54"/>
      <c r="H60" s="54"/>
      <c r="I60" s="54"/>
      <c r="J60" s="54"/>
      <c r="K60" s="54"/>
      <c r="L60" s="57"/>
      <c r="M60" s="57"/>
      <c r="N60" s="57"/>
      <c r="O60" s="57"/>
    </row>
    <row r="61" spans="1:22" s="7" customFormat="1" ht="16.5" customHeight="1" x14ac:dyDescent="0.3">
      <c r="A61" s="104"/>
      <c r="B61" s="16"/>
      <c r="C61" s="44">
        <f>IF(DAY(FebSun1)=1,FebSun1+8,FebSun1+15)</f>
        <v>43871</v>
      </c>
      <c r="D61" s="15"/>
      <c r="E61" s="44">
        <f>IF(DAY(FebSun1)=1,FebSun1+9,FebSun1+16)</f>
        <v>43872</v>
      </c>
      <c r="F61" s="15"/>
      <c r="G61" s="44">
        <f>IF(DAY(FebSun1)=1,FebSun1+10,FebSun1+17)</f>
        <v>43873</v>
      </c>
      <c r="H61" s="15"/>
      <c r="I61" s="44">
        <f>IF(DAY(FebSun1)=1,FebSun1+11,FebSun1+18)</f>
        <v>43874</v>
      </c>
      <c r="J61" s="15"/>
      <c r="K61" s="44">
        <f>IF(DAY(FebSun1)=1,FebSun1+12,FebSun1+19)</f>
        <v>43875</v>
      </c>
      <c r="L61" s="15"/>
      <c r="M61" s="44">
        <f>IF(DAY(FebSun1)=1,FebSun1+13,FebSun1+20)</f>
        <v>43876</v>
      </c>
      <c r="N61" s="15"/>
      <c r="O61" s="44">
        <f>IF(DAY(FebSun1)=1,FebSun1+14,FebSun1+21)</f>
        <v>43877</v>
      </c>
    </row>
    <row r="62" spans="1:22" s="11" customFormat="1" ht="55.5" customHeight="1" x14ac:dyDescent="0.3">
      <c r="A62" s="103"/>
      <c r="B62" s="51"/>
      <c r="C62" s="49"/>
      <c r="D62" s="50"/>
      <c r="E62" s="49"/>
      <c r="F62" s="50"/>
      <c r="G62" s="49"/>
      <c r="H62" s="50"/>
      <c r="I62" s="49"/>
      <c r="J62" s="50"/>
      <c r="K62" s="49"/>
      <c r="L62" s="52"/>
      <c r="M62" s="53"/>
      <c r="N62" s="52"/>
      <c r="O62" s="53"/>
    </row>
    <row r="63" spans="1:22" s="11" customFormat="1" ht="8.25" customHeight="1" x14ac:dyDescent="0.3">
      <c r="A63" s="103"/>
      <c r="B63" s="54"/>
      <c r="C63" s="54"/>
      <c r="D63" s="54"/>
      <c r="E63" s="54"/>
      <c r="F63" s="54"/>
      <c r="G63" s="54"/>
      <c r="H63" s="54"/>
      <c r="I63" s="54"/>
      <c r="J63" s="54"/>
      <c r="K63" s="54"/>
      <c r="L63" s="57"/>
      <c r="M63" s="57"/>
      <c r="N63" s="57"/>
      <c r="O63" s="57"/>
    </row>
    <row r="64" spans="1:22" s="7" customFormat="1" ht="16.5" customHeight="1" x14ac:dyDescent="0.3">
      <c r="A64" s="104"/>
      <c r="B64" s="16"/>
      <c r="C64" s="44">
        <f>IF(DAY(FebSun1)=1,FebSun1+15,FebSun1+22)</f>
        <v>43878</v>
      </c>
      <c r="D64" s="15"/>
      <c r="E64" s="44">
        <f>IF(DAY(FebSun1)=1,FebSun1+16,FebSun1+23)</f>
        <v>43879</v>
      </c>
      <c r="F64" s="15"/>
      <c r="G64" s="44">
        <f>IF(DAY(FebSun1)=1,FebSun1+17,FebSun1+24)</f>
        <v>43880</v>
      </c>
      <c r="H64" s="15"/>
      <c r="I64" s="44">
        <f>IF(DAY(FebSun1)=1,FebSun1+18,FebSun1+25)</f>
        <v>43881</v>
      </c>
      <c r="J64" s="15"/>
      <c r="K64" s="44">
        <f>IF(DAY(FebSun1)=1,FebSun1+19,FebSun1+26)</f>
        <v>43882</v>
      </c>
      <c r="L64" s="15"/>
      <c r="M64" s="44">
        <f>IF(DAY(FebSun1)=1,FebSun1+20,FebSun1+27)</f>
        <v>43883</v>
      </c>
      <c r="N64" s="15"/>
      <c r="O64" s="44">
        <f>IF(DAY(FebSun1)=1,FebSun1+21,FebSun1+28)</f>
        <v>43884</v>
      </c>
    </row>
    <row r="65" spans="1:16" s="11" customFormat="1" ht="55.5" customHeight="1" x14ac:dyDescent="0.3">
      <c r="A65" s="103"/>
      <c r="B65" s="51"/>
      <c r="C65" s="49"/>
      <c r="D65" s="50"/>
      <c r="E65" s="49"/>
      <c r="F65" s="50"/>
      <c r="G65" s="49"/>
      <c r="H65" s="50"/>
      <c r="I65" s="49"/>
      <c r="J65" s="50"/>
      <c r="K65" s="49"/>
      <c r="L65" s="52"/>
      <c r="M65" s="53"/>
      <c r="N65" s="52"/>
      <c r="O65" s="53"/>
    </row>
    <row r="66" spans="1:16" s="11" customFormat="1" ht="8.25" customHeight="1" x14ac:dyDescent="0.3">
      <c r="A66" s="103"/>
      <c r="B66" s="54"/>
      <c r="C66" s="54"/>
      <c r="D66" s="54"/>
      <c r="E66" s="54"/>
      <c r="F66" s="54"/>
      <c r="G66" s="54"/>
      <c r="H66" s="54"/>
      <c r="I66" s="54"/>
      <c r="J66" s="54"/>
      <c r="K66" s="54"/>
      <c r="L66" s="57"/>
      <c r="M66" s="57"/>
      <c r="N66" s="57"/>
      <c r="O66" s="57"/>
    </row>
    <row r="67" spans="1:16" s="7" customFormat="1" ht="16.5" customHeight="1" x14ac:dyDescent="0.3">
      <c r="A67" s="104"/>
      <c r="B67" s="16"/>
      <c r="C67" s="44">
        <f>IF(DAY(FebSun1)=1,FebSun1+22,FebSun1+29)</f>
        <v>43885</v>
      </c>
      <c r="D67" s="15"/>
      <c r="E67" s="44">
        <f>IF(DAY(FebSun1)=1,FebSun1+23,FebSun1+30)</f>
        <v>43886</v>
      </c>
      <c r="F67" s="15"/>
      <c r="G67" s="44">
        <f>IF(DAY(FebSun1)=1,FebSun1+24,FebSun1+31)</f>
        <v>43887</v>
      </c>
      <c r="H67" s="15"/>
      <c r="I67" s="44">
        <f>IF(DAY(FebSun1)=1,FebSun1+25,FebSun1+32)</f>
        <v>43888</v>
      </c>
      <c r="J67" s="15"/>
      <c r="K67" s="44">
        <f>IF(DAY(FebSun1)=1,FebSun1+26,FebSun1+33)</f>
        <v>43889</v>
      </c>
      <c r="L67" s="15"/>
      <c r="M67" s="44">
        <f>IF(DAY(FebSun1)=1,FebSun1+27,FebSun1+34)</f>
        <v>43890</v>
      </c>
      <c r="N67" s="15"/>
      <c r="O67" s="44">
        <f>IF(DAY(FebSun1)=1,FebSun1+28,FebSun1+35)</f>
        <v>43891</v>
      </c>
    </row>
    <row r="68" spans="1:16" s="11" customFormat="1" ht="55.5" customHeight="1" x14ac:dyDescent="0.3">
      <c r="A68" s="103"/>
      <c r="B68" s="51"/>
      <c r="C68" s="49"/>
      <c r="D68" s="50"/>
      <c r="E68" s="49"/>
      <c r="F68" s="50"/>
      <c r="G68" s="49"/>
      <c r="H68" s="50"/>
      <c r="I68" s="49"/>
      <c r="J68" s="50"/>
      <c r="K68" s="49"/>
      <c r="L68" s="52"/>
      <c r="M68" s="53"/>
      <c r="N68" s="52"/>
      <c r="O68" s="53"/>
    </row>
    <row r="69" spans="1:16" s="11" customFormat="1" ht="8.25" customHeight="1" x14ac:dyDescent="0.3">
      <c r="A69" s="103"/>
      <c r="B69" s="54"/>
      <c r="C69" s="54"/>
      <c r="D69" s="54"/>
      <c r="E69" s="54"/>
      <c r="F69" s="54"/>
      <c r="G69" s="54"/>
      <c r="H69" s="54"/>
      <c r="I69" s="54"/>
      <c r="J69" s="54"/>
      <c r="K69" s="54"/>
      <c r="L69" s="57"/>
      <c r="M69" s="57"/>
      <c r="N69" s="57"/>
      <c r="O69" s="57"/>
    </row>
    <row r="70" spans="1:16" s="7" customFormat="1" ht="16.5" customHeight="1" x14ac:dyDescent="0.3">
      <c r="A70" s="104"/>
      <c r="B70" s="16"/>
      <c r="C70" s="44">
        <f>IF(DAY(FebSun1)=1,FebSun1+29,FebSun1+36)</f>
        <v>43892</v>
      </c>
      <c r="D70" s="15"/>
      <c r="E70" s="44">
        <f>IF(DAY(FebSun1)=1,FebSun1+30,FebSun1+37)</f>
        <v>43893</v>
      </c>
      <c r="F70" s="15"/>
      <c r="G70" s="44">
        <f>IF(DAY(FebSun1)=1,FebSun1+31,FebSun1+38)</f>
        <v>43894</v>
      </c>
      <c r="H70" s="15"/>
      <c r="I70" s="44">
        <f>IF(DAY(FebSun1)=1,FebSun1+32,FebSun1+39)</f>
        <v>43895</v>
      </c>
      <c r="J70" s="16"/>
      <c r="K70" s="44">
        <f>IF(DAY(FebSun1)=1,FebSun1+33,FebSun1+40)</f>
        <v>43896</v>
      </c>
      <c r="L70" s="15"/>
      <c r="M70" s="44">
        <f>IF(DAY(FebSun1)=1,FebSun1+34,FebSun1+41)</f>
        <v>43897</v>
      </c>
      <c r="N70" s="15"/>
      <c r="O70" s="44">
        <f>IF(DAY(FebSun1)=1,FebSun1+35,FebSun1+42)</f>
        <v>43898</v>
      </c>
    </row>
    <row r="71" spans="1:16" s="11" customFormat="1" ht="55.5" customHeight="1" x14ac:dyDescent="0.3">
      <c r="A71" s="103"/>
      <c r="B71" s="51"/>
      <c r="C71" s="49"/>
      <c r="D71" s="50"/>
      <c r="E71" s="49"/>
      <c r="F71" s="55"/>
      <c r="G71" s="56"/>
      <c r="H71" s="55"/>
      <c r="I71" s="56"/>
      <c r="J71" s="55"/>
      <c r="K71" s="56"/>
      <c r="L71" s="55"/>
      <c r="M71" s="56"/>
      <c r="N71" s="55"/>
      <c r="O71" s="56"/>
    </row>
    <row r="72" spans="1:16" s="11" customFormat="1" ht="7.5" customHeight="1" x14ac:dyDescent="0.3">
      <c r="A72" s="105"/>
      <c r="B72" s="17"/>
      <c r="C72" s="17"/>
      <c r="D72" s="17"/>
      <c r="E72" s="17"/>
      <c r="F72" s="17"/>
      <c r="G72" s="17"/>
      <c r="H72" s="17"/>
      <c r="I72" s="17"/>
      <c r="J72" s="17"/>
      <c r="K72" s="17"/>
      <c r="L72" s="17"/>
      <c r="M72" s="17"/>
      <c r="N72" s="17"/>
      <c r="O72" s="17"/>
    </row>
    <row r="73" spans="1:16" s="11" customFormat="1" x14ac:dyDescent="0.3">
      <c r="A73" s="105"/>
    </row>
    <row r="74" spans="1:16" s="11" customFormat="1" ht="54" customHeight="1" x14ac:dyDescent="0.3">
      <c r="A74" s="100" t="s">
        <v>39</v>
      </c>
      <c r="B74" s="139" t="str">
        <f>TEXT(DATE(CalendarYear,3,1),"mmmm")</f>
        <v>March</v>
      </c>
      <c r="C74" s="139"/>
      <c r="D74" s="139"/>
      <c r="E74" s="139"/>
      <c r="F74" s="139"/>
      <c r="G74" s="139"/>
      <c r="H74" s="139"/>
      <c r="I74" s="139"/>
      <c r="J74" s="120" t="s">
        <v>34</v>
      </c>
      <c r="K74" s="121"/>
      <c r="L74" s="121"/>
      <c r="M74" s="133">
        <f>CalendarYear</f>
        <v>2020</v>
      </c>
      <c r="N74" s="133"/>
      <c r="O74" s="133"/>
      <c r="P74" s="32"/>
    </row>
    <row r="75" spans="1:16" s="11" customFormat="1" ht="18.899999999999999" customHeight="1" x14ac:dyDescent="0.3">
      <c r="A75" s="100" t="s">
        <v>40</v>
      </c>
      <c r="B75" s="123"/>
      <c r="C75" s="123"/>
      <c r="D75" s="123"/>
      <c r="E75" s="123"/>
      <c r="F75" s="123"/>
      <c r="G75" s="123"/>
      <c r="H75" s="123"/>
      <c r="I75" s="123"/>
      <c r="J75" s="131" t="s">
        <v>30</v>
      </c>
      <c r="K75" s="132"/>
      <c r="L75" s="132"/>
      <c r="M75" s="132"/>
      <c r="N75" s="132"/>
    </row>
    <row r="76" spans="1:16" s="11" customFormat="1" ht="18.899999999999999" customHeight="1" x14ac:dyDescent="0.3">
      <c r="A76" s="100"/>
      <c r="B76" s="123"/>
      <c r="C76" s="123"/>
      <c r="D76" s="123"/>
      <c r="E76" s="123"/>
      <c r="F76" s="123"/>
      <c r="G76" s="123"/>
      <c r="H76" s="123"/>
      <c r="I76" s="123"/>
      <c r="J76" s="132"/>
      <c r="K76" s="132"/>
      <c r="L76" s="132"/>
      <c r="M76" s="132"/>
      <c r="N76" s="132"/>
    </row>
    <row r="77" spans="1:16" s="11" customFormat="1" ht="18.899999999999999" customHeight="1" x14ac:dyDescent="0.55000000000000004">
      <c r="A77" s="106"/>
      <c r="B77" s="123"/>
      <c r="C77" s="123"/>
      <c r="D77" s="123"/>
      <c r="E77" s="123"/>
      <c r="F77" s="123"/>
      <c r="G77" s="123"/>
      <c r="H77" s="123"/>
      <c r="I77" s="123"/>
      <c r="J77" s="132"/>
      <c r="K77" s="132"/>
      <c r="L77" s="132"/>
      <c r="M77" s="132"/>
      <c r="N77" s="132"/>
    </row>
    <row r="78" spans="1:16" s="11" customFormat="1" ht="18.899999999999999" customHeight="1" x14ac:dyDescent="0.55000000000000004">
      <c r="A78" s="106"/>
      <c r="B78" s="123"/>
      <c r="C78" s="123"/>
      <c r="D78" s="123"/>
      <c r="E78" s="123"/>
      <c r="F78" s="123"/>
      <c r="G78" s="123"/>
      <c r="H78" s="123"/>
      <c r="I78" s="123"/>
      <c r="J78" s="132"/>
      <c r="K78" s="132"/>
      <c r="L78" s="132"/>
      <c r="M78" s="132"/>
      <c r="N78" s="132"/>
    </row>
    <row r="79" spans="1:16" s="11" customFormat="1" ht="18.899999999999999" customHeight="1" x14ac:dyDescent="0.55000000000000004">
      <c r="A79" s="106"/>
      <c r="B79" s="123"/>
      <c r="C79" s="123"/>
      <c r="D79" s="123"/>
      <c r="E79" s="123"/>
      <c r="F79" s="123"/>
      <c r="G79" s="123"/>
      <c r="H79" s="123"/>
      <c r="I79" s="123"/>
      <c r="J79" s="132"/>
      <c r="K79" s="132"/>
      <c r="L79" s="132"/>
      <c r="M79" s="132"/>
      <c r="N79" s="132"/>
    </row>
    <row r="80" spans="1:16" s="11" customFormat="1" ht="18.899999999999999" customHeight="1" x14ac:dyDescent="0.55000000000000004">
      <c r="A80" s="106"/>
      <c r="B80" s="123"/>
      <c r="C80" s="123"/>
      <c r="D80" s="123"/>
      <c r="E80" s="123"/>
      <c r="F80" s="123"/>
      <c r="G80" s="123"/>
      <c r="H80" s="123"/>
      <c r="I80" s="123"/>
      <c r="J80" s="132"/>
      <c r="K80" s="132"/>
      <c r="L80" s="132"/>
      <c r="M80" s="132"/>
      <c r="N80" s="132"/>
    </row>
    <row r="81" spans="1:22" s="11" customFormat="1" ht="18.899999999999999" customHeight="1" x14ac:dyDescent="0.55000000000000004">
      <c r="A81" s="106"/>
      <c r="B81" s="123"/>
      <c r="C81" s="123"/>
      <c r="D81" s="123"/>
      <c r="E81" s="123"/>
      <c r="F81" s="123"/>
      <c r="G81" s="123"/>
      <c r="H81" s="123"/>
      <c r="I81" s="123"/>
      <c r="J81" s="132"/>
      <c r="K81" s="132"/>
      <c r="L81" s="132"/>
      <c r="M81" s="132"/>
      <c r="N81" s="132"/>
    </row>
    <row r="82" spans="1:22" s="11" customFormat="1" ht="18.899999999999999" customHeight="1" x14ac:dyDescent="0.55000000000000004">
      <c r="A82" s="106"/>
      <c r="B82" s="123"/>
      <c r="C82" s="123"/>
      <c r="D82" s="123"/>
      <c r="E82" s="123"/>
      <c r="F82" s="123"/>
      <c r="G82" s="123"/>
      <c r="H82" s="123"/>
      <c r="I82" s="123"/>
      <c r="J82" s="132"/>
      <c r="K82" s="132"/>
      <c r="L82" s="132"/>
      <c r="M82" s="132"/>
      <c r="N82" s="132"/>
    </row>
    <row r="83" spans="1:22" s="11" customFormat="1" ht="18.899999999999999" customHeight="1" x14ac:dyDescent="0.55000000000000004">
      <c r="A83" s="106"/>
      <c r="B83" s="123"/>
      <c r="C83" s="123"/>
      <c r="D83" s="123"/>
      <c r="E83" s="123"/>
      <c r="F83" s="123"/>
      <c r="G83" s="123"/>
      <c r="H83" s="123"/>
      <c r="I83" s="123"/>
      <c r="J83" s="132"/>
      <c r="K83" s="132"/>
      <c r="L83" s="132"/>
      <c r="M83" s="132"/>
      <c r="N83" s="132"/>
    </row>
    <row r="84" spans="1:22" s="11" customFormat="1" ht="18.899999999999999" customHeight="1" x14ac:dyDescent="0.55000000000000004">
      <c r="A84" s="106"/>
      <c r="B84" s="123"/>
      <c r="C84" s="123"/>
      <c r="D84" s="123"/>
      <c r="E84" s="123"/>
      <c r="F84" s="123"/>
      <c r="G84" s="123"/>
      <c r="H84" s="123"/>
      <c r="I84" s="123"/>
      <c r="J84" s="132"/>
      <c r="K84" s="132"/>
      <c r="L84" s="132"/>
      <c r="M84" s="132"/>
      <c r="N84" s="132"/>
    </row>
    <row r="85" spans="1:22" s="11" customFormat="1" ht="18.899999999999999" customHeight="1" x14ac:dyDescent="0.55000000000000004">
      <c r="A85" s="106"/>
      <c r="B85" s="123"/>
      <c r="C85" s="123"/>
      <c r="D85" s="123"/>
      <c r="E85" s="123"/>
      <c r="F85" s="123"/>
      <c r="G85" s="123"/>
      <c r="H85" s="123"/>
      <c r="I85" s="123"/>
      <c r="J85" s="132"/>
      <c r="K85" s="132"/>
      <c r="L85" s="132"/>
      <c r="M85" s="132"/>
      <c r="N85" s="132"/>
    </row>
    <row r="86" spans="1:22" s="11" customFormat="1" ht="18.899999999999999" customHeight="1" x14ac:dyDescent="0.55000000000000004">
      <c r="A86" s="106"/>
      <c r="B86" s="123"/>
      <c r="C86" s="123"/>
      <c r="D86" s="123"/>
      <c r="E86" s="123"/>
      <c r="F86" s="123"/>
      <c r="G86" s="123"/>
      <c r="H86" s="123"/>
      <c r="I86" s="123"/>
      <c r="J86" s="132"/>
      <c r="K86" s="132"/>
      <c r="L86" s="132"/>
      <c r="M86" s="132"/>
      <c r="N86" s="132"/>
    </row>
    <row r="87" spans="1:22" s="11" customFormat="1" ht="18.899999999999999" customHeight="1" x14ac:dyDescent="0.55000000000000004">
      <c r="A87" s="106"/>
      <c r="B87" s="123"/>
      <c r="C87" s="123"/>
      <c r="D87" s="123"/>
      <c r="E87" s="123"/>
      <c r="F87" s="123"/>
      <c r="G87" s="123"/>
      <c r="H87" s="123"/>
      <c r="I87" s="123"/>
      <c r="J87" s="132"/>
      <c r="K87" s="132"/>
      <c r="L87" s="132"/>
      <c r="M87" s="132"/>
      <c r="N87" s="132"/>
    </row>
    <row r="88" spans="1:22" s="11" customFormat="1" ht="18.899999999999999" customHeight="1" x14ac:dyDescent="0.55000000000000004">
      <c r="A88" s="106"/>
      <c r="B88" s="123"/>
      <c r="C88" s="123"/>
      <c r="D88" s="123"/>
      <c r="E88" s="123"/>
      <c r="F88" s="123"/>
      <c r="G88" s="123"/>
      <c r="H88" s="123"/>
      <c r="I88" s="123"/>
      <c r="J88" s="132"/>
      <c r="K88" s="132"/>
      <c r="L88" s="132"/>
      <c r="M88" s="132"/>
      <c r="N88" s="132"/>
    </row>
    <row r="89" spans="1:22" s="11" customFormat="1" ht="18.899999999999999" customHeight="1" x14ac:dyDescent="0.3">
      <c r="A89" s="103"/>
      <c r="B89" s="123"/>
      <c r="C89" s="123"/>
      <c r="D89" s="123"/>
      <c r="E89" s="123"/>
      <c r="F89" s="123"/>
      <c r="G89" s="123"/>
      <c r="H89" s="123"/>
      <c r="I89" s="123"/>
      <c r="J89" s="132"/>
      <c r="K89" s="132"/>
      <c r="L89" s="132"/>
      <c r="M89" s="132"/>
      <c r="N89" s="132"/>
      <c r="O89" s="4"/>
    </row>
    <row r="90" spans="1:22" s="3" customFormat="1" ht="27" customHeight="1" x14ac:dyDescent="0.3">
      <c r="A90" s="100" t="s">
        <v>41</v>
      </c>
      <c r="B90" s="35" t="s">
        <v>0</v>
      </c>
      <c r="C90" s="35" t="s">
        <v>8</v>
      </c>
      <c r="D90" s="35" t="s">
        <v>1</v>
      </c>
      <c r="E90" s="35" t="s">
        <v>9</v>
      </c>
      <c r="F90" s="35" t="s">
        <v>2</v>
      </c>
      <c r="G90" s="35" t="s">
        <v>10</v>
      </c>
      <c r="H90" s="35" t="s">
        <v>3</v>
      </c>
      <c r="I90" s="35" t="s">
        <v>11</v>
      </c>
      <c r="J90" s="35" t="s">
        <v>4</v>
      </c>
      <c r="K90" s="35" t="s">
        <v>12</v>
      </c>
      <c r="L90" s="35" t="s">
        <v>5</v>
      </c>
      <c r="M90" s="35" t="s">
        <v>13</v>
      </c>
      <c r="N90" s="35" t="s">
        <v>6</v>
      </c>
      <c r="O90" s="35" t="s">
        <v>14</v>
      </c>
      <c r="P90" s="11"/>
      <c r="Q90" s="5"/>
      <c r="U90" s="11"/>
      <c r="V90" s="11"/>
    </row>
    <row r="91" spans="1:22" s="6" customFormat="1" ht="16.5" customHeight="1" x14ac:dyDescent="0.3">
      <c r="A91" s="100" t="s">
        <v>42</v>
      </c>
      <c r="B91" s="24"/>
      <c r="C91" s="59">
        <f>IF(DAY(MarSun1)=1,MarSun1-6,MarSun1+1)</f>
        <v>43885</v>
      </c>
      <c r="D91" s="25"/>
      <c r="E91" s="59">
        <f>IF(DAY(MarSun1)=1,MarSun1-5,MarSun1+2)</f>
        <v>43886</v>
      </c>
      <c r="F91" s="25"/>
      <c r="G91" s="59">
        <f>IF(DAY(MarSun1)=1,MarSun1-4,MarSun1+3)</f>
        <v>43887</v>
      </c>
      <c r="H91" s="25"/>
      <c r="I91" s="59">
        <f>IF(DAY(MarSun1)=1,MarSun1-3,MarSun1+4)</f>
        <v>43888</v>
      </c>
      <c r="J91" s="25"/>
      <c r="K91" s="59">
        <f>IF(DAY(MarSun1)=1,MarSun1-2,MarSun1+5)</f>
        <v>43889</v>
      </c>
      <c r="L91" s="25"/>
      <c r="M91" s="59">
        <f>IF(DAY(MarSun1)=1,MarSun1-1,MarSun1+6)</f>
        <v>43890</v>
      </c>
      <c r="N91" s="25"/>
      <c r="O91" s="59">
        <f>IF(DAY(MarSun1)=1,MarSun1,MarSun1+7)</f>
        <v>43891</v>
      </c>
      <c r="P91" s="7"/>
      <c r="Q91" s="7"/>
      <c r="U91" s="8"/>
      <c r="V91" s="7"/>
    </row>
    <row r="92" spans="1:22" s="9" customFormat="1" ht="55.5" customHeight="1" x14ac:dyDescent="0.25">
      <c r="A92" s="100" t="s">
        <v>43</v>
      </c>
      <c r="B92" s="61"/>
      <c r="C92" s="38"/>
      <c r="D92" s="62"/>
      <c r="E92" s="38"/>
      <c r="F92" s="62"/>
      <c r="G92" s="38"/>
      <c r="H92" s="62"/>
      <c r="I92" s="38"/>
      <c r="J92" s="62"/>
      <c r="K92" s="38"/>
      <c r="L92" s="64"/>
      <c r="M92" s="66"/>
      <c r="N92" s="64"/>
      <c r="O92" s="66"/>
    </row>
    <row r="93" spans="1:22" s="9" customFormat="1" ht="8.25" customHeight="1" x14ac:dyDescent="0.3">
      <c r="A93" s="103"/>
      <c r="B93" s="36"/>
      <c r="C93" s="36"/>
      <c r="D93" s="36"/>
      <c r="E93" s="36"/>
      <c r="F93" s="36"/>
      <c r="G93" s="36"/>
      <c r="H93" s="36"/>
      <c r="I93" s="36"/>
      <c r="J93" s="36"/>
      <c r="K93" s="36"/>
      <c r="L93" s="37"/>
      <c r="M93" s="37"/>
      <c r="N93" s="37"/>
      <c r="O93" s="37"/>
    </row>
    <row r="94" spans="1:22" s="7" customFormat="1" ht="16.5" customHeight="1" x14ac:dyDescent="0.3">
      <c r="A94" s="104"/>
      <c r="B94" s="26"/>
      <c r="C94" s="59">
        <f>IF(DAY(MarSun1)=1,MarSun1+1,MarSun1+8)</f>
        <v>43892</v>
      </c>
      <c r="D94" s="25"/>
      <c r="E94" s="59">
        <f>IF(DAY(MarSun1)=1,MarSun1+2,MarSun1+9)</f>
        <v>43893</v>
      </c>
      <c r="F94" s="25"/>
      <c r="G94" s="59">
        <f>IF(DAY(MarSun1)=1,MarSun1+3,MarSun1+10)</f>
        <v>43894</v>
      </c>
      <c r="H94" s="25"/>
      <c r="I94" s="59">
        <f>IF(DAY(MarSun1)=1,MarSun1+4,MarSun1+11)</f>
        <v>43895</v>
      </c>
      <c r="J94" s="25"/>
      <c r="K94" s="59">
        <f>IF(DAY(MarSun1)=1,MarSun1+5,MarSun1+12)</f>
        <v>43896</v>
      </c>
      <c r="L94" s="25"/>
      <c r="M94" s="59">
        <f>IF(DAY(MarSun1)=1,MarSun1+6,MarSun1+13)</f>
        <v>43897</v>
      </c>
      <c r="N94" s="25"/>
      <c r="O94" s="59">
        <f>IF(DAY(MarSun1)=1,MarSun1+7,MarSun1+14)</f>
        <v>43898</v>
      </c>
    </row>
    <row r="95" spans="1:22" s="11" customFormat="1" ht="55.5" customHeight="1" x14ac:dyDescent="0.3">
      <c r="A95" s="103"/>
      <c r="B95" s="61"/>
      <c r="C95" s="38"/>
      <c r="D95" s="62"/>
      <c r="E95" s="38"/>
      <c r="F95" s="62" t="s">
        <v>7</v>
      </c>
      <c r="G95" s="38"/>
      <c r="H95" s="62"/>
      <c r="I95" s="38"/>
      <c r="J95" s="62"/>
      <c r="K95" s="38"/>
      <c r="L95" s="64"/>
      <c r="M95" s="66"/>
      <c r="N95" s="64"/>
      <c r="O95" s="66"/>
    </row>
    <row r="96" spans="1:22" s="11" customFormat="1" ht="8.25" customHeight="1" x14ac:dyDescent="0.3">
      <c r="A96" s="103"/>
      <c r="B96" s="36"/>
      <c r="C96" s="36"/>
      <c r="D96" s="36"/>
      <c r="E96" s="36"/>
      <c r="F96" s="36"/>
      <c r="G96" s="36"/>
      <c r="H96" s="36"/>
      <c r="I96" s="36"/>
      <c r="J96" s="36"/>
      <c r="K96" s="36"/>
      <c r="L96" s="37"/>
      <c r="M96" s="37"/>
      <c r="N96" s="37"/>
      <c r="O96" s="37"/>
    </row>
    <row r="97" spans="1:16" s="7" customFormat="1" ht="16.5" customHeight="1" x14ac:dyDescent="0.3">
      <c r="A97" s="104"/>
      <c r="B97" s="26"/>
      <c r="C97" s="59">
        <f>IF(DAY(MarSun1)=1,MarSun1+8,MarSun1+15)</f>
        <v>43899</v>
      </c>
      <c r="D97" s="25"/>
      <c r="E97" s="59">
        <f>IF(DAY(MarSun1)=1,MarSun1+9,MarSun1+16)</f>
        <v>43900</v>
      </c>
      <c r="F97" s="25"/>
      <c r="G97" s="59">
        <f>IF(DAY(MarSun1)=1,MarSun1+10,MarSun1+17)</f>
        <v>43901</v>
      </c>
      <c r="H97" s="25"/>
      <c r="I97" s="59">
        <f>IF(DAY(MarSun1)=1,MarSun1+11,MarSun1+18)</f>
        <v>43902</v>
      </c>
      <c r="J97" s="25"/>
      <c r="K97" s="59">
        <f>IF(DAY(MarSun1)=1,MarSun1+12,MarSun1+19)</f>
        <v>43903</v>
      </c>
      <c r="L97" s="25"/>
      <c r="M97" s="59">
        <f>IF(DAY(MarSun1)=1,MarSun1+13,MarSun1+20)</f>
        <v>43904</v>
      </c>
      <c r="N97" s="25"/>
      <c r="O97" s="59">
        <f>IF(DAY(MarSun1)=1,MarSun1+14,MarSun1+21)</f>
        <v>43905</v>
      </c>
    </row>
    <row r="98" spans="1:16" s="11" customFormat="1" ht="55.5" customHeight="1" x14ac:dyDescent="0.3">
      <c r="A98" s="103"/>
      <c r="B98" s="61"/>
      <c r="C98" s="38"/>
      <c r="D98" s="62"/>
      <c r="E98" s="38"/>
      <c r="F98" s="62"/>
      <c r="G98" s="38"/>
      <c r="H98" s="62"/>
      <c r="I98" s="38"/>
      <c r="J98" s="62"/>
      <c r="K98" s="38"/>
      <c r="L98" s="64"/>
      <c r="M98" s="66"/>
      <c r="N98" s="64"/>
      <c r="O98" s="66"/>
    </row>
    <row r="99" spans="1:16" s="11" customFormat="1" ht="8.25" customHeight="1" x14ac:dyDescent="0.3">
      <c r="A99" s="103"/>
      <c r="B99" s="36"/>
      <c r="C99" s="36"/>
      <c r="D99" s="36"/>
      <c r="E99" s="36"/>
      <c r="F99" s="36"/>
      <c r="G99" s="36"/>
      <c r="H99" s="36"/>
      <c r="I99" s="36"/>
      <c r="J99" s="36"/>
      <c r="K99" s="36"/>
      <c r="L99" s="37"/>
      <c r="M99" s="37"/>
      <c r="N99" s="37"/>
      <c r="O99" s="37"/>
    </row>
    <row r="100" spans="1:16" s="7" customFormat="1" ht="16.5" customHeight="1" x14ac:dyDescent="0.3">
      <c r="A100" s="104"/>
      <c r="B100" s="26"/>
      <c r="C100" s="59">
        <f>IF(DAY(MarSun1)=1,MarSun1+15,MarSun1+22)</f>
        <v>43906</v>
      </c>
      <c r="D100" s="25"/>
      <c r="E100" s="59">
        <f>IF(DAY(MarSun1)=1,MarSun1+16,MarSun1+23)</f>
        <v>43907</v>
      </c>
      <c r="F100" s="25"/>
      <c r="G100" s="59">
        <f>IF(DAY(MarSun1)=1,MarSun1+17,MarSun1+24)</f>
        <v>43908</v>
      </c>
      <c r="H100" s="25"/>
      <c r="I100" s="59">
        <f>IF(DAY(MarSun1)=1,MarSun1+18,MarSun1+25)</f>
        <v>43909</v>
      </c>
      <c r="J100" s="25"/>
      <c r="K100" s="59">
        <f>IF(DAY(MarSun1)=1,MarSun1+19,MarSun1+26)</f>
        <v>43910</v>
      </c>
      <c r="L100" s="25"/>
      <c r="M100" s="59">
        <f>IF(DAY(MarSun1)=1,MarSun1+20,MarSun1+27)</f>
        <v>43911</v>
      </c>
      <c r="N100" s="25"/>
      <c r="O100" s="59">
        <f>IF(DAY(MarSun1)=1,MarSun1+21,MarSun1+28)</f>
        <v>43912</v>
      </c>
    </row>
    <row r="101" spans="1:16" s="11" customFormat="1" ht="55.5" customHeight="1" x14ac:dyDescent="0.3">
      <c r="A101" s="103"/>
      <c r="B101" s="61"/>
      <c r="C101" s="38"/>
      <c r="D101" s="62"/>
      <c r="E101" s="38"/>
      <c r="F101" s="62"/>
      <c r="G101" s="38"/>
      <c r="H101" s="62"/>
      <c r="I101" s="38"/>
      <c r="J101" s="62"/>
      <c r="K101" s="38"/>
      <c r="L101" s="64"/>
      <c r="M101" s="66"/>
      <c r="N101" s="64"/>
      <c r="O101" s="66"/>
    </row>
    <row r="102" spans="1:16" s="11" customFormat="1" ht="8.25" customHeight="1" x14ac:dyDescent="0.3">
      <c r="A102" s="103"/>
      <c r="B102" s="36"/>
      <c r="C102" s="36"/>
      <c r="D102" s="36"/>
      <c r="E102" s="36"/>
      <c r="F102" s="36"/>
      <c r="G102" s="36"/>
      <c r="H102" s="36"/>
      <c r="I102" s="36"/>
      <c r="J102" s="36"/>
      <c r="K102" s="36"/>
      <c r="L102" s="37"/>
      <c r="M102" s="37"/>
      <c r="N102" s="37"/>
      <c r="O102" s="37"/>
    </row>
    <row r="103" spans="1:16" s="7" customFormat="1" ht="16.5" customHeight="1" x14ac:dyDescent="0.3">
      <c r="A103" s="104"/>
      <c r="B103" s="26"/>
      <c r="C103" s="59">
        <f>IF(DAY(MarSun1)=1,MarSun1+22,MarSun1+29)</f>
        <v>43913</v>
      </c>
      <c r="D103" s="25"/>
      <c r="E103" s="59">
        <f>IF(DAY(MarSun1)=1,MarSun1+23,MarSun1+30)</f>
        <v>43914</v>
      </c>
      <c r="F103" s="25"/>
      <c r="G103" s="59">
        <f>IF(DAY(MarSun1)=1,MarSun1+24,MarSun1+31)</f>
        <v>43915</v>
      </c>
      <c r="H103" s="25"/>
      <c r="I103" s="59">
        <f>IF(DAY(MarSun1)=1,MarSun1+25,MarSun1+32)</f>
        <v>43916</v>
      </c>
      <c r="J103" s="25"/>
      <c r="K103" s="59">
        <f>IF(DAY(MarSun1)=1,MarSun1+26,MarSun1+33)</f>
        <v>43917</v>
      </c>
      <c r="L103" s="25"/>
      <c r="M103" s="59">
        <f>IF(DAY(MarSun1)=1,MarSun1+27,MarSun1+34)</f>
        <v>43918</v>
      </c>
      <c r="N103" s="25"/>
      <c r="O103" s="59">
        <f>IF(DAY(MarSun1)=1,MarSun1+28,MarSun1+35)</f>
        <v>43919</v>
      </c>
    </row>
    <row r="104" spans="1:16" s="11" customFormat="1" ht="55.5" customHeight="1" x14ac:dyDescent="0.3">
      <c r="A104" s="103"/>
      <c r="B104" s="61"/>
      <c r="C104" s="38"/>
      <c r="D104" s="62"/>
      <c r="E104" s="38"/>
      <c r="F104" s="62"/>
      <c r="G104" s="38"/>
      <c r="H104" s="62"/>
      <c r="I104" s="38"/>
      <c r="J104" s="62"/>
      <c r="K104" s="38"/>
      <c r="L104" s="64"/>
      <c r="M104" s="66"/>
      <c r="N104" s="64"/>
      <c r="O104" s="66"/>
    </row>
    <row r="105" spans="1:16" s="11" customFormat="1" ht="8.25" customHeight="1" x14ac:dyDescent="0.3">
      <c r="A105" s="103"/>
      <c r="B105" s="36"/>
      <c r="C105" s="36"/>
      <c r="D105" s="36"/>
      <c r="E105" s="36"/>
      <c r="F105" s="36"/>
      <c r="G105" s="36"/>
      <c r="H105" s="36"/>
      <c r="I105" s="36"/>
      <c r="J105" s="36"/>
      <c r="K105" s="36"/>
      <c r="L105" s="37"/>
      <c r="M105" s="37"/>
      <c r="N105" s="37"/>
      <c r="O105" s="37"/>
    </row>
    <row r="106" spans="1:16" s="7" customFormat="1" ht="16.5" customHeight="1" x14ac:dyDescent="0.3">
      <c r="A106" s="104"/>
      <c r="B106" s="26"/>
      <c r="C106" s="59">
        <f>IF(DAY(MarSun1)=1,MarSun1+29,MarSun1+36)</f>
        <v>43920</v>
      </c>
      <c r="D106" s="25"/>
      <c r="E106" s="59">
        <f>IF(DAY(MarSun1)=1,MarSun1+30,MarSun1+37)</f>
        <v>43921</v>
      </c>
      <c r="F106" s="25"/>
      <c r="G106" s="59">
        <f>IF(DAY(MarSun1)=1,MarSun1+31,MarSun1+38)</f>
        <v>43922</v>
      </c>
      <c r="H106" s="25"/>
      <c r="I106" s="59">
        <f>IF(DAY(MarSun1)=1,MarSun1+32,MarSun1+39)</f>
        <v>43923</v>
      </c>
      <c r="J106" s="25"/>
      <c r="K106" s="59">
        <f>IF(DAY(MarSun1)=1,MarSun1+33,MarSun1+40)</f>
        <v>43924</v>
      </c>
      <c r="L106" s="25"/>
      <c r="M106" s="59">
        <f>IF(DAY(MarSun1)=1,MarSun1+34,MarSun1+41)</f>
        <v>43925</v>
      </c>
      <c r="N106" s="25"/>
      <c r="O106" s="59">
        <f>IF(DAY(MarSun1)=1,MarSun1+35,MarSun1+42)</f>
        <v>43926</v>
      </c>
    </row>
    <row r="107" spans="1:16" s="11" customFormat="1" ht="55.5" customHeight="1" x14ac:dyDescent="0.3">
      <c r="A107" s="103"/>
      <c r="B107" s="61"/>
      <c r="C107" s="38"/>
      <c r="D107" s="62"/>
      <c r="E107" s="38"/>
      <c r="F107" s="63"/>
      <c r="G107" s="65"/>
      <c r="H107" s="63"/>
      <c r="I107" s="65"/>
      <c r="J107" s="63"/>
      <c r="K107" s="65"/>
      <c r="L107" s="63"/>
      <c r="M107" s="65"/>
      <c r="N107" s="63"/>
      <c r="O107" s="65"/>
    </row>
    <row r="108" spans="1:16" s="11" customFormat="1" ht="7.5" customHeight="1" x14ac:dyDescent="0.3">
      <c r="A108" s="105"/>
      <c r="B108" s="27"/>
      <c r="C108" s="27"/>
      <c r="D108" s="27"/>
      <c r="E108" s="27"/>
      <c r="F108" s="27"/>
      <c r="G108" s="27"/>
      <c r="H108" s="27"/>
      <c r="I108" s="27"/>
      <c r="J108" s="27"/>
      <c r="K108" s="27"/>
      <c r="L108" s="27"/>
      <c r="M108" s="27"/>
      <c r="N108" s="27"/>
      <c r="O108" s="27"/>
    </row>
    <row r="109" spans="1:16" s="11" customFormat="1" x14ac:dyDescent="0.3">
      <c r="A109" s="105"/>
    </row>
    <row r="110" spans="1:16" s="11" customFormat="1" ht="54" customHeight="1" x14ac:dyDescent="0.3">
      <c r="A110" s="100" t="s">
        <v>44</v>
      </c>
      <c r="B110" s="139" t="str">
        <f>TEXT(DATE(CalendarYear,4,1),"mmmm")</f>
        <v>April</v>
      </c>
      <c r="C110" s="139"/>
      <c r="D110" s="139"/>
      <c r="E110" s="139"/>
      <c r="F110" s="139"/>
      <c r="G110" s="139"/>
      <c r="H110" s="139"/>
      <c r="I110" s="139"/>
      <c r="J110" s="120" t="s">
        <v>34</v>
      </c>
      <c r="K110" s="132"/>
      <c r="L110" s="132"/>
      <c r="M110" s="133">
        <f>CalendarYear</f>
        <v>2020</v>
      </c>
      <c r="N110" s="133"/>
      <c r="O110" s="133"/>
      <c r="P110" s="133"/>
    </row>
    <row r="111" spans="1:16" s="11" customFormat="1" ht="18.899999999999999" customHeight="1" x14ac:dyDescent="0.3">
      <c r="A111" s="100" t="s">
        <v>45</v>
      </c>
      <c r="B111" s="123"/>
      <c r="C111" s="123"/>
      <c r="D111" s="123"/>
      <c r="E111" s="123"/>
      <c r="F111" s="123"/>
      <c r="G111" s="123"/>
      <c r="H111" s="123"/>
      <c r="I111" s="123"/>
      <c r="J111" s="116" t="s">
        <v>30</v>
      </c>
      <c r="K111" s="117"/>
      <c r="L111" s="117"/>
      <c r="M111" s="117"/>
      <c r="N111" s="117"/>
    </row>
    <row r="112" spans="1:16" s="11" customFormat="1" ht="18.899999999999999" customHeight="1" x14ac:dyDescent="0.3">
      <c r="A112" s="100"/>
      <c r="B112" s="123"/>
      <c r="C112" s="123"/>
      <c r="D112" s="123"/>
      <c r="E112" s="123"/>
      <c r="F112" s="123"/>
      <c r="G112" s="123"/>
      <c r="H112" s="123"/>
      <c r="I112" s="123"/>
      <c r="J112" s="117"/>
      <c r="K112" s="117"/>
      <c r="L112" s="117"/>
      <c r="M112" s="117"/>
      <c r="N112" s="117"/>
    </row>
    <row r="113" spans="1:22" s="11" customFormat="1" ht="18.899999999999999" customHeight="1" x14ac:dyDescent="0.55000000000000004">
      <c r="A113" s="106"/>
      <c r="B113" s="123"/>
      <c r="C113" s="123"/>
      <c r="D113" s="123"/>
      <c r="E113" s="123"/>
      <c r="F113" s="123"/>
      <c r="G113" s="123"/>
      <c r="H113" s="123"/>
      <c r="I113" s="123"/>
      <c r="J113" s="117"/>
      <c r="K113" s="117"/>
      <c r="L113" s="117"/>
      <c r="M113" s="117"/>
      <c r="N113" s="117"/>
    </row>
    <row r="114" spans="1:22" s="11" customFormat="1" ht="18.899999999999999" customHeight="1" x14ac:dyDescent="0.55000000000000004">
      <c r="A114" s="106"/>
      <c r="B114" s="123"/>
      <c r="C114" s="123"/>
      <c r="D114" s="123"/>
      <c r="E114" s="123"/>
      <c r="F114" s="123"/>
      <c r="G114" s="123"/>
      <c r="H114" s="123"/>
      <c r="I114" s="123"/>
      <c r="J114" s="117"/>
      <c r="K114" s="117"/>
      <c r="L114" s="117"/>
      <c r="M114" s="117"/>
      <c r="N114" s="117"/>
    </row>
    <row r="115" spans="1:22" s="11" customFormat="1" ht="18.899999999999999" customHeight="1" x14ac:dyDescent="0.55000000000000004">
      <c r="A115" s="106"/>
      <c r="B115" s="123"/>
      <c r="C115" s="123"/>
      <c r="D115" s="123"/>
      <c r="E115" s="123"/>
      <c r="F115" s="123"/>
      <c r="G115" s="123"/>
      <c r="H115" s="123"/>
      <c r="I115" s="123"/>
      <c r="J115" s="117"/>
      <c r="K115" s="117"/>
      <c r="L115" s="117"/>
      <c r="M115" s="117"/>
      <c r="N115" s="117"/>
    </row>
    <row r="116" spans="1:22" s="11" customFormat="1" ht="18.899999999999999" customHeight="1" x14ac:dyDescent="0.55000000000000004">
      <c r="A116" s="106"/>
      <c r="B116" s="123"/>
      <c r="C116" s="123"/>
      <c r="D116" s="123"/>
      <c r="E116" s="123"/>
      <c r="F116" s="123"/>
      <c r="G116" s="123"/>
      <c r="H116" s="123"/>
      <c r="I116" s="123"/>
      <c r="J116" s="117"/>
      <c r="K116" s="117"/>
      <c r="L116" s="117"/>
      <c r="M116" s="117"/>
      <c r="N116" s="117"/>
    </row>
    <row r="117" spans="1:22" s="11" customFormat="1" ht="18.899999999999999" customHeight="1" x14ac:dyDescent="0.55000000000000004">
      <c r="A117" s="106"/>
      <c r="B117" s="123"/>
      <c r="C117" s="123"/>
      <c r="D117" s="123"/>
      <c r="E117" s="123"/>
      <c r="F117" s="123"/>
      <c r="G117" s="123"/>
      <c r="H117" s="123"/>
      <c r="I117" s="123"/>
      <c r="J117" s="117"/>
      <c r="K117" s="117"/>
      <c r="L117" s="117"/>
      <c r="M117" s="117"/>
      <c r="N117" s="117"/>
    </row>
    <row r="118" spans="1:22" s="11" customFormat="1" ht="18.899999999999999" customHeight="1" x14ac:dyDescent="0.55000000000000004">
      <c r="A118" s="106"/>
      <c r="B118" s="123"/>
      <c r="C118" s="123"/>
      <c r="D118" s="123"/>
      <c r="E118" s="123"/>
      <c r="F118" s="123"/>
      <c r="G118" s="123"/>
      <c r="H118" s="123"/>
      <c r="I118" s="123"/>
      <c r="J118" s="117"/>
      <c r="K118" s="117"/>
      <c r="L118" s="117"/>
      <c r="M118" s="117"/>
      <c r="N118" s="117"/>
    </row>
    <row r="119" spans="1:22" s="11" customFormat="1" ht="18.899999999999999" customHeight="1" x14ac:dyDescent="0.55000000000000004">
      <c r="A119" s="106"/>
      <c r="B119" s="123"/>
      <c r="C119" s="123"/>
      <c r="D119" s="123"/>
      <c r="E119" s="123"/>
      <c r="F119" s="123"/>
      <c r="G119" s="123"/>
      <c r="H119" s="123"/>
      <c r="I119" s="123"/>
      <c r="J119" s="117"/>
      <c r="K119" s="117"/>
      <c r="L119" s="117"/>
      <c r="M119" s="117"/>
      <c r="N119" s="117"/>
    </row>
    <row r="120" spans="1:22" s="11" customFormat="1" ht="18.899999999999999" customHeight="1" x14ac:dyDescent="0.55000000000000004">
      <c r="A120" s="106"/>
      <c r="B120" s="123"/>
      <c r="C120" s="123"/>
      <c r="D120" s="123"/>
      <c r="E120" s="123"/>
      <c r="F120" s="123"/>
      <c r="G120" s="123"/>
      <c r="H120" s="123"/>
      <c r="I120" s="123"/>
      <c r="J120" s="117"/>
      <c r="K120" s="117"/>
      <c r="L120" s="117"/>
      <c r="M120" s="117"/>
      <c r="N120" s="117"/>
    </row>
    <row r="121" spans="1:22" s="11" customFormat="1" ht="18.899999999999999" customHeight="1" x14ac:dyDescent="0.55000000000000004">
      <c r="A121" s="106"/>
      <c r="B121" s="123"/>
      <c r="C121" s="123"/>
      <c r="D121" s="123"/>
      <c r="E121" s="123"/>
      <c r="F121" s="123"/>
      <c r="G121" s="123"/>
      <c r="H121" s="123"/>
      <c r="I121" s="123"/>
      <c r="J121" s="117"/>
      <c r="K121" s="117"/>
      <c r="L121" s="117"/>
      <c r="M121" s="117"/>
      <c r="N121" s="117"/>
    </row>
    <row r="122" spans="1:22" s="11" customFormat="1" ht="18.899999999999999" customHeight="1" x14ac:dyDescent="0.55000000000000004">
      <c r="A122" s="106"/>
      <c r="B122" s="123"/>
      <c r="C122" s="123"/>
      <c r="D122" s="123"/>
      <c r="E122" s="123"/>
      <c r="F122" s="123"/>
      <c r="G122" s="123"/>
      <c r="H122" s="123"/>
      <c r="I122" s="123"/>
      <c r="J122" s="117"/>
      <c r="K122" s="117"/>
      <c r="L122" s="117"/>
      <c r="M122" s="117"/>
      <c r="N122" s="117"/>
    </row>
    <row r="123" spans="1:22" s="11" customFormat="1" ht="18.899999999999999" customHeight="1" x14ac:dyDescent="0.55000000000000004">
      <c r="A123" s="106"/>
      <c r="B123" s="123"/>
      <c r="C123" s="123"/>
      <c r="D123" s="123"/>
      <c r="E123" s="123"/>
      <c r="F123" s="123"/>
      <c r="G123" s="123"/>
      <c r="H123" s="123"/>
      <c r="I123" s="123"/>
      <c r="J123" s="117"/>
      <c r="K123" s="117"/>
      <c r="L123" s="117"/>
      <c r="M123" s="117"/>
      <c r="N123" s="117"/>
    </row>
    <row r="124" spans="1:22" s="11" customFormat="1" ht="18.899999999999999" customHeight="1" x14ac:dyDescent="0.55000000000000004">
      <c r="A124" s="106"/>
      <c r="B124" s="123"/>
      <c r="C124" s="123"/>
      <c r="D124" s="123"/>
      <c r="E124" s="123"/>
      <c r="F124" s="123"/>
      <c r="G124" s="123"/>
      <c r="H124" s="123"/>
      <c r="I124" s="123"/>
      <c r="J124" s="117"/>
      <c r="K124" s="117"/>
      <c r="L124" s="117"/>
      <c r="M124" s="117"/>
      <c r="N124" s="117"/>
    </row>
    <row r="125" spans="1:22" s="11" customFormat="1" ht="18.899999999999999" customHeight="1" x14ac:dyDescent="0.3">
      <c r="A125" s="103"/>
      <c r="B125" s="123"/>
      <c r="C125" s="123"/>
      <c r="D125" s="123"/>
      <c r="E125" s="123"/>
      <c r="F125" s="123"/>
      <c r="G125" s="123"/>
      <c r="H125" s="123"/>
      <c r="I125" s="123"/>
      <c r="J125" s="117"/>
      <c r="K125" s="117"/>
      <c r="L125" s="117"/>
      <c r="M125" s="117"/>
      <c r="N125" s="117"/>
      <c r="O125" s="4"/>
    </row>
    <row r="126" spans="1:22" s="3" customFormat="1" ht="27" customHeight="1" x14ac:dyDescent="0.3">
      <c r="A126" s="100" t="s">
        <v>46</v>
      </c>
      <c r="B126" s="35" t="s">
        <v>0</v>
      </c>
      <c r="C126" s="35" t="s">
        <v>8</v>
      </c>
      <c r="D126" s="35" t="s">
        <v>1</v>
      </c>
      <c r="E126" s="35" t="s">
        <v>9</v>
      </c>
      <c r="F126" s="35" t="s">
        <v>2</v>
      </c>
      <c r="G126" s="35" t="s">
        <v>10</v>
      </c>
      <c r="H126" s="35" t="s">
        <v>3</v>
      </c>
      <c r="I126" s="35" t="s">
        <v>11</v>
      </c>
      <c r="J126" s="35" t="s">
        <v>4</v>
      </c>
      <c r="K126" s="35" t="s">
        <v>12</v>
      </c>
      <c r="L126" s="35" t="s">
        <v>5</v>
      </c>
      <c r="M126" s="35" t="s">
        <v>13</v>
      </c>
      <c r="N126" s="35" t="s">
        <v>6</v>
      </c>
      <c r="O126" s="35" t="s">
        <v>14</v>
      </c>
      <c r="P126" s="11"/>
      <c r="Q126" s="5"/>
      <c r="U126" s="11"/>
      <c r="V126" s="11"/>
    </row>
    <row r="127" spans="1:22" s="6" customFormat="1" ht="16.5" customHeight="1" x14ac:dyDescent="0.3">
      <c r="A127" s="100" t="s">
        <v>47</v>
      </c>
      <c r="B127" s="24"/>
      <c r="C127" s="67">
        <f>IF(DAY(AprSun1)=1,AprSun1-6,AprSun1+1)</f>
        <v>43920</v>
      </c>
      <c r="D127" s="25"/>
      <c r="E127" s="67">
        <f>IF(DAY(AprSun1)=1,AprSun1-5,AprSun1+2)</f>
        <v>43921</v>
      </c>
      <c r="F127" s="25"/>
      <c r="G127" s="67">
        <f>IF(DAY(AprSun1)=1,AprSun1-4,AprSun1+3)</f>
        <v>43922</v>
      </c>
      <c r="H127" s="25"/>
      <c r="I127" s="67">
        <f>IF(DAY(AprSun1)=1,AprSun1-3,AprSun1+4)</f>
        <v>43923</v>
      </c>
      <c r="J127" s="25"/>
      <c r="K127" s="67">
        <f>IF(DAY(AprSun1)=1,AprSun1-2,AprSun1+5)</f>
        <v>43924</v>
      </c>
      <c r="L127" s="25"/>
      <c r="M127" s="67">
        <f>IF(DAY(AprSun1)=1,AprSun1-1,AprSun1+6)</f>
        <v>43925</v>
      </c>
      <c r="N127" s="25"/>
      <c r="O127" s="67">
        <f>IF(DAY(AprSun1)=1,AprSun1,AprSun1+7)</f>
        <v>43926</v>
      </c>
      <c r="P127" s="7"/>
      <c r="Q127" s="7"/>
      <c r="U127" s="8"/>
      <c r="V127" s="7"/>
    </row>
    <row r="128" spans="1:22" s="9" customFormat="1" ht="55.5" customHeight="1" x14ac:dyDescent="0.25">
      <c r="A128" s="100" t="s">
        <v>48</v>
      </c>
      <c r="B128" s="61"/>
      <c r="C128" s="68"/>
      <c r="D128" s="62"/>
      <c r="E128" s="68"/>
      <c r="F128" s="62"/>
      <c r="G128" s="68"/>
      <c r="H128" s="62"/>
      <c r="I128" s="68"/>
      <c r="J128" s="62"/>
      <c r="K128" s="68"/>
      <c r="L128" s="64"/>
      <c r="M128" s="71"/>
      <c r="N128" s="64"/>
      <c r="O128" s="71"/>
    </row>
    <row r="129" spans="1:15" s="9" customFormat="1" ht="8.25" customHeight="1" x14ac:dyDescent="0.3">
      <c r="A129" s="103"/>
      <c r="B129" s="36"/>
      <c r="C129" s="69"/>
      <c r="D129" s="36"/>
      <c r="E129" s="69"/>
      <c r="F129" s="36"/>
      <c r="G129" s="69"/>
      <c r="H129" s="36"/>
      <c r="I129" s="69"/>
      <c r="J129" s="36"/>
      <c r="K129" s="69"/>
      <c r="L129" s="37"/>
      <c r="M129" s="72"/>
      <c r="N129" s="37"/>
      <c r="O129" s="72"/>
    </row>
    <row r="130" spans="1:15" s="7" customFormat="1" ht="16.5" customHeight="1" x14ac:dyDescent="0.3">
      <c r="A130" s="104"/>
      <c r="B130" s="26"/>
      <c r="C130" s="67">
        <f>IF(DAY(AprSun1)=1,AprSun1+1,AprSun1+8)</f>
        <v>43927</v>
      </c>
      <c r="D130" s="25"/>
      <c r="E130" s="67">
        <f>IF(DAY(AprSun1)=1,AprSun1+2,AprSun1+9)</f>
        <v>43928</v>
      </c>
      <c r="F130" s="25"/>
      <c r="G130" s="67">
        <f>IF(DAY(AprSun1)=1,AprSun1+3,AprSun1+10)</f>
        <v>43929</v>
      </c>
      <c r="H130" s="25"/>
      <c r="I130" s="67">
        <f>IF(DAY(AprSun1)=1,AprSun1+4,AprSun1+11)</f>
        <v>43930</v>
      </c>
      <c r="J130" s="25"/>
      <c r="K130" s="67">
        <f>IF(DAY(AprSun1)=1,AprSun1+5,AprSun1+12)</f>
        <v>43931</v>
      </c>
      <c r="L130" s="25"/>
      <c r="M130" s="67">
        <f>IF(DAY(AprSun1)=1,AprSun1+6,AprSun1+13)</f>
        <v>43932</v>
      </c>
      <c r="N130" s="25"/>
      <c r="O130" s="67">
        <f>IF(DAY(AprSun1)=1,AprSun1+7,AprSun1+14)</f>
        <v>43933</v>
      </c>
    </row>
    <row r="131" spans="1:15" s="11" customFormat="1" ht="55.5" customHeight="1" x14ac:dyDescent="0.3">
      <c r="A131" s="103"/>
      <c r="B131" s="61"/>
      <c r="C131" s="68"/>
      <c r="D131" s="62"/>
      <c r="E131" s="68"/>
      <c r="F131" s="62" t="s">
        <v>7</v>
      </c>
      <c r="G131" s="68"/>
      <c r="H131" s="62"/>
      <c r="I131" s="68"/>
      <c r="J131" s="62"/>
      <c r="K131" s="68"/>
      <c r="L131" s="64"/>
      <c r="M131" s="71"/>
      <c r="N131" s="64"/>
      <c r="O131" s="71"/>
    </row>
    <row r="132" spans="1:15" s="11" customFormat="1" ht="8.25" customHeight="1" x14ac:dyDescent="0.3">
      <c r="A132" s="103"/>
      <c r="B132" s="36"/>
      <c r="C132" s="69"/>
      <c r="D132" s="36"/>
      <c r="E132" s="69"/>
      <c r="F132" s="36"/>
      <c r="G132" s="69"/>
      <c r="H132" s="36"/>
      <c r="I132" s="69"/>
      <c r="J132" s="36"/>
      <c r="K132" s="69"/>
      <c r="L132" s="37"/>
      <c r="M132" s="72"/>
      <c r="N132" s="37"/>
      <c r="O132" s="72"/>
    </row>
    <row r="133" spans="1:15" s="7" customFormat="1" ht="16.5" customHeight="1" x14ac:dyDescent="0.3">
      <c r="A133" s="104"/>
      <c r="B133" s="26"/>
      <c r="C133" s="67">
        <f>IF(DAY(AprSun1)=1,AprSun1+8,AprSun1+15)</f>
        <v>43934</v>
      </c>
      <c r="D133" s="25"/>
      <c r="E133" s="67">
        <f>IF(DAY(AprSun1)=1,AprSun1+9,AprSun1+16)</f>
        <v>43935</v>
      </c>
      <c r="F133" s="25"/>
      <c r="G133" s="67">
        <f>IF(DAY(AprSun1)=1,AprSun1+10,AprSun1+17)</f>
        <v>43936</v>
      </c>
      <c r="H133" s="25"/>
      <c r="I133" s="67">
        <f>IF(DAY(AprSun1)=1,AprSun1+11,AprSun1+18)</f>
        <v>43937</v>
      </c>
      <c r="J133" s="25"/>
      <c r="K133" s="67">
        <f>IF(DAY(AprSun1)=1,AprSun1+12,AprSun1+19)</f>
        <v>43938</v>
      </c>
      <c r="L133" s="25"/>
      <c r="M133" s="67">
        <f>IF(DAY(AprSun1)=1,AprSun1+13,AprSun1+20)</f>
        <v>43939</v>
      </c>
      <c r="N133" s="25"/>
      <c r="O133" s="67">
        <f>IF(DAY(AprSun1)=1,AprSun1+14,AprSun1+21)</f>
        <v>43940</v>
      </c>
    </row>
    <row r="134" spans="1:15" s="11" customFormat="1" ht="55.5" customHeight="1" x14ac:dyDescent="0.3">
      <c r="A134" s="103"/>
      <c r="B134" s="61"/>
      <c r="C134" s="68"/>
      <c r="D134" s="62"/>
      <c r="E134" s="68"/>
      <c r="F134" s="62"/>
      <c r="G134" s="68"/>
      <c r="H134" s="62"/>
      <c r="I134" s="68"/>
      <c r="J134" s="62"/>
      <c r="K134" s="68"/>
      <c r="L134" s="64"/>
      <c r="M134" s="71"/>
      <c r="N134" s="64"/>
      <c r="O134" s="71"/>
    </row>
    <row r="135" spans="1:15" s="11" customFormat="1" ht="8.25" customHeight="1" x14ac:dyDescent="0.3">
      <c r="A135" s="103"/>
      <c r="B135" s="36"/>
      <c r="C135" s="69"/>
      <c r="D135" s="36"/>
      <c r="E135" s="69"/>
      <c r="F135" s="36"/>
      <c r="G135" s="69"/>
      <c r="H135" s="36"/>
      <c r="I135" s="69"/>
      <c r="J135" s="36"/>
      <c r="K135" s="69"/>
      <c r="L135" s="37"/>
      <c r="M135" s="72"/>
      <c r="N135" s="37"/>
      <c r="O135" s="72"/>
    </row>
    <row r="136" spans="1:15" s="7" customFormat="1" ht="16.5" customHeight="1" x14ac:dyDescent="0.3">
      <c r="A136" s="104"/>
      <c r="B136" s="26"/>
      <c r="C136" s="67">
        <f>IF(DAY(AprSun1)=1,AprSun1+15,AprSun1+22)</f>
        <v>43941</v>
      </c>
      <c r="D136" s="25"/>
      <c r="E136" s="67">
        <f>IF(DAY(AprSun1)=1,AprSun1+16,AprSun1+23)</f>
        <v>43942</v>
      </c>
      <c r="F136" s="25"/>
      <c r="G136" s="67">
        <f>IF(DAY(AprSun1)=1,AprSun1+17,AprSun1+24)</f>
        <v>43943</v>
      </c>
      <c r="H136" s="25"/>
      <c r="I136" s="67">
        <f>IF(DAY(AprSun1)=1,AprSun1+18,AprSun1+25)</f>
        <v>43944</v>
      </c>
      <c r="J136" s="25"/>
      <c r="K136" s="67">
        <f>IF(DAY(AprSun1)=1,AprSun1+19,AprSun1+26)</f>
        <v>43945</v>
      </c>
      <c r="L136" s="25"/>
      <c r="M136" s="67">
        <f>IF(DAY(AprSun1)=1,AprSun1+20,AprSun1+27)</f>
        <v>43946</v>
      </c>
      <c r="N136" s="25"/>
      <c r="O136" s="67">
        <f>IF(DAY(AprSun1)=1,AprSun1+21,AprSun1+28)</f>
        <v>43947</v>
      </c>
    </row>
    <row r="137" spans="1:15" s="11" customFormat="1" ht="55.5" customHeight="1" x14ac:dyDescent="0.3">
      <c r="A137" s="103"/>
      <c r="B137" s="61"/>
      <c r="C137" s="68"/>
      <c r="D137" s="62"/>
      <c r="E137" s="68"/>
      <c r="F137" s="62"/>
      <c r="G137" s="68"/>
      <c r="H137" s="62"/>
      <c r="I137" s="68"/>
      <c r="J137" s="62"/>
      <c r="K137" s="68"/>
      <c r="L137" s="64"/>
      <c r="M137" s="71"/>
      <c r="N137" s="64"/>
      <c r="O137" s="71"/>
    </row>
    <row r="138" spans="1:15" s="11" customFormat="1" ht="8.25" customHeight="1" x14ac:dyDescent="0.3">
      <c r="A138" s="103"/>
      <c r="B138" s="36"/>
      <c r="C138" s="69"/>
      <c r="D138" s="36"/>
      <c r="E138" s="69"/>
      <c r="F138" s="36"/>
      <c r="G138" s="69"/>
      <c r="H138" s="36"/>
      <c r="I138" s="69"/>
      <c r="J138" s="36"/>
      <c r="K138" s="69"/>
      <c r="L138" s="37"/>
      <c r="M138" s="72"/>
      <c r="N138" s="37"/>
      <c r="O138" s="72"/>
    </row>
    <row r="139" spans="1:15" s="7" customFormat="1" ht="16.5" customHeight="1" x14ac:dyDescent="0.3">
      <c r="A139" s="104"/>
      <c r="B139" s="26"/>
      <c r="C139" s="67">
        <f>IF(DAY(AprSun1)=1,AprSun1+22,AprSun1+29)</f>
        <v>43948</v>
      </c>
      <c r="D139" s="25"/>
      <c r="E139" s="67">
        <f>IF(DAY(AprSun1)=1,AprSun1+23,AprSun1+30)</f>
        <v>43949</v>
      </c>
      <c r="F139" s="25"/>
      <c r="G139" s="67">
        <f>IF(DAY(AprSun1)=1,AprSun1+24,AprSun1+31)</f>
        <v>43950</v>
      </c>
      <c r="H139" s="25"/>
      <c r="I139" s="67">
        <f>IF(DAY(AprSun1)=1,AprSun1+25,AprSun1+32)</f>
        <v>43951</v>
      </c>
      <c r="J139" s="25"/>
      <c r="K139" s="67">
        <f>IF(DAY(AprSun1)=1,AprSun1+26,AprSun1+33)</f>
        <v>43952</v>
      </c>
      <c r="L139" s="25"/>
      <c r="M139" s="67">
        <f>IF(DAY(AprSun1)=1,AprSun1+27,AprSun1+34)</f>
        <v>43953</v>
      </c>
      <c r="N139" s="25"/>
      <c r="O139" s="67">
        <f>IF(DAY(AprSun1)=1,AprSun1+28,AprSun1+35)</f>
        <v>43954</v>
      </c>
    </row>
    <row r="140" spans="1:15" s="11" customFormat="1" ht="55.5" customHeight="1" x14ac:dyDescent="0.3">
      <c r="A140" s="103"/>
      <c r="B140" s="61"/>
      <c r="C140" s="68"/>
      <c r="D140" s="62"/>
      <c r="E140" s="68"/>
      <c r="F140" s="62"/>
      <c r="G140" s="68"/>
      <c r="H140" s="62"/>
      <c r="I140" s="68"/>
      <c r="J140" s="62"/>
      <c r="K140" s="68"/>
      <c r="L140" s="64"/>
      <c r="M140" s="71"/>
      <c r="N140" s="64"/>
      <c r="O140" s="71"/>
    </row>
    <row r="141" spans="1:15" s="11" customFormat="1" ht="8.25" customHeight="1" x14ac:dyDescent="0.3">
      <c r="A141" s="103"/>
      <c r="B141" s="36"/>
      <c r="C141" s="69"/>
      <c r="D141" s="36"/>
      <c r="E141" s="69"/>
      <c r="F141" s="36"/>
      <c r="G141" s="69"/>
      <c r="H141" s="36"/>
      <c r="I141" s="69"/>
      <c r="J141" s="36"/>
      <c r="K141" s="69"/>
      <c r="L141" s="37"/>
      <c r="M141" s="72"/>
      <c r="N141" s="37"/>
      <c r="O141" s="72"/>
    </row>
    <row r="142" spans="1:15" s="7" customFormat="1" ht="16.5" customHeight="1" x14ac:dyDescent="0.3">
      <c r="A142" s="104"/>
      <c r="B142" s="26"/>
      <c r="C142" s="67">
        <f>IF(DAY(AprSun1)=1,AprSun1+29,AprSun1+36)</f>
        <v>43955</v>
      </c>
      <c r="D142" s="25"/>
      <c r="E142" s="67">
        <f>IF(DAY(AprSun1)=1,AprSun1+30,AprSun1+37)</f>
        <v>43956</v>
      </c>
      <c r="F142" s="25"/>
      <c r="G142" s="67">
        <f>IF(DAY(AprSun1)=1,AprSun1+31,AprSun1+38)</f>
        <v>43957</v>
      </c>
      <c r="H142" s="25"/>
      <c r="I142" s="67">
        <f>IF(DAY(AprSun1)=1,AprSun1+32,AprSun1+39)</f>
        <v>43958</v>
      </c>
      <c r="J142" s="25"/>
      <c r="K142" s="67">
        <f>IF(DAY(AprSun1)=1,AprSun1+33,AprSun1+40)</f>
        <v>43959</v>
      </c>
      <c r="L142" s="25"/>
      <c r="M142" s="67">
        <f>IF(DAY(AprSun1)=1,AprSun1+34,AprSun1+41)</f>
        <v>43960</v>
      </c>
      <c r="N142" s="25"/>
      <c r="O142" s="67">
        <f>IF(DAY(AprSun1)=1,AprSun1+35,AprSun1+42)</f>
        <v>43961</v>
      </c>
    </row>
    <row r="143" spans="1:15" s="11" customFormat="1" ht="55.5" customHeight="1" x14ac:dyDescent="0.3">
      <c r="A143" s="103"/>
      <c r="B143" s="61"/>
      <c r="C143" s="68"/>
      <c r="D143" s="62"/>
      <c r="E143" s="68"/>
      <c r="F143" s="63"/>
      <c r="G143" s="70"/>
      <c r="H143" s="63"/>
      <c r="I143" s="70"/>
      <c r="J143" s="63"/>
      <c r="K143" s="70"/>
      <c r="L143" s="63"/>
      <c r="M143" s="70"/>
      <c r="N143" s="63"/>
      <c r="O143" s="70"/>
    </row>
    <row r="144" spans="1:15" s="11" customFormat="1" ht="7.5" customHeight="1" x14ac:dyDescent="0.3">
      <c r="A144" s="105"/>
    </row>
    <row r="145" spans="1:16" s="11" customFormat="1" ht="14.25" customHeight="1" x14ac:dyDescent="0.3">
      <c r="A145" s="105"/>
    </row>
    <row r="146" spans="1:16" s="11" customFormat="1" ht="54" customHeight="1" x14ac:dyDescent="0.3">
      <c r="A146" s="100" t="s">
        <v>49</v>
      </c>
      <c r="B146" s="139" t="str">
        <f>TEXT(DATE(CalendarYear,5,1),"mmmm")</f>
        <v>May</v>
      </c>
      <c r="C146" s="139"/>
      <c r="D146" s="139"/>
      <c r="E146" s="139"/>
      <c r="F146" s="139"/>
      <c r="G146" s="139"/>
      <c r="H146" s="139"/>
      <c r="I146" s="139"/>
      <c r="J146" s="120" t="s">
        <v>34</v>
      </c>
      <c r="K146" s="121"/>
      <c r="L146" s="121"/>
      <c r="M146" s="133">
        <f>CalendarYear</f>
        <v>2020</v>
      </c>
      <c r="N146" s="133"/>
      <c r="O146" s="133"/>
      <c r="P146" s="133"/>
    </row>
    <row r="147" spans="1:16" s="11" customFormat="1" ht="18.899999999999999" customHeight="1" x14ac:dyDescent="0.3">
      <c r="A147" s="100" t="s">
        <v>50</v>
      </c>
      <c r="B147" s="123"/>
      <c r="C147" s="123"/>
      <c r="D147" s="123"/>
      <c r="E147" s="123"/>
      <c r="F147" s="123"/>
      <c r="G147" s="123"/>
      <c r="H147" s="123"/>
      <c r="I147" s="123"/>
      <c r="J147" s="116" t="s">
        <v>51</v>
      </c>
      <c r="K147" s="117"/>
      <c r="L147" s="117"/>
      <c r="M147" s="117"/>
      <c r="N147" s="117"/>
    </row>
    <row r="148" spans="1:16" s="11" customFormat="1" ht="18.899999999999999" customHeight="1" x14ac:dyDescent="0.3">
      <c r="A148" s="100"/>
      <c r="B148" s="123"/>
      <c r="C148" s="123"/>
      <c r="D148" s="123"/>
      <c r="E148" s="123"/>
      <c r="F148" s="123"/>
      <c r="G148" s="123"/>
      <c r="H148" s="123"/>
      <c r="I148" s="123"/>
      <c r="J148" s="117"/>
      <c r="K148" s="117"/>
      <c r="L148" s="117"/>
      <c r="M148" s="117"/>
      <c r="N148" s="117"/>
    </row>
    <row r="149" spans="1:16" s="11" customFormat="1" ht="18.899999999999999" customHeight="1" x14ac:dyDescent="0.55000000000000004">
      <c r="A149" s="106"/>
      <c r="B149" s="123"/>
      <c r="C149" s="123"/>
      <c r="D149" s="123"/>
      <c r="E149" s="123"/>
      <c r="F149" s="123"/>
      <c r="G149" s="123"/>
      <c r="H149" s="123"/>
      <c r="I149" s="123"/>
      <c r="J149" s="117"/>
      <c r="K149" s="117"/>
      <c r="L149" s="117"/>
      <c r="M149" s="117"/>
      <c r="N149" s="117"/>
    </row>
    <row r="150" spans="1:16" s="11" customFormat="1" ht="18.899999999999999" customHeight="1" x14ac:dyDescent="0.55000000000000004">
      <c r="A150" s="106"/>
      <c r="B150" s="123"/>
      <c r="C150" s="123"/>
      <c r="D150" s="123"/>
      <c r="E150" s="123"/>
      <c r="F150" s="123"/>
      <c r="G150" s="123"/>
      <c r="H150" s="123"/>
      <c r="I150" s="123"/>
      <c r="J150" s="117"/>
      <c r="K150" s="117"/>
      <c r="L150" s="117"/>
      <c r="M150" s="117"/>
      <c r="N150" s="117"/>
    </row>
    <row r="151" spans="1:16" s="11" customFormat="1" ht="18.899999999999999" customHeight="1" x14ac:dyDescent="0.55000000000000004">
      <c r="A151" s="106"/>
      <c r="B151" s="123"/>
      <c r="C151" s="123"/>
      <c r="D151" s="123"/>
      <c r="E151" s="123"/>
      <c r="F151" s="123"/>
      <c r="G151" s="123"/>
      <c r="H151" s="123"/>
      <c r="I151" s="123"/>
      <c r="J151" s="117"/>
      <c r="K151" s="117"/>
      <c r="L151" s="117"/>
      <c r="M151" s="117"/>
      <c r="N151" s="117"/>
    </row>
    <row r="152" spans="1:16" s="11" customFormat="1" ht="18.899999999999999" customHeight="1" x14ac:dyDescent="0.55000000000000004">
      <c r="A152" s="106"/>
      <c r="B152" s="123"/>
      <c r="C152" s="123"/>
      <c r="D152" s="123"/>
      <c r="E152" s="123"/>
      <c r="F152" s="123"/>
      <c r="G152" s="123"/>
      <c r="H152" s="123"/>
      <c r="I152" s="123"/>
      <c r="J152" s="117"/>
      <c r="K152" s="117"/>
      <c r="L152" s="117"/>
      <c r="M152" s="117"/>
      <c r="N152" s="117"/>
    </row>
    <row r="153" spans="1:16" s="11" customFormat="1" ht="18.899999999999999" customHeight="1" x14ac:dyDescent="0.55000000000000004">
      <c r="A153" s="106"/>
      <c r="B153" s="123"/>
      <c r="C153" s="123"/>
      <c r="D153" s="123"/>
      <c r="E153" s="123"/>
      <c r="F153" s="123"/>
      <c r="G153" s="123"/>
      <c r="H153" s="123"/>
      <c r="I153" s="123"/>
      <c r="J153" s="117"/>
      <c r="K153" s="117"/>
      <c r="L153" s="117"/>
      <c r="M153" s="117"/>
      <c r="N153" s="117"/>
    </row>
    <row r="154" spans="1:16" s="11" customFormat="1" ht="18.899999999999999" customHeight="1" x14ac:dyDescent="0.55000000000000004">
      <c r="A154" s="106"/>
      <c r="B154" s="123"/>
      <c r="C154" s="123"/>
      <c r="D154" s="123"/>
      <c r="E154" s="123"/>
      <c r="F154" s="123"/>
      <c r="G154" s="123"/>
      <c r="H154" s="123"/>
      <c r="I154" s="123"/>
      <c r="J154" s="117"/>
      <c r="K154" s="117"/>
      <c r="L154" s="117"/>
      <c r="M154" s="117"/>
      <c r="N154" s="117"/>
    </row>
    <row r="155" spans="1:16" s="11" customFormat="1" ht="18.899999999999999" customHeight="1" x14ac:dyDescent="0.55000000000000004">
      <c r="A155" s="106"/>
      <c r="B155" s="123"/>
      <c r="C155" s="123"/>
      <c r="D155" s="123"/>
      <c r="E155" s="123"/>
      <c r="F155" s="123"/>
      <c r="G155" s="123"/>
      <c r="H155" s="123"/>
      <c r="I155" s="123"/>
      <c r="J155" s="117"/>
      <c r="K155" s="117"/>
      <c r="L155" s="117"/>
      <c r="M155" s="117"/>
      <c r="N155" s="117"/>
    </row>
    <row r="156" spans="1:16" s="11" customFormat="1" ht="18.899999999999999" customHeight="1" x14ac:dyDescent="0.55000000000000004">
      <c r="A156" s="106"/>
      <c r="B156" s="123"/>
      <c r="C156" s="123"/>
      <c r="D156" s="123"/>
      <c r="E156" s="123"/>
      <c r="F156" s="123"/>
      <c r="G156" s="123"/>
      <c r="H156" s="123"/>
      <c r="I156" s="123"/>
      <c r="J156" s="117"/>
      <c r="K156" s="117"/>
      <c r="L156" s="117"/>
      <c r="M156" s="117"/>
      <c r="N156" s="117"/>
    </row>
    <row r="157" spans="1:16" s="11" customFormat="1" ht="18.899999999999999" customHeight="1" x14ac:dyDescent="0.55000000000000004">
      <c r="A157" s="106"/>
      <c r="B157" s="123"/>
      <c r="C157" s="123"/>
      <c r="D157" s="123"/>
      <c r="E157" s="123"/>
      <c r="F157" s="123"/>
      <c r="G157" s="123"/>
      <c r="H157" s="123"/>
      <c r="I157" s="123"/>
      <c r="J157" s="117"/>
      <c r="K157" s="117"/>
      <c r="L157" s="117"/>
      <c r="M157" s="117"/>
      <c r="N157" s="117"/>
    </row>
    <row r="158" spans="1:16" s="11" customFormat="1" ht="18.899999999999999" customHeight="1" x14ac:dyDescent="0.55000000000000004">
      <c r="A158" s="106"/>
      <c r="B158" s="123"/>
      <c r="C158" s="123"/>
      <c r="D158" s="123"/>
      <c r="E158" s="123"/>
      <c r="F158" s="123"/>
      <c r="G158" s="123"/>
      <c r="H158" s="123"/>
      <c r="I158" s="123"/>
      <c r="J158" s="117"/>
      <c r="K158" s="117"/>
      <c r="L158" s="117"/>
      <c r="M158" s="117"/>
      <c r="N158" s="117"/>
    </row>
    <row r="159" spans="1:16" s="11" customFormat="1" ht="18.899999999999999" customHeight="1" x14ac:dyDescent="0.55000000000000004">
      <c r="A159" s="106"/>
      <c r="B159" s="123"/>
      <c r="C159" s="123"/>
      <c r="D159" s="123"/>
      <c r="E159" s="123"/>
      <c r="F159" s="123"/>
      <c r="G159" s="123"/>
      <c r="H159" s="123"/>
      <c r="I159" s="123"/>
      <c r="J159" s="117"/>
      <c r="K159" s="117"/>
      <c r="L159" s="117"/>
      <c r="M159" s="117"/>
      <c r="N159" s="117"/>
    </row>
    <row r="160" spans="1:16" s="11" customFormat="1" ht="18.899999999999999" customHeight="1" x14ac:dyDescent="0.55000000000000004">
      <c r="A160" s="106"/>
      <c r="B160" s="123"/>
      <c r="C160" s="123"/>
      <c r="D160" s="123"/>
      <c r="E160" s="123"/>
      <c r="F160" s="123"/>
      <c r="G160" s="123"/>
      <c r="H160" s="123"/>
      <c r="I160" s="123"/>
      <c r="J160" s="117"/>
      <c r="K160" s="117"/>
      <c r="L160" s="117"/>
      <c r="M160" s="117"/>
      <c r="N160" s="117"/>
    </row>
    <row r="161" spans="1:22" s="11" customFormat="1" ht="18.899999999999999" customHeight="1" x14ac:dyDescent="0.3">
      <c r="A161" s="103"/>
      <c r="B161" s="123"/>
      <c r="C161" s="123"/>
      <c r="D161" s="123"/>
      <c r="E161" s="123"/>
      <c r="F161" s="123"/>
      <c r="G161" s="123"/>
      <c r="H161" s="123"/>
      <c r="I161" s="123"/>
      <c r="J161" s="117"/>
      <c r="K161" s="117"/>
      <c r="L161" s="117"/>
      <c r="M161" s="117"/>
      <c r="N161" s="117"/>
      <c r="O161" s="4"/>
    </row>
    <row r="162" spans="1:22" s="3" customFormat="1" ht="27" customHeight="1" x14ac:dyDescent="0.3">
      <c r="A162" s="100" t="s">
        <v>52</v>
      </c>
      <c r="B162" s="35" t="s">
        <v>0</v>
      </c>
      <c r="C162" s="35" t="s">
        <v>8</v>
      </c>
      <c r="D162" s="35" t="s">
        <v>1</v>
      </c>
      <c r="E162" s="35" t="s">
        <v>9</v>
      </c>
      <c r="F162" s="35" t="s">
        <v>2</v>
      </c>
      <c r="G162" s="35" t="s">
        <v>10</v>
      </c>
      <c r="H162" s="35" t="s">
        <v>3</v>
      </c>
      <c r="I162" s="35" t="s">
        <v>11</v>
      </c>
      <c r="J162" s="35" t="s">
        <v>4</v>
      </c>
      <c r="K162" s="35" t="s">
        <v>12</v>
      </c>
      <c r="L162" s="35" t="s">
        <v>5</v>
      </c>
      <c r="M162" s="35" t="s">
        <v>13</v>
      </c>
      <c r="N162" s="35" t="s">
        <v>6</v>
      </c>
      <c r="O162" s="35" t="s">
        <v>14</v>
      </c>
      <c r="P162" s="11"/>
      <c r="Q162" s="5"/>
      <c r="U162" s="11"/>
      <c r="V162" s="11"/>
    </row>
    <row r="163" spans="1:22" s="6" customFormat="1" ht="16.5" customHeight="1" x14ac:dyDescent="0.3">
      <c r="A163" s="100" t="s">
        <v>53</v>
      </c>
      <c r="B163" s="24"/>
      <c r="C163" s="67">
        <f>IF(DAY(MaySun1)=1,MaySun1-6,MaySun1+1)</f>
        <v>43948</v>
      </c>
      <c r="D163" s="25"/>
      <c r="E163" s="67">
        <f>IF(DAY(MaySun1)=1,MaySun1-5,MaySun1+2)</f>
        <v>43949</v>
      </c>
      <c r="F163" s="25"/>
      <c r="G163" s="67">
        <f>IF(DAY(MaySun1)=1,MaySun1-4,MaySun1+3)</f>
        <v>43950</v>
      </c>
      <c r="H163" s="25"/>
      <c r="I163" s="67">
        <f>IF(DAY(MaySun1)=1,MaySun1-3,MaySun1+4)</f>
        <v>43951</v>
      </c>
      <c r="J163" s="25"/>
      <c r="K163" s="67">
        <f>IF(DAY(MaySun1)=1,MaySun1-2,MaySun1+5)</f>
        <v>43952</v>
      </c>
      <c r="L163" s="25"/>
      <c r="M163" s="67">
        <f>IF(DAY(MaySun1)=1,MaySun1-1,MaySun1+6)</f>
        <v>43953</v>
      </c>
      <c r="N163" s="25"/>
      <c r="O163" s="67">
        <f>IF(DAY(MaySun1)=1,MaySun1,MaySun1+7)</f>
        <v>43954</v>
      </c>
      <c r="P163" s="7"/>
      <c r="Q163" s="7"/>
      <c r="U163" s="8"/>
      <c r="V163" s="7"/>
    </row>
    <row r="164" spans="1:22" s="9" customFormat="1" ht="55.5" customHeight="1" x14ac:dyDescent="0.25">
      <c r="A164" s="100" t="s">
        <v>54</v>
      </c>
      <c r="B164" s="61"/>
      <c r="C164" s="68"/>
      <c r="D164" s="62"/>
      <c r="E164" s="68"/>
      <c r="F164" s="62"/>
      <c r="G164" s="68"/>
      <c r="H164" s="62"/>
      <c r="I164" s="68"/>
      <c r="J164" s="62"/>
      <c r="K164" s="68"/>
      <c r="L164" s="64"/>
      <c r="M164" s="71"/>
      <c r="N164" s="64"/>
      <c r="O164" s="71"/>
    </row>
    <row r="165" spans="1:22" s="9" customFormat="1" ht="8.25" customHeight="1" x14ac:dyDescent="0.3">
      <c r="A165" s="103"/>
      <c r="B165" s="36"/>
      <c r="C165" s="69"/>
      <c r="D165" s="36"/>
      <c r="E165" s="69"/>
      <c r="F165" s="36"/>
      <c r="G165" s="69"/>
      <c r="H165" s="36"/>
      <c r="I165" s="69"/>
      <c r="J165" s="36"/>
      <c r="K165" s="69"/>
      <c r="L165" s="37"/>
      <c r="M165" s="72"/>
      <c r="N165" s="37"/>
      <c r="O165" s="72"/>
    </row>
    <row r="166" spans="1:22" s="7" customFormat="1" ht="16.5" customHeight="1" x14ac:dyDescent="0.3">
      <c r="A166" s="104"/>
      <c r="B166" s="26"/>
      <c r="C166" s="67">
        <f>IF(DAY(MaySun1)=1,MaySun1+1,MaySun1+8)</f>
        <v>43955</v>
      </c>
      <c r="D166" s="25"/>
      <c r="E166" s="67">
        <f>IF(DAY(MaySun1)=1,MaySun1+2,MaySun1+9)</f>
        <v>43956</v>
      </c>
      <c r="F166" s="25"/>
      <c r="G166" s="67">
        <f>IF(DAY(MaySun1)=1,MaySun1+3,MaySun1+10)</f>
        <v>43957</v>
      </c>
      <c r="H166" s="25"/>
      <c r="I166" s="67">
        <f>IF(DAY(MaySun1)=1,MaySun1+4,MaySun1+11)</f>
        <v>43958</v>
      </c>
      <c r="J166" s="25"/>
      <c r="K166" s="67">
        <f>IF(DAY(MaySun1)=1,MaySun1+5,MaySun1+12)</f>
        <v>43959</v>
      </c>
      <c r="L166" s="25"/>
      <c r="M166" s="67">
        <f>IF(DAY(MaySun1)=1,MaySun1+6,MaySun1+13)</f>
        <v>43960</v>
      </c>
      <c r="N166" s="25"/>
      <c r="O166" s="67">
        <f>IF(DAY(MaySun1)=1,MaySun1+7,MaySun1+14)</f>
        <v>43961</v>
      </c>
    </row>
    <row r="167" spans="1:22" s="11" customFormat="1" ht="55.5" customHeight="1" x14ac:dyDescent="0.3">
      <c r="A167" s="103"/>
      <c r="B167" s="61"/>
      <c r="C167" s="68"/>
      <c r="D167" s="62"/>
      <c r="E167" s="68"/>
      <c r="F167" s="62" t="s">
        <v>7</v>
      </c>
      <c r="G167" s="68"/>
      <c r="H167" s="62"/>
      <c r="I167" s="68"/>
      <c r="J167" s="62"/>
      <c r="K167" s="68"/>
      <c r="L167" s="64"/>
      <c r="M167" s="71"/>
      <c r="N167" s="64"/>
      <c r="O167" s="71"/>
    </row>
    <row r="168" spans="1:22" s="11" customFormat="1" ht="8.25" customHeight="1" x14ac:dyDescent="0.3">
      <c r="A168" s="103"/>
      <c r="B168" s="36"/>
      <c r="C168" s="69"/>
      <c r="D168" s="36"/>
      <c r="E168" s="69"/>
      <c r="F168" s="36"/>
      <c r="G168" s="69"/>
      <c r="H168" s="36"/>
      <c r="I168" s="69"/>
      <c r="J168" s="36"/>
      <c r="K168" s="69"/>
      <c r="L168" s="37"/>
      <c r="M168" s="72"/>
      <c r="N168" s="37"/>
      <c r="O168" s="72"/>
    </row>
    <row r="169" spans="1:22" s="7" customFormat="1" ht="16.5" customHeight="1" x14ac:dyDescent="0.3">
      <c r="A169" s="104"/>
      <c r="B169" s="26"/>
      <c r="C169" s="67">
        <f>IF(DAY(MaySun1)=1,MaySun1+8,MaySun1+15)</f>
        <v>43962</v>
      </c>
      <c r="D169" s="25"/>
      <c r="E169" s="67">
        <f>IF(DAY(MaySun1)=1,MaySun1+9,MaySun1+16)</f>
        <v>43963</v>
      </c>
      <c r="F169" s="25"/>
      <c r="G169" s="67">
        <f>IF(DAY(MaySun1)=1,MaySun1+10,MaySun1+17)</f>
        <v>43964</v>
      </c>
      <c r="H169" s="25"/>
      <c r="I169" s="67">
        <f>IF(DAY(MaySun1)=1,MaySun1+11,MaySun1+18)</f>
        <v>43965</v>
      </c>
      <c r="J169" s="25"/>
      <c r="K169" s="67">
        <f>IF(DAY(MaySun1)=1,MaySun1+12,MaySun1+19)</f>
        <v>43966</v>
      </c>
      <c r="L169" s="25"/>
      <c r="M169" s="67">
        <f>IF(DAY(MaySun1)=1,MaySun1+13,MaySun1+20)</f>
        <v>43967</v>
      </c>
      <c r="N169" s="25"/>
      <c r="O169" s="67">
        <f>IF(DAY(MaySun1)=1,MaySun1+14,MaySun1+21)</f>
        <v>43968</v>
      </c>
    </row>
    <row r="170" spans="1:22" s="11" customFormat="1" ht="55.5" customHeight="1" x14ac:dyDescent="0.3">
      <c r="A170" s="103"/>
      <c r="B170" s="61"/>
      <c r="C170" s="68"/>
      <c r="D170" s="62"/>
      <c r="E170" s="68"/>
      <c r="F170" s="62"/>
      <c r="G170" s="68"/>
      <c r="H170" s="62"/>
      <c r="I170" s="68"/>
      <c r="J170" s="62"/>
      <c r="K170" s="68"/>
      <c r="L170" s="64"/>
      <c r="M170" s="71"/>
      <c r="N170" s="64"/>
      <c r="O170" s="71"/>
    </row>
    <row r="171" spans="1:22" s="11" customFormat="1" ht="8.25" customHeight="1" x14ac:dyDescent="0.3">
      <c r="A171" s="103"/>
      <c r="B171" s="36"/>
      <c r="C171" s="69"/>
      <c r="D171" s="36"/>
      <c r="E171" s="69"/>
      <c r="F171" s="36"/>
      <c r="G171" s="69"/>
      <c r="H171" s="36"/>
      <c r="I171" s="69"/>
      <c r="J171" s="36"/>
      <c r="K171" s="69"/>
      <c r="L171" s="37"/>
      <c r="M171" s="72"/>
      <c r="N171" s="37"/>
      <c r="O171" s="72"/>
    </row>
    <row r="172" spans="1:22" s="7" customFormat="1" ht="16.5" customHeight="1" x14ac:dyDescent="0.3">
      <c r="A172" s="104"/>
      <c r="B172" s="26"/>
      <c r="C172" s="67">
        <f>IF(DAY(MaySun1)=1,MaySun1+15,MaySun1+22)</f>
        <v>43969</v>
      </c>
      <c r="D172" s="25"/>
      <c r="E172" s="67">
        <f>IF(DAY(MaySun1)=1,MaySun1+16,MaySun1+23)</f>
        <v>43970</v>
      </c>
      <c r="F172" s="25"/>
      <c r="G172" s="67">
        <f>IF(DAY(MaySun1)=1,MaySun1+17,MaySun1+24)</f>
        <v>43971</v>
      </c>
      <c r="H172" s="25"/>
      <c r="I172" s="67">
        <f>IF(DAY(MaySun1)=1,MaySun1+18,MaySun1+25)</f>
        <v>43972</v>
      </c>
      <c r="J172" s="25"/>
      <c r="K172" s="67">
        <f>IF(DAY(MaySun1)=1,MaySun1+19,MaySun1+26)</f>
        <v>43973</v>
      </c>
      <c r="L172" s="25"/>
      <c r="M172" s="67">
        <f>IF(DAY(MaySun1)=1,MaySun1+20,MaySun1+27)</f>
        <v>43974</v>
      </c>
      <c r="N172" s="25"/>
      <c r="O172" s="67">
        <f>IF(DAY(MaySun1)=1,MaySun1+21,MaySun1+28)</f>
        <v>43975</v>
      </c>
    </row>
    <row r="173" spans="1:22" s="11" customFormat="1" ht="55.5" customHeight="1" x14ac:dyDescent="0.3">
      <c r="A173" s="103"/>
      <c r="B173" s="61"/>
      <c r="C173" s="68"/>
      <c r="D173" s="62"/>
      <c r="E173" s="68"/>
      <c r="F173" s="62"/>
      <c r="G173" s="68"/>
      <c r="H173" s="62"/>
      <c r="I173" s="68"/>
      <c r="J173" s="62"/>
      <c r="K173" s="68"/>
      <c r="L173" s="64"/>
      <c r="M173" s="71"/>
      <c r="N173" s="64"/>
      <c r="O173" s="71"/>
    </row>
    <row r="174" spans="1:22" s="11" customFormat="1" ht="8.25" customHeight="1" x14ac:dyDescent="0.3">
      <c r="A174" s="103"/>
      <c r="B174" s="36"/>
      <c r="C174" s="69"/>
      <c r="D174" s="36"/>
      <c r="E174" s="69"/>
      <c r="F174" s="36"/>
      <c r="G174" s="69"/>
      <c r="H174" s="36"/>
      <c r="I174" s="69"/>
      <c r="J174" s="36"/>
      <c r="K174" s="69"/>
      <c r="L174" s="37"/>
      <c r="M174" s="72"/>
      <c r="N174" s="37"/>
      <c r="O174" s="72"/>
    </row>
    <row r="175" spans="1:22" s="7" customFormat="1" ht="16.5" customHeight="1" x14ac:dyDescent="0.3">
      <c r="A175" s="104"/>
      <c r="B175" s="26"/>
      <c r="C175" s="67">
        <f>IF(DAY(MaySun1)=1,MaySun1+22,MaySun1+29)</f>
        <v>43976</v>
      </c>
      <c r="D175" s="25"/>
      <c r="E175" s="67">
        <f>IF(DAY(MaySun1)=1,MaySun1+23,MaySun1+30)</f>
        <v>43977</v>
      </c>
      <c r="F175" s="25"/>
      <c r="G175" s="67">
        <f>IF(DAY(MaySun1)=1,MaySun1+24,MaySun1+31)</f>
        <v>43978</v>
      </c>
      <c r="H175" s="25"/>
      <c r="I175" s="67">
        <f>IF(DAY(MaySun1)=1,MaySun1+25,MaySun1+32)</f>
        <v>43979</v>
      </c>
      <c r="J175" s="25"/>
      <c r="K175" s="67">
        <f>IF(DAY(MaySun1)=1,MaySun1+26,MaySun1+33)</f>
        <v>43980</v>
      </c>
      <c r="L175" s="25"/>
      <c r="M175" s="67">
        <f>IF(DAY(MaySun1)=1,MaySun1+27,MaySun1+34)</f>
        <v>43981</v>
      </c>
      <c r="N175" s="25"/>
      <c r="O175" s="67">
        <f>IF(DAY(MaySun1)=1,MaySun1+28,MaySun1+35)</f>
        <v>43982</v>
      </c>
    </row>
    <row r="176" spans="1:22" s="11" customFormat="1" ht="55.5" customHeight="1" x14ac:dyDescent="0.3">
      <c r="A176" s="103"/>
      <c r="B176" s="61"/>
      <c r="C176" s="68"/>
      <c r="D176" s="62"/>
      <c r="E176" s="68"/>
      <c r="F176" s="62"/>
      <c r="G176" s="68"/>
      <c r="H176" s="62"/>
      <c r="I176" s="68"/>
      <c r="J176" s="62"/>
      <c r="K176" s="68"/>
      <c r="L176" s="64"/>
      <c r="M176" s="71"/>
      <c r="N176" s="64"/>
      <c r="O176" s="71"/>
    </row>
    <row r="177" spans="1:22" s="11" customFormat="1" ht="8.25" customHeight="1" x14ac:dyDescent="0.3">
      <c r="A177" s="103"/>
      <c r="B177" s="36"/>
      <c r="C177" s="69"/>
      <c r="D177" s="36"/>
      <c r="E177" s="69"/>
      <c r="F177" s="36"/>
      <c r="G177" s="69"/>
      <c r="H177" s="36"/>
      <c r="I177" s="69"/>
      <c r="J177" s="36"/>
      <c r="K177" s="69"/>
      <c r="L177" s="37"/>
      <c r="M177" s="72"/>
      <c r="N177" s="37"/>
      <c r="O177" s="72"/>
    </row>
    <row r="178" spans="1:22" s="7" customFormat="1" ht="16.5" customHeight="1" x14ac:dyDescent="0.3">
      <c r="A178" s="104"/>
      <c r="B178" s="26"/>
      <c r="C178" s="67">
        <f>IF(DAY(MaySun1)=1,MaySun1+29,MaySun1+36)</f>
        <v>43983</v>
      </c>
      <c r="D178" s="25"/>
      <c r="E178" s="67">
        <f>IF(DAY(MaySun1)=1,MaySun1+30,MaySun1+37)</f>
        <v>43984</v>
      </c>
      <c r="F178" s="25"/>
      <c r="G178" s="67">
        <f>IF(DAY(MaySun1)=1,MaySun1+31,MaySun1+38)</f>
        <v>43985</v>
      </c>
      <c r="H178" s="25"/>
      <c r="I178" s="67">
        <f>IF(DAY(MaySun1)=1,MaySun1+32,MaySun1+39)</f>
        <v>43986</v>
      </c>
      <c r="J178" s="25"/>
      <c r="K178" s="67">
        <f>IF(DAY(MaySun1)=1,MaySun1+33,MaySun1+40)</f>
        <v>43987</v>
      </c>
      <c r="L178" s="25"/>
      <c r="M178" s="67">
        <f>IF(DAY(MaySun1)=1,MaySun1+34,MaySun1+41)</f>
        <v>43988</v>
      </c>
      <c r="N178" s="25"/>
      <c r="O178" s="67">
        <f>IF(DAY(MaySun1)=1,MaySun1+35,MaySun1+42)</f>
        <v>43989</v>
      </c>
    </row>
    <row r="179" spans="1:22" s="11" customFormat="1" ht="55.5" customHeight="1" x14ac:dyDescent="0.3">
      <c r="A179" s="103"/>
      <c r="B179" s="61"/>
      <c r="C179" s="68"/>
      <c r="D179" s="62"/>
      <c r="E179" s="68"/>
      <c r="F179" s="63"/>
      <c r="G179" s="70"/>
      <c r="H179" s="63"/>
      <c r="I179" s="70"/>
      <c r="J179" s="63"/>
      <c r="K179" s="70"/>
      <c r="L179" s="63"/>
      <c r="M179" s="70"/>
      <c r="N179" s="63"/>
      <c r="O179" s="70"/>
    </row>
    <row r="180" spans="1:22" s="11" customFormat="1" ht="7.5" customHeight="1" x14ac:dyDescent="0.3">
      <c r="A180" s="105"/>
      <c r="B180" s="27"/>
      <c r="C180" s="27"/>
      <c r="D180" s="27"/>
      <c r="E180" s="27"/>
      <c r="F180" s="27"/>
      <c r="G180" s="27"/>
      <c r="H180" s="27"/>
      <c r="I180" s="27"/>
      <c r="J180" s="27"/>
      <c r="K180" s="27"/>
      <c r="L180" s="27"/>
      <c r="M180" s="27"/>
      <c r="N180" s="27"/>
      <c r="O180" s="27"/>
    </row>
    <row r="181" spans="1:22" s="11" customFormat="1" ht="14.25" customHeight="1" x14ac:dyDescent="0.3">
      <c r="A181" s="105"/>
    </row>
    <row r="182" spans="1:22" s="11" customFormat="1" ht="54" customHeight="1" x14ac:dyDescent="0.3">
      <c r="A182" s="100" t="s">
        <v>55</v>
      </c>
      <c r="B182" s="124" t="str">
        <f>TEXT(DATE(CalendarYear,6,1),"mmmm")</f>
        <v>June</v>
      </c>
      <c r="C182" s="124"/>
      <c r="D182" s="124"/>
      <c r="E182" s="124"/>
      <c r="F182" s="124"/>
      <c r="G182" s="124"/>
      <c r="H182" s="124"/>
      <c r="I182" s="124"/>
      <c r="J182" s="120" t="s">
        <v>34</v>
      </c>
      <c r="K182" s="132"/>
      <c r="L182" s="132"/>
      <c r="M182" s="122">
        <f>CalendarYear</f>
        <v>2020</v>
      </c>
      <c r="N182" s="122"/>
      <c r="O182" s="122"/>
      <c r="P182" s="122"/>
    </row>
    <row r="183" spans="1:22" s="3" customFormat="1" ht="27" customHeight="1" x14ac:dyDescent="0.3">
      <c r="A183" s="100" t="s">
        <v>56</v>
      </c>
      <c r="B183" s="60" t="s">
        <v>0</v>
      </c>
      <c r="C183" s="60" t="s">
        <v>8</v>
      </c>
      <c r="D183" s="60" t="s">
        <v>1</v>
      </c>
      <c r="E183" s="60" t="s">
        <v>9</v>
      </c>
      <c r="F183" s="60" t="s">
        <v>2</v>
      </c>
      <c r="G183" s="60" t="s">
        <v>10</v>
      </c>
      <c r="H183" s="60" t="s">
        <v>3</v>
      </c>
      <c r="I183" s="60" t="s">
        <v>11</v>
      </c>
      <c r="J183" s="60" t="s">
        <v>4</v>
      </c>
      <c r="K183" s="60" t="s">
        <v>12</v>
      </c>
      <c r="L183" s="60" t="s">
        <v>5</v>
      </c>
      <c r="M183" s="60" t="s">
        <v>13</v>
      </c>
      <c r="N183" s="60" t="s">
        <v>6</v>
      </c>
      <c r="O183" s="60" t="s">
        <v>14</v>
      </c>
      <c r="P183" s="11"/>
      <c r="Q183" s="5"/>
      <c r="U183" s="11"/>
      <c r="V183" s="11"/>
    </row>
    <row r="184" spans="1:22" s="6" customFormat="1" ht="16.5" customHeight="1" x14ac:dyDescent="0.3">
      <c r="A184" s="100" t="s">
        <v>57</v>
      </c>
      <c r="B184" s="22"/>
      <c r="C184" s="77">
        <f>IF(DAY(JunSun1)=1,JunSun1-6,JunSun1+1)</f>
        <v>43983</v>
      </c>
      <c r="D184" s="23"/>
      <c r="E184" s="77">
        <f>IF(DAY(JunSun1)=1,JunSun1-5,JunSun1+2)</f>
        <v>43984</v>
      </c>
      <c r="F184" s="23"/>
      <c r="G184" s="77">
        <f>IF(DAY(JunSun1)=1,JunSun1-4,JunSun1+3)</f>
        <v>43985</v>
      </c>
      <c r="H184" s="23"/>
      <c r="I184" s="77">
        <f>IF(DAY(JunSun1)=1,JunSun1-3,JunSun1+4)</f>
        <v>43986</v>
      </c>
      <c r="J184" s="23"/>
      <c r="K184" s="77">
        <f>IF(DAY(JunSun1)=1,JunSun1-2,JunSun1+5)</f>
        <v>43987</v>
      </c>
      <c r="L184" s="23"/>
      <c r="M184" s="77">
        <f>IF(DAY(JunSun1)=1,JunSun1-1,JunSun1+6)</f>
        <v>43988</v>
      </c>
      <c r="N184" s="23"/>
      <c r="O184" s="77">
        <f>IF(DAY(JunSun1)=1,JunSun1,JunSun1+7)</f>
        <v>43989</v>
      </c>
      <c r="P184" s="7"/>
      <c r="Q184" s="7"/>
      <c r="U184" s="8"/>
      <c r="V184" s="7"/>
    </row>
    <row r="185" spans="1:22" s="9" customFormat="1" ht="55.5" customHeight="1" x14ac:dyDescent="0.25">
      <c r="A185" s="100" t="s">
        <v>58</v>
      </c>
      <c r="B185" s="73"/>
      <c r="C185" s="78"/>
      <c r="D185" s="74"/>
      <c r="E185" s="78"/>
      <c r="F185" s="74"/>
      <c r="G185" s="78"/>
      <c r="H185" s="74"/>
      <c r="I185" s="78"/>
      <c r="J185" s="74"/>
      <c r="K185" s="78"/>
      <c r="L185" s="76"/>
      <c r="M185" s="81"/>
      <c r="N185" s="76"/>
      <c r="O185" s="81"/>
    </row>
    <row r="186" spans="1:22" s="9" customFormat="1" ht="8.25" customHeight="1" x14ac:dyDescent="0.3">
      <c r="A186" s="103"/>
      <c r="B186" s="39"/>
      <c r="C186" s="79"/>
      <c r="D186" s="39"/>
      <c r="E186" s="79"/>
      <c r="F186" s="39"/>
      <c r="G186" s="79"/>
      <c r="H186" s="39"/>
      <c r="I186" s="79"/>
      <c r="J186" s="39"/>
      <c r="K186" s="79"/>
      <c r="L186" s="40"/>
      <c r="M186" s="82"/>
      <c r="N186" s="40"/>
      <c r="O186" s="82"/>
    </row>
    <row r="187" spans="1:22" s="7" customFormat="1" ht="16.5" customHeight="1" x14ac:dyDescent="0.3">
      <c r="A187" s="104"/>
      <c r="B187" s="23"/>
      <c r="C187" s="77">
        <f>IF(DAY(JunSun1)=1,JunSun1+1,JunSun1+8)</f>
        <v>43990</v>
      </c>
      <c r="D187" s="23"/>
      <c r="E187" s="77">
        <f>IF(DAY(JunSun1)=1,JunSun1+2,JunSun1+9)</f>
        <v>43991</v>
      </c>
      <c r="F187" s="23"/>
      <c r="G187" s="77">
        <f>IF(DAY(JunSun1)=1,JunSun1+3,JunSun1+10)</f>
        <v>43992</v>
      </c>
      <c r="H187" s="23"/>
      <c r="I187" s="77">
        <f>IF(DAY(JunSun1)=1,JunSun1+4,JunSun1+11)</f>
        <v>43993</v>
      </c>
      <c r="J187" s="23"/>
      <c r="K187" s="77">
        <f>IF(DAY(JunSun1)=1,JunSun1+5,JunSun1+12)</f>
        <v>43994</v>
      </c>
      <c r="L187" s="23"/>
      <c r="M187" s="77">
        <f>IF(DAY(JunSun1)=1,JunSun1+6,JunSun1+13)</f>
        <v>43995</v>
      </c>
      <c r="N187" s="23"/>
      <c r="O187" s="77">
        <f>IF(DAY(JunSun1)=1,JunSun1+7,JunSun1+14)</f>
        <v>43996</v>
      </c>
    </row>
    <row r="188" spans="1:22" s="11" customFormat="1" ht="55.5" customHeight="1" x14ac:dyDescent="0.3">
      <c r="A188" s="103"/>
      <c r="B188" s="73"/>
      <c r="C188" s="78"/>
      <c r="D188" s="74"/>
      <c r="E188" s="78"/>
      <c r="F188" s="74" t="s">
        <v>7</v>
      </c>
      <c r="G188" s="78"/>
      <c r="H188" s="74"/>
      <c r="I188" s="78"/>
      <c r="J188" s="74"/>
      <c r="K188" s="78"/>
      <c r="L188" s="76"/>
      <c r="M188" s="81"/>
      <c r="N188" s="76"/>
      <c r="O188" s="81"/>
    </row>
    <row r="189" spans="1:22" s="11" customFormat="1" ht="8.25" customHeight="1" x14ac:dyDescent="0.3">
      <c r="A189" s="103"/>
      <c r="B189" s="39"/>
      <c r="C189" s="79"/>
      <c r="D189" s="39"/>
      <c r="E189" s="79"/>
      <c r="F189" s="39"/>
      <c r="G189" s="79"/>
      <c r="H189" s="39"/>
      <c r="I189" s="79"/>
      <c r="J189" s="39"/>
      <c r="K189" s="79"/>
      <c r="L189" s="40"/>
      <c r="M189" s="82"/>
      <c r="N189" s="40"/>
      <c r="O189" s="82"/>
    </row>
    <row r="190" spans="1:22" s="7" customFormat="1" ht="16.5" customHeight="1" x14ac:dyDescent="0.3">
      <c r="A190" s="104"/>
      <c r="B190" s="23"/>
      <c r="C190" s="77">
        <f>IF(DAY(JunSun1)=1,JunSun1+8,JunSun1+15)</f>
        <v>43997</v>
      </c>
      <c r="D190" s="23"/>
      <c r="E190" s="77">
        <f>IF(DAY(JunSun1)=1,JunSun1+9,JunSun1+16)</f>
        <v>43998</v>
      </c>
      <c r="F190" s="23"/>
      <c r="G190" s="77">
        <f>IF(DAY(JunSun1)=1,JunSun1+10,JunSun1+17)</f>
        <v>43999</v>
      </c>
      <c r="H190" s="23"/>
      <c r="I190" s="77">
        <f>IF(DAY(JunSun1)=1,JunSun1+11,JunSun1+18)</f>
        <v>44000</v>
      </c>
      <c r="J190" s="23"/>
      <c r="K190" s="77">
        <f>IF(DAY(JunSun1)=1,JunSun1+12,JunSun1+19)</f>
        <v>44001</v>
      </c>
      <c r="L190" s="23"/>
      <c r="M190" s="77">
        <f>IF(DAY(JunSun1)=1,JunSun1+13,JunSun1+20)</f>
        <v>44002</v>
      </c>
      <c r="N190" s="23"/>
      <c r="O190" s="77">
        <f>IF(DAY(JunSun1)=1,JunSun1+14,JunSun1+21)</f>
        <v>44003</v>
      </c>
    </row>
    <row r="191" spans="1:22" s="11" customFormat="1" ht="55.5" customHeight="1" x14ac:dyDescent="0.3">
      <c r="A191" s="103"/>
      <c r="B191" s="73"/>
      <c r="C191" s="78"/>
      <c r="D191" s="74"/>
      <c r="E191" s="78"/>
      <c r="F191" s="74"/>
      <c r="G191" s="78"/>
      <c r="H191" s="74"/>
      <c r="I191" s="78"/>
      <c r="J191" s="74"/>
      <c r="K191" s="78"/>
      <c r="L191" s="76"/>
      <c r="M191" s="81"/>
      <c r="N191" s="76"/>
      <c r="O191" s="81"/>
    </row>
    <row r="192" spans="1:22" s="11" customFormat="1" ht="8.25" customHeight="1" x14ac:dyDescent="0.3">
      <c r="A192" s="103"/>
      <c r="B192" s="39"/>
      <c r="C192" s="79"/>
      <c r="D192" s="39"/>
      <c r="E192" s="79"/>
      <c r="F192" s="39"/>
      <c r="G192" s="79"/>
      <c r="H192" s="39"/>
      <c r="I192" s="79"/>
      <c r="J192" s="39"/>
      <c r="K192" s="79"/>
      <c r="L192" s="40"/>
      <c r="M192" s="82"/>
      <c r="N192" s="40"/>
      <c r="O192" s="82"/>
    </row>
    <row r="193" spans="1:22" s="7" customFormat="1" ht="16.5" customHeight="1" x14ac:dyDescent="0.3">
      <c r="A193" s="104"/>
      <c r="B193" s="23"/>
      <c r="C193" s="77">
        <f>IF(DAY(JunSun1)=1,JunSun1+15,JunSun1+22)</f>
        <v>44004</v>
      </c>
      <c r="D193" s="23"/>
      <c r="E193" s="77">
        <f>IF(DAY(JunSun1)=1,JunSun1+16,JunSun1+23)</f>
        <v>44005</v>
      </c>
      <c r="F193" s="23"/>
      <c r="G193" s="77">
        <f>IF(DAY(JunSun1)=1,JunSun1+17,JunSun1+24)</f>
        <v>44006</v>
      </c>
      <c r="H193" s="23"/>
      <c r="I193" s="77">
        <f>IF(DAY(JunSun1)=1,JunSun1+18,JunSun1+25)</f>
        <v>44007</v>
      </c>
      <c r="J193" s="23"/>
      <c r="K193" s="77">
        <f>IF(DAY(JunSun1)=1,JunSun1+19,JunSun1+26)</f>
        <v>44008</v>
      </c>
      <c r="L193" s="23"/>
      <c r="M193" s="77">
        <f>IF(DAY(JunSun1)=1,JunSun1+20,JunSun1+27)</f>
        <v>44009</v>
      </c>
      <c r="N193" s="23"/>
      <c r="O193" s="77">
        <f>IF(DAY(JunSun1)=1,JunSun1+21,JunSun1+28)</f>
        <v>44010</v>
      </c>
    </row>
    <row r="194" spans="1:22" s="11" customFormat="1" ht="55.5" customHeight="1" x14ac:dyDescent="0.3">
      <c r="A194" s="103"/>
      <c r="B194" s="73"/>
      <c r="C194" s="78"/>
      <c r="D194" s="74"/>
      <c r="E194" s="78"/>
      <c r="F194" s="74"/>
      <c r="G194" s="78"/>
      <c r="H194" s="74"/>
      <c r="I194" s="78"/>
      <c r="J194" s="74"/>
      <c r="K194" s="78"/>
      <c r="L194" s="76"/>
      <c r="M194" s="81"/>
      <c r="N194" s="76"/>
      <c r="O194" s="81"/>
    </row>
    <row r="195" spans="1:22" s="11" customFormat="1" ht="8.25" customHeight="1" x14ac:dyDescent="0.3">
      <c r="A195" s="103"/>
      <c r="B195" s="39"/>
      <c r="C195" s="79"/>
      <c r="D195" s="39"/>
      <c r="E195" s="79"/>
      <c r="F195" s="39"/>
      <c r="G195" s="79"/>
      <c r="H195" s="39"/>
      <c r="I195" s="79"/>
      <c r="J195" s="39"/>
      <c r="K195" s="79"/>
      <c r="L195" s="40"/>
      <c r="M195" s="82"/>
      <c r="N195" s="40"/>
      <c r="O195" s="82"/>
    </row>
    <row r="196" spans="1:22" s="7" customFormat="1" ht="16.5" customHeight="1" x14ac:dyDescent="0.3">
      <c r="A196" s="104"/>
      <c r="B196" s="23"/>
      <c r="C196" s="77">
        <f>IF(DAY(JunSun1)=1,JunSun1+22,JunSun1+29)</f>
        <v>44011</v>
      </c>
      <c r="D196" s="23"/>
      <c r="E196" s="77">
        <f>IF(DAY(JunSun1)=1,JunSun1+23,JunSun1+30)</f>
        <v>44012</v>
      </c>
      <c r="F196" s="23"/>
      <c r="G196" s="77">
        <f>IF(DAY(JunSun1)=1,JunSun1+24,JunSun1+31)</f>
        <v>44013</v>
      </c>
      <c r="H196" s="23"/>
      <c r="I196" s="77">
        <f>IF(DAY(JunSun1)=1,JunSun1+25,JunSun1+32)</f>
        <v>44014</v>
      </c>
      <c r="J196" s="23"/>
      <c r="K196" s="77">
        <f>IF(DAY(JunSun1)=1,JunSun1+26,JunSun1+33)</f>
        <v>44015</v>
      </c>
      <c r="L196" s="23"/>
      <c r="M196" s="77">
        <f>IF(DAY(JunSun1)=1,JunSun1+27,JunSun1+34)</f>
        <v>44016</v>
      </c>
      <c r="N196" s="23"/>
      <c r="O196" s="77">
        <f>IF(DAY(JunSun1)=1,JunSun1+28,JunSun1+35)</f>
        <v>44017</v>
      </c>
    </row>
    <row r="197" spans="1:22" s="11" customFormat="1" ht="55.5" customHeight="1" x14ac:dyDescent="0.3">
      <c r="A197" s="103"/>
      <c r="B197" s="73"/>
      <c r="C197" s="78"/>
      <c r="D197" s="74"/>
      <c r="E197" s="78"/>
      <c r="F197" s="74"/>
      <c r="G197" s="78"/>
      <c r="H197" s="74"/>
      <c r="I197" s="78"/>
      <c r="J197" s="74"/>
      <c r="K197" s="78"/>
      <c r="L197" s="76"/>
      <c r="M197" s="81"/>
      <c r="N197" s="76"/>
      <c r="O197" s="81"/>
    </row>
    <row r="198" spans="1:22" s="11" customFormat="1" ht="8.25" customHeight="1" x14ac:dyDescent="0.3">
      <c r="A198" s="103"/>
      <c r="B198" s="39"/>
      <c r="C198" s="79"/>
      <c r="D198" s="39"/>
      <c r="E198" s="79"/>
      <c r="F198" s="39"/>
      <c r="G198" s="79"/>
      <c r="H198" s="39"/>
      <c r="I198" s="79"/>
      <c r="J198" s="39"/>
      <c r="K198" s="79"/>
      <c r="L198" s="40"/>
      <c r="M198" s="82"/>
      <c r="N198" s="40"/>
      <c r="O198" s="82"/>
    </row>
    <row r="199" spans="1:22" s="11" customFormat="1" ht="54" customHeight="1" x14ac:dyDescent="0.3">
      <c r="A199" s="105" t="s">
        <v>59</v>
      </c>
      <c r="B199" s="124" t="str">
        <f>TEXT(DATE(CalendarYear,7,1),"mmmm")</f>
        <v>July</v>
      </c>
      <c r="C199" s="124"/>
      <c r="D199" s="124"/>
      <c r="E199" s="124"/>
      <c r="F199" s="124"/>
      <c r="G199" s="124"/>
      <c r="H199" s="124"/>
      <c r="I199" s="124"/>
      <c r="J199" s="120" t="s">
        <v>34</v>
      </c>
      <c r="K199" s="121"/>
      <c r="L199" s="121"/>
      <c r="M199" s="134">
        <f>CalendarYear</f>
        <v>2020</v>
      </c>
      <c r="N199" s="134"/>
      <c r="O199" s="134"/>
      <c r="P199" s="134"/>
    </row>
    <row r="200" spans="1:22" s="3" customFormat="1" ht="27" customHeight="1" x14ac:dyDescent="0.3">
      <c r="A200" s="103" t="s">
        <v>60</v>
      </c>
      <c r="B200" s="60" t="s">
        <v>0</v>
      </c>
      <c r="C200" s="60" t="s">
        <v>8</v>
      </c>
      <c r="D200" s="60" t="s">
        <v>1</v>
      </c>
      <c r="E200" s="60" t="s">
        <v>9</v>
      </c>
      <c r="F200" s="60" t="s">
        <v>2</v>
      </c>
      <c r="G200" s="60" t="s">
        <v>10</v>
      </c>
      <c r="H200" s="60" t="s">
        <v>3</v>
      </c>
      <c r="I200" s="60" t="s">
        <v>11</v>
      </c>
      <c r="J200" s="60" t="s">
        <v>4</v>
      </c>
      <c r="K200" s="60" t="s">
        <v>12</v>
      </c>
      <c r="L200" s="60" t="s">
        <v>5</v>
      </c>
      <c r="M200" s="60" t="s">
        <v>13</v>
      </c>
      <c r="N200" s="60" t="s">
        <v>6</v>
      </c>
      <c r="O200" s="60" t="s">
        <v>14</v>
      </c>
      <c r="P200" s="11"/>
      <c r="Q200" s="5"/>
      <c r="U200" s="11"/>
      <c r="V200" s="11"/>
    </row>
    <row r="201" spans="1:22" s="6" customFormat="1" ht="16.5" customHeight="1" x14ac:dyDescent="0.3">
      <c r="A201" s="104" t="s">
        <v>61</v>
      </c>
      <c r="B201" s="22"/>
      <c r="C201" s="77">
        <f>IF(DAY(JulSun1)=1,JulSun1-6,JulSun1+1)</f>
        <v>44011</v>
      </c>
      <c r="D201" s="23"/>
      <c r="E201" s="77">
        <f>IF(DAY(JulSun1)=1,JulSun1-5,JulSun1+2)</f>
        <v>44012</v>
      </c>
      <c r="F201" s="23"/>
      <c r="G201" s="77">
        <f>IF(DAY(JulSun1)=1,JulSun1-4,JulSun1+3)</f>
        <v>44013</v>
      </c>
      <c r="H201" s="23"/>
      <c r="I201" s="77">
        <f>IF(DAY(JulSun1)=1,JulSun1-3,JulSun1+4)</f>
        <v>44014</v>
      </c>
      <c r="J201" s="23"/>
      <c r="K201" s="77">
        <f>IF(DAY(JulSun1)=1,JulSun1-2,JulSun1+5)</f>
        <v>44015</v>
      </c>
      <c r="L201" s="23"/>
      <c r="M201" s="77">
        <f>IF(DAY(JulSun1)=1,JulSun1-1,JulSun1+6)</f>
        <v>44016</v>
      </c>
      <c r="N201" s="23"/>
      <c r="O201" s="77">
        <f>IF(DAY(JulSun1)=1,JulSun1,JulSun1+7)</f>
        <v>44017</v>
      </c>
      <c r="P201" s="7"/>
      <c r="Q201" s="7"/>
      <c r="U201" s="8"/>
      <c r="V201" s="7"/>
    </row>
    <row r="202" spans="1:22" s="9" customFormat="1" ht="55.5" customHeight="1" x14ac:dyDescent="0.3">
      <c r="A202" s="103" t="s">
        <v>62</v>
      </c>
      <c r="B202" s="73"/>
      <c r="C202" s="78"/>
      <c r="D202" s="74"/>
      <c r="E202" s="78"/>
      <c r="F202" s="74"/>
      <c r="G202" s="78"/>
      <c r="H202" s="74"/>
      <c r="I202" s="78"/>
      <c r="J202" s="74"/>
      <c r="K202" s="78"/>
      <c r="L202" s="76"/>
      <c r="M202" s="81"/>
      <c r="N202" s="76"/>
      <c r="O202" s="81"/>
    </row>
    <row r="203" spans="1:22" s="9" customFormat="1" ht="8.25" customHeight="1" x14ac:dyDescent="0.3">
      <c r="A203" s="103"/>
      <c r="B203" s="39"/>
      <c r="C203" s="79"/>
      <c r="D203" s="39"/>
      <c r="E203" s="79"/>
      <c r="F203" s="39"/>
      <c r="G203" s="79"/>
      <c r="H203" s="39"/>
      <c r="I203" s="79"/>
      <c r="J203" s="39"/>
      <c r="K203" s="79"/>
      <c r="L203" s="40"/>
      <c r="M203" s="82"/>
      <c r="N203" s="40"/>
      <c r="O203" s="82"/>
    </row>
    <row r="204" spans="1:22" s="7" customFormat="1" ht="16.5" customHeight="1" x14ac:dyDescent="0.3">
      <c r="A204" s="104"/>
      <c r="B204" s="23"/>
      <c r="C204" s="77">
        <f>IF(DAY(JulSun1)=1,JulSun1+1,JulSun1+8)</f>
        <v>44018</v>
      </c>
      <c r="D204" s="23"/>
      <c r="E204" s="77">
        <f>IF(DAY(JulSun1)=1,JulSun1+2,JulSun1+9)</f>
        <v>44019</v>
      </c>
      <c r="F204" s="23"/>
      <c r="G204" s="77">
        <f>IF(DAY(JulSun1)=1,JulSun1+3,JulSun1+10)</f>
        <v>44020</v>
      </c>
      <c r="H204" s="23"/>
      <c r="I204" s="77">
        <f>IF(DAY(JulSun1)=1,JulSun1+4,JulSun1+11)</f>
        <v>44021</v>
      </c>
      <c r="J204" s="23"/>
      <c r="K204" s="77">
        <f>IF(DAY(JulSun1)=1,JulSun1+5,JulSun1+12)</f>
        <v>44022</v>
      </c>
      <c r="L204" s="23"/>
      <c r="M204" s="77">
        <f>IF(DAY(JulSun1)=1,JulSun1+6,JulSun1+13)</f>
        <v>44023</v>
      </c>
      <c r="N204" s="23"/>
      <c r="O204" s="77">
        <f>IF(DAY(JulSun1)=1,JulSun1+7,JulSun1+14)</f>
        <v>44024</v>
      </c>
    </row>
    <row r="205" spans="1:22" s="11" customFormat="1" ht="55.5" customHeight="1" x14ac:dyDescent="0.3">
      <c r="A205" s="103"/>
      <c r="B205" s="73"/>
      <c r="C205" s="78"/>
      <c r="D205" s="74"/>
      <c r="E205" s="78"/>
      <c r="F205" s="74" t="s">
        <v>7</v>
      </c>
      <c r="G205" s="78"/>
      <c r="H205" s="74"/>
      <c r="I205" s="78"/>
      <c r="J205" s="74"/>
      <c r="K205" s="78"/>
      <c r="L205" s="76"/>
      <c r="M205" s="81"/>
      <c r="N205" s="76"/>
      <c r="O205" s="81"/>
    </row>
    <row r="206" spans="1:22" s="11" customFormat="1" ht="8.25" customHeight="1" x14ac:dyDescent="0.3">
      <c r="A206" s="103"/>
      <c r="B206" s="39"/>
      <c r="C206" s="79"/>
      <c r="D206" s="39"/>
      <c r="E206" s="79"/>
      <c r="F206" s="39"/>
      <c r="G206" s="79"/>
      <c r="H206" s="39"/>
      <c r="I206" s="79"/>
      <c r="J206" s="39"/>
      <c r="K206" s="79"/>
      <c r="L206" s="40"/>
      <c r="M206" s="82"/>
      <c r="N206" s="40"/>
      <c r="O206" s="82"/>
    </row>
    <row r="207" spans="1:22" s="7" customFormat="1" ht="16.5" customHeight="1" x14ac:dyDescent="0.3">
      <c r="A207" s="104"/>
      <c r="B207" s="23"/>
      <c r="C207" s="77">
        <f>IF(DAY(JulSun1)=1,JulSun1+8,JulSun1+15)</f>
        <v>44025</v>
      </c>
      <c r="D207" s="23"/>
      <c r="E207" s="77">
        <f>IF(DAY(JulSun1)=1,JulSun1+9,JulSun1+16)</f>
        <v>44026</v>
      </c>
      <c r="F207" s="23"/>
      <c r="G207" s="77">
        <f>IF(DAY(JulSun1)=1,JulSun1+10,JulSun1+17)</f>
        <v>44027</v>
      </c>
      <c r="H207" s="23"/>
      <c r="I207" s="77">
        <f>IF(DAY(JulSun1)=1,JulSun1+11,JulSun1+18)</f>
        <v>44028</v>
      </c>
      <c r="J207" s="23"/>
      <c r="K207" s="77">
        <f>IF(DAY(JulSun1)=1,JulSun1+12,JulSun1+19)</f>
        <v>44029</v>
      </c>
      <c r="L207" s="23"/>
      <c r="M207" s="77">
        <f>IF(DAY(JulSun1)=1,JulSun1+13,JulSun1+20)</f>
        <v>44030</v>
      </c>
      <c r="N207" s="23"/>
      <c r="O207" s="77">
        <f>IF(DAY(JulSun1)=1,JulSun1+14,JulSun1+21)</f>
        <v>44031</v>
      </c>
    </row>
    <row r="208" spans="1:22" s="11" customFormat="1" ht="55.5" customHeight="1" x14ac:dyDescent="0.3">
      <c r="A208" s="103"/>
      <c r="B208" s="73"/>
      <c r="C208" s="78"/>
      <c r="D208" s="74"/>
      <c r="E208" s="78"/>
      <c r="F208" s="74"/>
      <c r="G208" s="78"/>
      <c r="H208" s="74"/>
      <c r="I208" s="78"/>
      <c r="J208" s="74"/>
      <c r="K208" s="78"/>
      <c r="L208" s="76"/>
      <c r="M208" s="81"/>
      <c r="N208" s="76"/>
      <c r="O208" s="81"/>
    </row>
    <row r="209" spans="1:16" s="11" customFormat="1" ht="8.25" customHeight="1" x14ac:dyDescent="0.3">
      <c r="A209" s="103"/>
      <c r="B209" s="39"/>
      <c r="C209" s="79"/>
      <c r="D209" s="39"/>
      <c r="E209" s="79"/>
      <c r="F209" s="39"/>
      <c r="G209" s="79"/>
      <c r="H209" s="39"/>
      <c r="I209" s="79"/>
      <c r="J209" s="39"/>
      <c r="K209" s="79"/>
      <c r="L209" s="40"/>
      <c r="M209" s="82"/>
      <c r="N209" s="40"/>
      <c r="O209" s="82"/>
    </row>
    <row r="210" spans="1:16" s="7" customFormat="1" ht="16.5" customHeight="1" x14ac:dyDescent="0.3">
      <c r="A210" s="104"/>
      <c r="B210" s="23"/>
      <c r="C210" s="77">
        <f>IF(DAY(JulSun1)=1,JulSun1+15,JulSun1+22)</f>
        <v>44032</v>
      </c>
      <c r="D210" s="23"/>
      <c r="E210" s="77">
        <f>IF(DAY(JulSun1)=1,JulSun1+16,JulSun1+23)</f>
        <v>44033</v>
      </c>
      <c r="F210" s="23"/>
      <c r="G210" s="77">
        <f>IF(DAY(JulSun1)=1,JulSun1+17,JulSun1+24)</f>
        <v>44034</v>
      </c>
      <c r="H210" s="23"/>
      <c r="I210" s="77">
        <f>IF(DAY(JulSun1)=1,JulSun1+18,JulSun1+25)</f>
        <v>44035</v>
      </c>
      <c r="J210" s="23"/>
      <c r="K210" s="77">
        <f>IF(DAY(JulSun1)=1,JulSun1+19,JulSun1+26)</f>
        <v>44036</v>
      </c>
      <c r="L210" s="23"/>
      <c r="M210" s="77">
        <f>IF(DAY(JulSun1)=1,JulSun1+20,JulSun1+27)</f>
        <v>44037</v>
      </c>
      <c r="N210" s="23"/>
      <c r="O210" s="77">
        <f>IF(DAY(JulSun1)=1,JulSun1+21,JulSun1+28)</f>
        <v>44038</v>
      </c>
    </row>
    <row r="211" spans="1:16" s="11" customFormat="1" ht="55.5" customHeight="1" x14ac:dyDescent="0.3">
      <c r="A211" s="103"/>
      <c r="B211" s="73"/>
      <c r="C211" s="78"/>
      <c r="D211" s="74"/>
      <c r="E211" s="78"/>
      <c r="F211" s="74"/>
      <c r="G211" s="78"/>
      <c r="H211" s="74"/>
      <c r="I211" s="78"/>
      <c r="J211" s="74"/>
      <c r="K211" s="78"/>
      <c r="L211" s="76"/>
      <c r="M211" s="81"/>
      <c r="N211" s="76"/>
      <c r="O211" s="81"/>
    </row>
    <row r="212" spans="1:16" s="11" customFormat="1" ht="8.25" customHeight="1" x14ac:dyDescent="0.3">
      <c r="A212" s="103"/>
      <c r="B212" s="39"/>
      <c r="C212" s="79"/>
      <c r="D212" s="39"/>
      <c r="E212" s="79"/>
      <c r="F212" s="39"/>
      <c r="G212" s="79"/>
      <c r="H212" s="39"/>
      <c r="I212" s="79"/>
      <c r="J212" s="39"/>
      <c r="K212" s="79"/>
      <c r="L212" s="40"/>
      <c r="M212" s="82"/>
      <c r="N212" s="40"/>
      <c r="O212" s="82"/>
    </row>
    <row r="213" spans="1:16" s="7" customFormat="1" ht="16.5" customHeight="1" x14ac:dyDescent="0.3">
      <c r="A213" s="104"/>
      <c r="B213" s="23"/>
      <c r="C213" s="77">
        <f>IF(DAY(JulSun1)=1,JulSun1+22,JulSun1+29)</f>
        <v>44039</v>
      </c>
      <c r="D213" s="23"/>
      <c r="E213" s="77">
        <f>IF(DAY(JulSun1)=1,JulSun1+23,JulSun1+30)</f>
        <v>44040</v>
      </c>
      <c r="F213" s="23"/>
      <c r="G213" s="77">
        <f>IF(DAY(JulSun1)=1,JulSun1+24,JulSun1+31)</f>
        <v>44041</v>
      </c>
      <c r="H213" s="23"/>
      <c r="I213" s="77">
        <f>IF(DAY(JulSun1)=1,JulSun1+25,JulSun1+32)</f>
        <v>44042</v>
      </c>
      <c r="J213" s="23"/>
      <c r="K213" s="77">
        <f>IF(DAY(JulSun1)=1,JulSun1+26,JulSun1+33)</f>
        <v>44043</v>
      </c>
      <c r="L213" s="23"/>
      <c r="M213" s="77">
        <f>IF(DAY(JulSun1)=1,JulSun1+27,JulSun1+34)</f>
        <v>44044</v>
      </c>
      <c r="N213" s="23"/>
      <c r="O213" s="77">
        <f>IF(DAY(JulSun1)=1,JulSun1+28,JulSun1+35)</f>
        <v>44045</v>
      </c>
    </row>
    <row r="214" spans="1:16" s="11" customFormat="1" ht="55.5" customHeight="1" x14ac:dyDescent="0.3">
      <c r="A214" s="103"/>
      <c r="B214" s="73"/>
      <c r="C214" s="78"/>
      <c r="D214" s="74"/>
      <c r="E214" s="78"/>
      <c r="F214" s="74"/>
      <c r="G214" s="78"/>
      <c r="H214" s="74"/>
      <c r="I214" s="78"/>
      <c r="J214" s="74"/>
      <c r="K214" s="78"/>
      <c r="L214" s="76"/>
      <c r="M214" s="81"/>
      <c r="N214" s="76"/>
      <c r="O214" s="81"/>
    </row>
    <row r="215" spans="1:16" s="11" customFormat="1" ht="8.25" customHeight="1" x14ac:dyDescent="0.3">
      <c r="A215" s="103"/>
      <c r="B215" s="39"/>
      <c r="C215" s="79"/>
      <c r="D215" s="39"/>
      <c r="E215" s="79"/>
      <c r="F215" s="39"/>
      <c r="G215" s="79"/>
      <c r="H215" s="39"/>
      <c r="I215" s="79"/>
      <c r="J215" s="39"/>
      <c r="K215" s="79"/>
      <c r="L215" s="40"/>
      <c r="M215" s="82"/>
      <c r="N215" s="40"/>
      <c r="O215" s="82"/>
    </row>
    <row r="216" spans="1:16" s="7" customFormat="1" ht="16.5" customHeight="1" x14ac:dyDescent="0.3">
      <c r="A216" s="104"/>
      <c r="B216" s="23"/>
      <c r="C216" s="77">
        <f>IF(DAY(JulSun1)=1,JulSun1+29,JulSun1+36)</f>
        <v>44046</v>
      </c>
      <c r="D216" s="23"/>
      <c r="E216" s="77">
        <f>IF(DAY(JulSun1)=1,JulSun1+30,JulSun1+37)</f>
        <v>44047</v>
      </c>
      <c r="F216" s="23"/>
      <c r="G216" s="77">
        <f>IF(DAY(JulSun1)=1,JulSun1+31,JulSun1+38)</f>
        <v>44048</v>
      </c>
      <c r="H216" s="23"/>
      <c r="I216" s="77">
        <f>IF(DAY(JulSun1)=1,JulSun1+32,JulSun1+39)</f>
        <v>44049</v>
      </c>
      <c r="J216" s="23"/>
      <c r="K216" s="77">
        <f>IF(DAY(JulSun1)=1,JulSun1+33,JulSun1+40)</f>
        <v>44050</v>
      </c>
      <c r="L216" s="23"/>
      <c r="M216" s="77">
        <f>IF(DAY(JulSun1)=1,JulSun1+34,JulSun1+41)</f>
        <v>44051</v>
      </c>
      <c r="N216" s="23"/>
      <c r="O216" s="77">
        <f>IF(DAY(JulSun1)=1,JulSun1+35,JulSun1+42)</f>
        <v>44052</v>
      </c>
    </row>
    <row r="217" spans="1:16" s="11" customFormat="1" ht="55.5" customHeight="1" x14ac:dyDescent="0.3">
      <c r="A217" s="103"/>
      <c r="B217" s="73"/>
      <c r="C217" s="78"/>
      <c r="D217" s="74"/>
      <c r="E217" s="78"/>
      <c r="F217" s="75"/>
      <c r="G217" s="80"/>
      <c r="H217" s="75"/>
      <c r="I217" s="80"/>
      <c r="J217" s="75"/>
      <c r="K217" s="80"/>
      <c r="L217" s="75"/>
      <c r="M217" s="80"/>
      <c r="N217" s="75"/>
      <c r="O217" s="80"/>
    </row>
    <row r="218" spans="1:16" s="11" customFormat="1" ht="7.5" customHeight="1" x14ac:dyDescent="0.3">
      <c r="A218" s="105"/>
      <c r="B218" s="12"/>
      <c r="C218" s="12"/>
      <c r="D218" s="12"/>
      <c r="E218" s="12"/>
      <c r="F218" s="12"/>
      <c r="G218" s="12"/>
      <c r="H218" s="12"/>
      <c r="I218" s="12"/>
      <c r="J218" s="12"/>
      <c r="K218" s="12"/>
      <c r="L218" s="12"/>
      <c r="M218" s="12"/>
      <c r="N218" s="12"/>
      <c r="O218" s="12"/>
    </row>
    <row r="219" spans="1:16" s="11" customFormat="1" ht="14.25" customHeight="1" x14ac:dyDescent="0.3">
      <c r="A219" s="105"/>
      <c r="B219" s="12"/>
      <c r="C219" s="12"/>
      <c r="D219" s="12"/>
      <c r="E219" s="12"/>
      <c r="F219" s="12"/>
      <c r="G219" s="12"/>
      <c r="H219" s="12"/>
      <c r="I219" s="12"/>
      <c r="J219" s="12"/>
      <c r="K219" s="12"/>
      <c r="L219" s="12"/>
      <c r="M219" s="12"/>
      <c r="N219" s="12"/>
      <c r="O219" s="12"/>
    </row>
    <row r="220" spans="1:16" s="11" customFormat="1" ht="54" customHeight="1" x14ac:dyDescent="0.3">
      <c r="A220" s="105" t="s">
        <v>63</v>
      </c>
      <c r="B220" s="124" t="str">
        <f>TEXT(DATE(CalendarYear,8,1),"mmmm")</f>
        <v>August</v>
      </c>
      <c r="C220" s="124"/>
      <c r="D220" s="124"/>
      <c r="E220" s="124"/>
      <c r="F220" s="124"/>
      <c r="G220" s="124"/>
      <c r="H220" s="124"/>
      <c r="I220" s="124"/>
      <c r="J220" s="135" t="s">
        <v>34</v>
      </c>
      <c r="K220" s="136"/>
      <c r="L220" s="136"/>
      <c r="M220" s="122">
        <f ca="1">YEAR(TODAY())</f>
        <v>2020</v>
      </c>
      <c r="N220" s="122"/>
      <c r="O220" s="122"/>
      <c r="P220" s="122"/>
    </row>
    <row r="221" spans="1:16" s="11" customFormat="1" ht="18.899999999999999" customHeight="1" x14ac:dyDescent="0.3">
      <c r="A221" s="100" t="s">
        <v>64</v>
      </c>
      <c r="B221" s="123"/>
      <c r="C221" s="123"/>
      <c r="D221" s="123"/>
      <c r="E221" s="123"/>
      <c r="F221" s="123"/>
      <c r="G221" s="123"/>
      <c r="H221" s="123"/>
      <c r="I221" s="123"/>
      <c r="J221" s="123"/>
      <c r="K221" s="118" t="s">
        <v>30</v>
      </c>
      <c r="L221" s="119"/>
      <c r="M221" s="119"/>
      <c r="N221" s="119"/>
    </row>
    <row r="222" spans="1:16" s="11" customFormat="1" ht="18.899999999999999" customHeight="1" x14ac:dyDescent="0.3">
      <c r="A222" s="100"/>
      <c r="B222" s="123"/>
      <c r="C222" s="123"/>
      <c r="D222" s="123"/>
      <c r="E222" s="123"/>
      <c r="F222" s="123"/>
      <c r="G222" s="123"/>
      <c r="H222" s="123"/>
      <c r="I222" s="123"/>
      <c r="J222" s="123"/>
      <c r="K222" s="119"/>
      <c r="L222" s="119"/>
      <c r="M222" s="119"/>
      <c r="N222" s="119"/>
    </row>
    <row r="223" spans="1:16" s="11" customFormat="1" ht="18.899999999999999" customHeight="1" x14ac:dyDescent="0.55000000000000004">
      <c r="A223" s="106"/>
      <c r="B223" s="123"/>
      <c r="C223" s="123"/>
      <c r="D223" s="123"/>
      <c r="E223" s="123"/>
      <c r="F223" s="123"/>
      <c r="G223" s="123"/>
      <c r="H223" s="123"/>
      <c r="I223" s="123"/>
      <c r="J223" s="123"/>
      <c r="K223" s="119"/>
      <c r="L223" s="119"/>
      <c r="M223" s="119"/>
      <c r="N223" s="119"/>
    </row>
    <row r="224" spans="1:16" s="11" customFormat="1" ht="18.899999999999999" customHeight="1" x14ac:dyDescent="0.55000000000000004">
      <c r="A224" s="106"/>
      <c r="B224" s="123"/>
      <c r="C224" s="123"/>
      <c r="D224" s="123"/>
      <c r="E224" s="123"/>
      <c r="F224" s="123"/>
      <c r="G224" s="123"/>
      <c r="H224" s="123"/>
      <c r="I224" s="123"/>
      <c r="J224" s="123"/>
      <c r="K224" s="119"/>
      <c r="L224" s="119"/>
      <c r="M224" s="119"/>
      <c r="N224" s="119"/>
    </row>
    <row r="225" spans="1:22" s="11" customFormat="1" ht="18.899999999999999" customHeight="1" x14ac:dyDescent="0.55000000000000004">
      <c r="A225" s="106"/>
      <c r="B225" s="123"/>
      <c r="C225" s="123"/>
      <c r="D225" s="123"/>
      <c r="E225" s="123"/>
      <c r="F225" s="123"/>
      <c r="G225" s="123"/>
      <c r="H225" s="123"/>
      <c r="I225" s="123"/>
      <c r="J225" s="123"/>
      <c r="K225" s="119"/>
      <c r="L225" s="119"/>
      <c r="M225" s="119"/>
      <c r="N225" s="119"/>
    </row>
    <row r="226" spans="1:22" s="11" customFormat="1" ht="18.899999999999999" customHeight="1" x14ac:dyDescent="0.55000000000000004">
      <c r="A226" s="106"/>
      <c r="B226" s="123"/>
      <c r="C226" s="123"/>
      <c r="D226" s="123"/>
      <c r="E226" s="123"/>
      <c r="F226" s="123"/>
      <c r="G226" s="123"/>
      <c r="H226" s="123"/>
      <c r="I226" s="123"/>
      <c r="J226" s="123"/>
      <c r="K226" s="119"/>
      <c r="L226" s="119"/>
      <c r="M226" s="119"/>
      <c r="N226" s="119"/>
    </row>
    <row r="227" spans="1:22" s="11" customFormat="1" ht="18.899999999999999" customHeight="1" x14ac:dyDescent="0.55000000000000004">
      <c r="A227" s="106"/>
      <c r="B227" s="123"/>
      <c r="C227" s="123"/>
      <c r="D227" s="123"/>
      <c r="E227" s="123"/>
      <c r="F227" s="123"/>
      <c r="G227" s="123"/>
      <c r="H227" s="123"/>
      <c r="I227" s="123"/>
      <c r="J227" s="123"/>
      <c r="K227" s="119"/>
      <c r="L227" s="119"/>
      <c r="M227" s="119"/>
      <c r="N227" s="119"/>
    </row>
    <row r="228" spans="1:22" s="11" customFormat="1" ht="18.899999999999999" customHeight="1" x14ac:dyDescent="0.55000000000000004">
      <c r="A228" s="106"/>
      <c r="B228" s="123"/>
      <c r="C228" s="123"/>
      <c r="D228" s="123"/>
      <c r="E228" s="123"/>
      <c r="F228" s="123"/>
      <c r="G228" s="123"/>
      <c r="H228" s="123"/>
      <c r="I228" s="123"/>
      <c r="J228" s="123"/>
      <c r="K228" s="119"/>
      <c r="L228" s="119"/>
      <c r="M228" s="119"/>
      <c r="N228" s="119"/>
    </row>
    <row r="229" spans="1:22" s="11" customFormat="1" ht="18.899999999999999" customHeight="1" x14ac:dyDescent="0.55000000000000004">
      <c r="A229" s="106"/>
      <c r="B229" s="123"/>
      <c r="C229" s="123"/>
      <c r="D229" s="123"/>
      <c r="E229" s="123"/>
      <c r="F229" s="123"/>
      <c r="G229" s="123"/>
      <c r="H229" s="123"/>
      <c r="I229" s="123"/>
      <c r="J229" s="123"/>
      <c r="K229" s="119"/>
      <c r="L229" s="119"/>
      <c r="M229" s="119"/>
      <c r="N229" s="119"/>
    </row>
    <row r="230" spans="1:22" s="11" customFormat="1" ht="18.899999999999999" customHeight="1" x14ac:dyDescent="0.55000000000000004">
      <c r="A230" s="106"/>
      <c r="B230" s="123"/>
      <c r="C230" s="123"/>
      <c r="D230" s="123"/>
      <c r="E230" s="123"/>
      <c r="F230" s="123"/>
      <c r="G230" s="123"/>
      <c r="H230" s="123"/>
      <c r="I230" s="123"/>
      <c r="J230" s="123"/>
      <c r="K230" s="119"/>
      <c r="L230" s="119"/>
      <c r="M230" s="119"/>
      <c r="N230" s="119"/>
    </row>
    <row r="231" spans="1:22" s="11" customFormat="1" ht="18.899999999999999" customHeight="1" x14ac:dyDescent="0.55000000000000004">
      <c r="A231" s="106"/>
      <c r="B231" s="123"/>
      <c r="C231" s="123"/>
      <c r="D231" s="123"/>
      <c r="E231" s="123"/>
      <c r="F231" s="123"/>
      <c r="G231" s="123"/>
      <c r="H231" s="123"/>
      <c r="I231" s="123"/>
      <c r="J231" s="123"/>
      <c r="K231" s="119"/>
      <c r="L231" s="119"/>
      <c r="M231" s="119"/>
      <c r="N231" s="119"/>
    </row>
    <row r="232" spans="1:22" s="11" customFormat="1" ht="18.899999999999999" customHeight="1" x14ac:dyDescent="0.55000000000000004">
      <c r="A232" s="106"/>
      <c r="B232" s="123"/>
      <c r="C232" s="123"/>
      <c r="D232" s="123"/>
      <c r="E232" s="123"/>
      <c r="F232" s="123"/>
      <c r="G232" s="123"/>
      <c r="H232" s="123"/>
      <c r="I232" s="123"/>
      <c r="J232" s="123"/>
      <c r="K232" s="119"/>
      <c r="L232" s="119"/>
      <c r="M232" s="119"/>
      <c r="N232" s="119"/>
    </row>
    <row r="233" spans="1:22" s="11" customFormat="1" ht="18.899999999999999" customHeight="1" x14ac:dyDescent="0.55000000000000004">
      <c r="A233" s="106"/>
      <c r="B233" s="123"/>
      <c r="C233" s="123"/>
      <c r="D233" s="123"/>
      <c r="E233" s="123"/>
      <c r="F233" s="123"/>
      <c r="G233" s="123"/>
      <c r="H233" s="123"/>
      <c r="I233" s="123"/>
      <c r="J233" s="123"/>
      <c r="K233" s="119"/>
      <c r="L233" s="119"/>
      <c r="M233" s="119"/>
      <c r="N233" s="119"/>
    </row>
    <row r="234" spans="1:22" s="11" customFormat="1" ht="18.899999999999999" customHeight="1" x14ac:dyDescent="0.55000000000000004">
      <c r="A234" s="106"/>
      <c r="B234" s="123"/>
      <c r="C234" s="123"/>
      <c r="D234" s="123"/>
      <c r="E234" s="123"/>
      <c r="F234" s="123"/>
      <c r="G234" s="123"/>
      <c r="H234" s="123"/>
      <c r="I234" s="123"/>
      <c r="J234" s="123"/>
      <c r="K234" s="119"/>
      <c r="L234" s="119"/>
      <c r="M234" s="119"/>
      <c r="N234" s="119"/>
    </row>
    <row r="235" spans="1:22" s="11" customFormat="1" ht="18.899999999999999" customHeight="1" x14ac:dyDescent="0.3">
      <c r="A235" s="103"/>
      <c r="B235" s="123"/>
      <c r="C235" s="123"/>
      <c r="D235" s="123"/>
      <c r="E235" s="123"/>
      <c r="F235" s="123"/>
      <c r="G235" s="123"/>
      <c r="H235" s="123"/>
      <c r="I235" s="123"/>
      <c r="J235" s="123"/>
      <c r="K235" s="119"/>
      <c r="L235" s="119"/>
      <c r="M235" s="119"/>
      <c r="N235" s="119"/>
      <c r="O235" s="4"/>
    </row>
    <row r="236" spans="1:22" s="3" customFormat="1" ht="27" customHeight="1" x14ac:dyDescent="0.3">
      <c r="A236" s="103" t="s">
        <v>65</v>
      </c>
      <c r="B236" s="60" t="s">
        <v>0</v>
      </c>
      <c r="C236" s="60" t="s">
        <v>8</v>
      </c>
      <c r="D236" s="60" t="s">
        <v>1</v>
      </c>
      <c r="E236" s="60" t="s">
        <v>9</v>
      </c>
      <c r="F236" s="60" t="s">
        <v>2</v>
      </c>
      <c r="G236" s="60" t="s">
        <v>10</v>
      </c>
      <c r="H236" s="60" t="s">
        <v>3</v>
      </c>
      <c r="I236" s="60" t="s">
        <v>11</v>
      </c>
      <c r="J236" s="60" t="s">
        <v>4</v>
      </c>
      <c r="K236" s="60" t="s">
        <v>12</v>
      </c>
      <c r="L236" s="60" t="s">
        <v>5</v>
      </c>
      <c r="M236" s="60" t="s">
        <v>14</v>
      </c>
      <c r="N236" s="60" t="s">
        <v>6</v>
      </c>
      <c r="O236" s="60" t="s">
        <v>15</v>
      </c>
      <c r="P236" s="11"/>
      <c r="Q236" s="5"/>
      <c r="U236" s="11"/>
      <c r="V236" s="11"/>
    </row>
    <row r="237" spans="1:22" s="6" customFormat="1" ht="16.5" customHeight="1" x14ac:dyDescent="0.3">
      <c r="A237" s="104" t="s">
        <v>66</v>
      </c>
      <c r="B237" s="22"/>
      <c r="C237" s="77">
        <f>IF(DAY(AugSun1)=1,AugSun1-6,AugSun1+1)</f>
        <v>44039</v>
      </c>
      <c r="D237" s="23"/>
      <c r="E237" s="77">
        <f>IF(DAY(AugSun1)=1,AugSun1-5,AugSun1+2)</f>
        <v>44040</v>
      </c>
      <c r="F237" s="23"/>
      <c r="G237" s="77">
        <f>IF(DAY(AugSun1)=1,AugSun1-4,AugSun1+3)</f>
        <v>44041</v>
      </c>
      <c r="H237" s="23"/>
      <c r="I237" s="77">
        <f>IF(DAY(AugSun1)=1,AugSun1-3,AugSun1+4)</f>
        <v>44042</v>
      </c>
      <c r="J237" s="23"/>
      <c r="K237" s="77">
        <f>IF(DAY(AugSun1)=1,AugSun1-2,AugSun1+5)</f>
        <v>44043</v>
      </c>
      <c r="L237" s="23"/>
      <c r="M237" s="77">
        <f>IF(DAY(AugSun1)=1,AugSun1-1,AugSun1+6)</f>
        <v>44044</v>
      </c>
      <c r="N237" s="23"/>
      <c r="O237" s="77">
        <f>IF(DAY(AugSun1)=1,AugSun1,AugSun1+7)</f>
        <v>44045</v>
      </c>
      <c r="P237" s="7"/>
      <c r="Q237" s="7"/>
      <c r="U237" s="8"/>
      <c r="V237" s="7"/>
    </row>
    <row r="238" spans="1:22" s="9" customFormat="1" ht="55.5" customHeight="1" x14ac:dyDescent="0.25">
      <c r="A238" s="100" t="s">
        <v>67</v>
      </c>
      <c r="B238" s="73"/>
      <c r="C238" s="78"/>
      <c r="D238" s="74"/>
      <c r="E238" s="78"/>
      <c r="F238" s="74"/>
      <c r="G238" s="78"/>
      <c r="H238" s="74"/>
      <c r="I238" s="78"/>
      <c r="J238" s="74"/>
      <c r="K238" s="78"/>
      <c r="L238" s="76"/>
      <c r="M238" s="81"/>
      <c r="N238" s="76"/>
      <c r="O238" s="81"/>
    </row>
    <row r="239" spans="1:22" s="9" customFormat="1" ht="8.25" customHeight="1" x14ac:dyDescent="0.3">
      <c r="A239" s="103"/>
      <c r="B239" s="39"/>
      <c r="C239" s="79"/>
      <c r="D239" s="39"/>
      <c r="E239" s="79"/>
      <c r="F239" s="39"/>
      <c r="G239" s="79"/>
      <c r="H239" s="39"/>
      <c r="I239" s="79"/>
      <c r="J239" s="39"/>
      <c r="K239" s="79"/>
      <c r="L239" s="40"/>
      <c r="M239" s="82"/>
      <c r="N239" s="40"/>
      <c r="O239" s="82"/>
    </row>
    <row r="240" spans="1:22" s="7" customFormat="1" ht="16.5" customHeight="1" x14ac:dyDescent="0.3">
      <c r="A240" s="104"/>
      <c r="B240" s="23"/>
      <c r="C240" s="77">
        <f>IF(DAY(AugSun1)=1,AugSun1+1,AugSun1+8)</f>
        <v>44046</v>
      </c>
      <c r="D240" s="23"/>
      <c r="E240" s="77">
        <f>IF(DAY(AugSun1)=1,AugSun1+2,AugSun1+9)</f>
        <v>44047</v>
      </c>
      <c r="F240" s="23"/>
      <c r="G240" s="77">
        <f>IF(DAY(AugSun1)=1,AugSun1+3,AugSun1+10)</f>
        <v>44048</v>
      </c>
      <c r="H240" s="23"/>
      <c r="I240" s="77">
        <f>IF(DAY(AugSun1)=1,AugSun1+4,AugSun1+11)</f>
        <v>44049</v>
      </c>
      <c r="J240" s="23"/>
      <c r="K240" s="77">
        <f>IF(DAY(AugSun1)=1,AugSun1+5,AugSun1+12)</f>
        <v>44050</v>
      </c>
      <c r="L240" s="23"/>
      <c r="M240" s="77">
        <f>IF(DAY(AugSun1)=1,AugSun1+6,AugSun1+13)</f>
        <v>44051</v>
      </c>
      <c r="N240" s="23"/>
      <c r="O240" s="77">
        <f>IF(DAY(AugSun1)=1,AugSun1+7,AugSun1+14)</f>
        <v>44052</v>
      </c>
    </row>
    <row r="241" spans="1:16" s="11" customFormat="1" ht="55.5" customHeight="1" x14ac:dyDescent="0.3">
      <c r="A241" s="103"/>
      <c r="B241" s="73"/>
      <c r="C241" s="78"/>
      <c r="D241" s="74"/>
      <c r="E241" s="78"/>
      <c r="F241" s="74" t="s">
        <v>7</v>
      </c>
      <c r="G241" s="78"/>
      <c r="H241" s="74"/>
      <c r="I241" s="78"/>
      <c r="J241" s="74"/>
      <c r="K241" s="78"/>
      <c r="L241" s="76"/>
      <c r="M241" s="81"/>
      <c r="N241" s="76"/>
      <c r="O241" s="81"/>
    </row>
    <row r="242" spans="1:16" s="11" customFormat="1" ht="8.25" customHeight="1" x14ac:dyDescent="0.3">
      <c r="A242" s="103"/>
      <c r="B242" s="39"/>
      <c r="C242" s="79"/>
      <c r="D242" s="39"/>
      <c r="E242" s="79"/>
      <c r="F242" s="39"/>
      <c r="G242" s="79"/>
      <c r="H242" s="39"/>
      <c r="I242" s="79"/>
      <c r="J242" s="39"/>
      <c r="K242" s="79"/>
      <c r="L242" s="40"/>
      <c r="M242" s="82"/>
      <c r="N242" s="40"/>
      <c r="O242" s="82"/>
    </row>
    <row r="243" spans="1:16" s="7" customFormat="1" ht="16.5" customHeight="1" x14ac:dyDescent="0.3">
      <c r="A243" s="104"/>
      <c r="B243" s="23"/>
      <c r="C243" s="77">
        <f>IF(DAY(AugSun1)=1,AugSun1+8,AugSun1+15)</f>
        <v>44053</v>
      </c>
      <c r="D243" s="23"/>
      <c r="E243" s="77">
        <f>IF(DAY(AugSun1)=1,AugSun1+9,AugSun1+16)</f>
        <v>44054</v>
      </c>
      <c r="F243" s="23"/>
      <c r="G243" s="77">
        <f>IF(DAY(AugSun1)=1,AugSun1+10,AugSun1+17)</f>
        <v>44055</v>
      </c>
      <c r="H243" s="23"/>
      <c r="I243" s="77">
        <f>IF(DAY(AugSun1)=1,AugSun1+11,AugSun1+18)</f>
        <v>44056</v>
      </c>
      <c r="J243" s="23"/>
      <c r="K243" s="77">
        <f>IF(DAY(AugSun1)=1,AugSun1+12,AugSun1+19)</f>
        <v>44057</v>
      </c>
      <c r="L243" s="23"/>
      <c r="M243" s="77">
        <f>IF(DAY(AugSun1)=1,AugSun1+13,AugSun1+20)</f>
        <v>44058</v>
      </c>
      <c r="N243" s="23"/>
      <c r="O243" s="77">
        <f>IF(DAY(AugSun1)=1,AugSun1+14,AugSun1+21)</f>
        <v>44059</v>
      </c>
    </row>
    <row r="244" spans="1:16" s="11" customFormat="1" ht="55.5" customHeight="1" x14ac:dyDescent="0.3">
      <c r="A244" s="103"/>
      <c r="B244" s="73"/>
      <c r="C244" s="78"/>
      <c r="D244" s="74"/>
      <c r="E244" s="78"/>
      <c r="F244" s="74"/>
      <c r="G244" s="78"/>
      <c r="H244" s="74"/>
      <c r="I244" s="78"/>
      <c r="J244" s="74"/>
      <c r="K244" s="78"/>
      <c r="L244" s="76"/>
      <c r="M244" s="81"/>
      <c r="N244" s="76"/>
      <c r="O244" s="81"/>
    </row>
    <row r="245" spans="1:16" s="11" customFormat="1" ht="8.25" customHeight="1" x14ac:dyDescent="0.3">
      <c r="A245" s="103"/>
      <c r="B245" s="39"/>
      <c r="C245" s="79"/>
      <c r="D245" s="39"/>
      <c r="E245" s="79"/>
      <c r="F245" s="39"/>
      <c r="G245" s="79"/>
      <c r="H245" s="39"/>
      <c r="I245" s="79"/>
      <c r="J245" s="39"/>
      <c r="K245" s="79"/>
      <c r="L245" s="40"/>
      <c r="M245" s="82"/>
      <c r="N245" s="40"/>
      <c r="O245" s="82"/>
    </row>
    <row r="246" spans="1:16" s="7" customFormat="1" ht="16.5" customHeight="1" x14ac:dyDescent="0.3">
      <c r="A246" s="104"/>
      <c r="B246" s="23"/>
      <c r="C246" s="77">
        <f>IF(DAY(AugSun1)=1,AugSun1+15,AugSun1+22)</f>
        <v>44060</v>
      </c>
      <c r="D246" s="23"/>
      <c r="E246" s="77">
        <f>IF(DAY(AugSun1)=1,AugSun1+16,AugSun1+23)</f>
        <v>44061</v>
      </c>
      <c r="F246" s="23"/>
      <c r="G246" s="77">
        <f>IF(DAY(AugSun1)=1,AugSun1+17,AugSun1+24)</f>
        <v>44062</v>
      </c>
      <c r="H246" s="23"/>
      <c r="I246" s="77">
        <f>IF(DAY(AugSun1)=1,AugSun1+18,AugSun1+25)</f>
        <v>44063</v>
      </c>
      <c r="J246" s="23"/>
      <c r="K246" s="77">
        <f>IF(DAY(AugSun1)=1,AugSun1+19,AugSun1+26)</f>
        <v>44064</v>
      </c>
      <c r="L246" s="23"/>
      <c r="M246" s="77">
        <f>IF(DAY(AugSun1)=1,AugSun1+20,AugSun1+27)</f>
        <v>44065</v>
      </c>
      <c r="N246" s="23"/>
      <c r="O246" s="77">
        <f>IF(DAY(AugSun1)=1,AugSun1+21,AugSun1+28)</f>
        <v>44066</v>
      </c>
    </row>
    <row r="247" spans="1:16" s="11" customFormat="1" ht="55.5" customHeight="1" x14ac:dyDescent="0.3">
      <c r="A247" s="103"/>
      <c r="B247" s="73"/>
      <c r="C247" s="78"/>
      <c r="D247" s="74"/>
      <c r="E247" s="78"/>
      <c r="F247" s="74"/>
      <c r="G247" s="78"/>
      <c r="H247" s="74"/>
      <c r="I247" s="78"/>
      <c r="J247" s="74"/>
      <c r="K247" s="78"/>
      <c r="L247" s="76"/>
      <c r="M247" s="81"/>
      <c r="N247" s="76"/>
      <c r="O247" s="81"/>
    </row>
    <row r="248" spans="1:16" s="11" customFormat="1" ht="8.25" customHeight="1" x14ac:dyDescent="0.3">
      <c r="A248" s="103"/>
      <c r="B248" s="39"/>
      <c r="C248" s="79"/>
      <c r="D248" s="39"/>
      <c r="E248" s="79"/>
      <c r="F248" s="39"/>
      <c r="G248" s="79"/>
      <c r="H248" s="39"/>
      <c r="I248" s="79"/>
      <c r="J248" s="39"/>
      <c r="K248" s="79"/>
      <c r="L248" s="40"/>
      <c r="M248" s="82"/>
      <c r="N248" s="40"/>
      <c r="O248" s="82"/>
    </row>
    <row r="249" spans="1:16" s="7" customFormat="1" ht="16.5" customHeight="1" x14ac:dyDescent="0.3">
      <c r="A249" s="104"/>
      <c r="B249" s="23"/>
      <c r="C249" s="77">
        <f>IF(DAY(AugSun1)=1,AugSun1+22,AugSun1+29)</f>
        <v>44067</v>
      </c>
      <c r="D249" s="23"/>
      <c r="E249" s="77">
        <f>IF(DAY(AugSun1)=1,AugSun1+23,AugSun1+30)</f>
        <v>44068</v>
      </c>
      <c r="F249" s="23"/>
      <c r="G249" s="77">
        <f>IF(DAY(AugSun1)=1,AugSun1+24,AugSun1+31)</f>
        <v>44069</v>
      </c>
      <c r="H249" s="23"/>
      <c r="I249" s="77">
        <f>IF(DAY(AugSun1)=1,AugSun1+25,AugSun1+32)</f>
        <v>44070</v>
      </c>
      <c r="J249" s="23"/>
      <c r="K249" s="77">
        <f>IF(DAY(AugSun1)=1,AugSun1+26,AugSun1+33)</f>
        <v>44071</v>
      </c>
      <c r="L249" s="23"/>
      <c r="M249" s="77">
        <f>IF(DAY(AugSun1)=1,AugSun1+27,AugSun1+34)</f>
        <v>44072</v>
      </c>
      <c r="N249" s="23"/>
      <c r="O249" s="77">
        <f>IF(DAY(AugSun1)=1,AugSun1+28,AugSun1+35)</f>
        <v>44073</v>
      </c>
    </row>
    <row r="250" spans="1:16" s="11" customFormat="1" ht="55.5" customHeight="1" x14ac:dyDescent="0.3">
      <c r="A250" s="103"/>
      <c r="B250" s="73"/>
      <c r="C250" s="78"/>
      <c r="D250" s="74"/>
      <c r="E250" s="78"/>
      <c r="F250" s="74"/>
      <c r="G250" s="78"/>
      <c r="H250" s="74"/>
      <c r="I250" s="78"/>
      <c r="J250" s="74"/>
      <c r="K250" s="78"/>
      <c r="L250" s="76"/>
      <c r="M250" s="81"/>
      <c r="N250" s="76"/>
      <c r="O250" s="81"/>
    </row>
    <row r="251" spans="1:16" s="11" customFormat="1" ht="8.25" customHeight="1" x14ac:dyDescent="0.3">
      <c r="A251" s="103"/>
      <c r="B251" s="39"/>
      <c r="C251" s="79"/>
      <c r="D251" s="39"/>
      <c r="E251" s="79"/>
      <c r="F251" s="39"/>
      <c r="G251" s="79"/>
      <c r="H251" s="39"/>
      <c r="I251" s="79"/>
      <c r="J251" s="39"/>
      <c r="K251" s="79"/>
      <c r="L251" s="40"/>
      <c r="M251" s="82"/>
      <c r="N251" s="40"/>
      <c r="O251" s="82"/>
    </row>
    <row r="252" spans="1:16" s="7" customFormat="1" ht="16.5" customHeight="1" x14ac:dyDescent="0.3">
      <c r="A252" s="104"/>
      <c r="B252" s="23"/>
      <c r="C252" s="77">
        <f>IF(DAY(AugSun1)=1,AugSun1+29,AugSun1+36)</f>
        <v>44074</v>
      </c>
      <c r="D252" s="23"/>
      <c r="E252" s="77">
        <f>IF(DAY(AugSun1)=1,AugSun1+30,AugSun1+37)</f>
        <v>44075</v>
      </c>
      <c r="F252" s="23"/>
      <c r="G252" s="77">
        <f>IF(DAY(AugSun1)=1,AugSun1+31,AugSun1+38)</f>
        <v>44076</v>
      </c>
      <c r="H252" s="23"/>
      <c r="I252" s="77">
        <f>IF(DAY(AugSun1)=1,AugSun1+32,AugSun1+39)</f>
        <v>44077</v>
      </c>
      <c r="J252" s="23"/>
      <c r="K252" s="77">
        <f>IF(DAY(AugSun1)=1,AugSun1+33,AugSun1+40)</f>
        <v>44078</v>
      </c>
      <c r="L252" s="23"/>
      <c r="M252" s="77">
        <f>IF(DAY(AugSun1)=1,AugSun1+34,AugSun1+41)</f>
        <v>44079</v>
      </c>
      <c r="N252" s="23"/>
      <c r="O252" s="77">
        <f>IF(DAY(AugSun1)=1,AugSun1+35,AugSun1+42)</f>
        <v>44080</v>
      </c>
    </row>
    <row r="253" spans="1:16" s="11" customFormat="1" ht="55.5" customHeight="1" x14ac:dyDescent="0.3">
      <c r="A253" s="103"/>
      <c r="B253" s="73"/>
      <c r="C253" s="78"/>
      <c r="D253" s="74"/>
      <c r="E253" s="78"/>
      <c r="F253" s="75"/>
      <c r="G253" s="80"/>
      <c r="H253" s="75"/>
      <c r="I253" s="80"/>
      <c r="J253" s="75"/>
      <c r="K253" s="80"/>
      <c r="L253" s="75"/>
      <c r="M253" s="80"/>
      <c r="N253" s="75"/>
      <c r="O253" s="80"/>
    </row>
    <row r="254" spans="1:16" s="11" customFormat="1" ht="7.5" customHeight="1" x14ac:dyDescent="0.3">
      <c r="A254" s="105"/>
      <c r="B254" s="12"/>
      <c r="C254" s="12"/>
      <c r="D254" s="12"/>
      <c r="E254" s="12"/>
      <c r="F254" s="12"/>
      <c r="G254" s="12"/>
      <c r="H254" s="12"/>
      <c r="I254" s="12"/>
      <c r="J254" s="12"/>
      <c r="K254" s="12"/>
      <c r="L254" s="12"/>
      <c r="M254" s="12"/>
      <c r="N254" s="12"/>
      <c r="O254" s="12"/>
    </row>
    <row r="255" spans="1:16" s="11" customFormat="1" x14ac:dyDescent="0.3">
      <c r="A255" s="105"/>
    </row>
    <row r="256" spans="1:16" s="11" customFormat="1" ht="54" customHeight="1" x14ac:dyDescent="0.3">
      <c r="A256" s="105" t="s">
        <v>68</v>
      </c>
      <c r="B256" s="137" t="str">
        <f>TEXT(DATE(CalendarYear,9,1),"mmmm")</f>
        <v>September</v>
      </c>
      <c r="C256" s="137"/>
      <c r="D256" s="137"/>
      <c r="E256" s="137"/>
      <c r="F256" s="137"/>
      <c r="G256" s="137"/>
      <c r="H256" s="137"/>
      <c r="I256" s="137"/>
      <c r="J256" s="120" t="s">
        <v>34</v>
      </c>
      <c r="K256" s="121"/>
      <c r="L256" s="121"/>
      <c r="M256" s="127">
        <f>CalendarYear</f>
        <v>2020</v>
      </c>
      <c r="N256" s="127"/>
      <c r="O256" s="127"/>
      <c r="P256" s="127"/>
    </row>
    <row r="257" spans="1:22" s="11" customFormat="1" ht="18.899999999999999" customHeight="1" x14ac:dyDescent="0.3">
      <c r="A257" s="100" t="s">
        <v>69</v>
      </c>
      <c r="B257" s="123"/>
      <c r="C257" s="123"/>
      <c r="D257" s="123"/>
      <c r="E257" s="123"/>
      <c r="F257" s="123"/>
      <c r="G257" s="123"/>
      <c r="H257" s="123"/>
      <c r="I257" s="123"/>
      <c r="J257" s="123"/>
      <c r="K257" s="118" t="s">
        <v>30</v>
      </c>
      <c r="L257" s="119"/>
      <c r="M257" s="119"/>
      <c r="N257" s="119"/>
    </row>
    <row r="258" spans="1:22" s="11" customFormat="1" ht="18.899999999999999" customHeight="1" x14ac:dyDescent="0.55000000000000004">
      <c r="A258" s="106"/>
      <c r="B258" s="123"/>
      <c r="C258" s="123"/>
      <c r="D258" s="123"/>
      <c r="E258" s="123"/>
      <c r="F258" s="123"/>
      <c r="G258" s="123"/>
      <c r="H258" s="123"/>
      <c r="I258" s="123"/>
      <c r="J258" s="123"/>
      <c r="K258" s="119"/>
      <c r="L258" s="119"/>
      <c r="M258" s="119"/>
      <c r="N258" s="119"/>
    </row>
    <row r="259" spans="1:22" s="11" customFormat="1" ht="18.899999999999999" customHeight="1" x14ac:dyDescent="0.55000000000000004">
      <c r="A259" s="106"/>
      <c r="B259" s="123"/>
      <c r="C259" s="123"/>
      <c r="D259" s="123"/>
      <c r="E259" s="123"/>
      <c r="F259" s="123"/>
      <c r="G259" s="123"/>
      <c r="H259" s="123"/>
      <c r="I259" s="123"/>
      <c r="J259" s="123"/>
      <c r="K259" s="119"/>
      <c r="L259" s="119"/>
      <c r="M259" s="119"/>
      <c r="N259" s="119"/>
    </row>
    <row r="260" spans="1:22" s="11" customFormat="1" ht="18.899999999999999" customHeight="1" x14ac:dyDescent="0.55000000000000004">
      <c r="A260" s="106"/>
      <c r="B260" s="123"/>
      <c r="C260" s="123"/>
      <c r="D260" s="123"/>
      <c r="E260" s="123"/>
      <c r="F260" s="123"/>
      <c r="G260" s="123"/>
      <c r="H260" s="123"/>
      <c r="I260" s="123"/>
      <c r="J260" s="123"/>
      <c r="K260" s="119"/>
      <c r="L260" s="119"/>
      <c r="M260" s="119"/>
      <c r="N260" s="119"/>
    </row>
    <row r="261" spans="1:22" s="11" customFormat="1" ht="18.899999999999999" customHeight="1" x14ac:dyDescent="0.55000000000000004">
      <c r="A261" s="106"/>
      <c r="B261" s="123"/>
      <c r="C261" s="123"/>
      <c r="D261" s="123"/>
      <c r="E261" s="123"/>
      <c r="F261" s="123"/>
      <c r="G261" s="123"/>
      <c r="H261" s="123"/>
      <c r="I261" s="123"/>
      <c r="J261" s="123"/>
      <c r="K261" s="119"/>
      <c r="L261" s="119"/>
      <c r="M261" s="119"/>
      <c r="N261" s="119"/>
    </row>
    <row r="262" spans="1:22" s="11" customFormat="1" ht="18.899999999999999" customHeight="1" x14ac:dyDescent="0.55000000000000004">
      <c r="A262" s="106"/>
      <c r="B262" s="123"/>
      <c r="C262" s="123"/>
      <c r="D262" s="123"/>
      <c r="E262" s="123"/>
      <c r="F262" s="123"/>
      <c r="G262" s="123"/>
      <c r="H262" s="123"/>
      <c r="I262" s="123"/>
      <c r="J262" s="123"/>
      <c r="K262" s="119"/>
      <c r="L262" s="119"/>
      <c r="M262" s="119"/>
      <c r="N262" s="119"/>
    </row>
    <row r="263" spans="1:22" s="11" customFormat="1" ht="18.899999999999999" customHeight="1" x14ac:dyDescent="0.55000000000000004">
      <c r="A263" s="106"/>
      <c r="B263" s="123"/>
      <c r="C263" s="123"/>
      <c r="D263" s="123"/>
      <c r="E263" s="123"/>
      <c r="F263" s="123"/>
      <c r="G263" s="123"/>
      <c r="H263" s="123"/>
      <c r="I263" s="123"/>
      <c r="J263" s="123"/>
      <c r="K263" s="119"/>
      <c r="L263" s="119"/>
      <c r="M263" s="119"/>
      <c r="N263" s="119"/>
    </row>
    <row r="264" spans="1:22" s="11" customFormat="1" ht="18.899999999999999" customHeight="1" x14ac:dyDescent="0.55000000000000004">
      <c r="A264" s="106"/>
      <c r="B264" s="123"/>
      <c r="C264" s="123"/>
      <c r="D264" s="123"/>
      <c r="E264" s="123"/>
      <c r="F264" s="123"/>
      <c r="G264" s="123"/>
      <c r="H264" s="123"/>
      <c r="I264" s="123"/>
      <c r="J264" s="123"/>
      <c r="K264" s="119"/>
      <c r="L264" s="119"/>
      <c r="M264" s="119"/>
      <c r="N264" s="119"/>
    </row>
    <row r="265" spans="1:22" s="11" customFormat="1" ht="18.899999999999999" customHeight="1" x14ac:dyDescent="0.55000000000000004">
      <c r="A265" s="106"/>
      <c r="B265" s="123"/>
      <c r="C265" s="123"/>
      <c r="D265" s="123"/>
      <c r="E265" s="123"/>
      <c r="F265" s="123"/>
      <c r="G265" s="123"/>
      <c r="H265" s="123"/>
      <c r="I265" s="123"/>
      <c r="J265" s="123"/>
      <c r="K265" s="119"/>
      <c r="L265" s="119"/>
      <c r="M265" s="119"/>
      <c r="N265" s="119"/>
    </row>
    <row r="266" spans="1:22" s="11" customFormat="1" ht="18.899999999999999" customHeight="1" x14ac:dyDescent="0.55000000000000004">
      <c r="A266" s="106"/>
      <c r="B266" s="123"/>
      <c r="C266" s="123"/>
      <c r="D266" s="123"/>
      <c r="E266" s="123"/>
      <c r="F266" s="123"/>
      <c r="G266" s="123"/>
      <c r="H266" s="123"/>
      <c r="I266" s="123"/>
      <c r="J266" s="123"/>
      <c r="K266" s="119"/>
      <c r="L266" s="119"/>
      <c r="M266" s="119"/>
      <c r="N266" s="119"/>
    </row>
    <row r="267" spans="1:22" s="11" customFormat="1" ht="18.899999999999999" customHeight="1" x14ac:dyDescent="0.55000000000000004">
      <c r="A267" s="106"/>
      <c r="B267" s="123"/>
      <c r="C267" s="123"/>
      <c r="D267" s="123"/>
      <c r="E267" s="123"/>
      <c r="F267" s="123"/>
      <c r="G267" s="123"/>
      <c r="H267" s="123"/>
      <c r="I267" s="123"/>
      <c r="J267" s="123"/>
      <c r="K267" s="119"/>
      <c r="L267" s="119"/>
      <c r="M267" s="119"/>
      <c r="N267" s="119"/>
    </row>
    <row r="268" spans="1:22" s="11" customFormat="1" ht="18.899999999999999" customHeight="1" x14ac:dyDescent="0.55000000000000004">
      <c r="A268" s="106"/>
      <c r="B268" s="123"/>
      <c r="C268" s="123"/>
      <c r="D268" s="123"/>
      <c r="E268" s="123"/>
      <c r="F268" s="123"/>
      <c r="G268" s="123"/>
      <c r="H268" s="123"/>
      <c r="I268" s="123"/>
      <c r="J268" s="123"/>
      <c r="K268" s="119"/>
      <c r="L268" s="119"/>
      <c r="M268" s="119"/>
      <c r="N268" s="119"/>
    </row>
    <row r="269" spans="1:22" s="11" customFormat="1" ht="18.899999999999999" customHeight="1" x14ac:dyDescent="0.55000000000000004">
      <c r="A269" s="106"/>
      <c r="B269" s="123"/>
      <c r="C269" s="123"/>
      <c r="D269" s="123"/>
      <c r="E269" s="123"/>
      <c r="F269" s="123"/>
      <c r="G269" s="123"/>
      <c r="H269" s="123"/>
      <c r="I269" s="123"/>
      <c r="J269" s="123"/>
      <c r="K269" s="119"/>
      <c r="L269" s="119"/>
      <c r="M269" s="119"/>
      <c r="N269" s="119"/>
    </row>
    <row r="270" spans="1:22" s="11" customFormat="1" ht="18.899999999999999" customHeight="1" x14ac:dyDescent="0.55000000000000004">
      <c r="A270" s="106"/>
      <c r="B270" s="123"/>
      <c r="C270" s="123"/>
      <c r="D270" s="123"/>
      <c r="E270" s="123"/>
      <c r="F270" s="123"/>
      <c r="G270" s="123"/>
      <c r="H270" s="123"/>
      <c r="I270" s="123"/>
      <c r="J270" s="123"/>
      <c r="K270" s="119"/>
      <c r="L270" s="119"/>
      <c r="M270" s="119"/>
      <c r="N270" s="119"/>
    </row>
    <row r="271" spans="1:22" s="11" customFormat="1" ht="18.899999999999999" customHeight="1" x14ac:dyDescent="0.3">
      <c r="A271" s="103"/>
      <c r="B271" s="123"/>
      <c r="C271" s="123"/>
      <c r="D271" s="123"/>
      <c r="E271" s="123"/>
      <c r="F271" s="123"/>
      <c r="G271" s="123"/>
      <c r="H271" s="123"/>
      <c r="I271" s="123"/>
      <c r="J271" s="123"/>
      <c r="K271" s="119"/>
      <c r="L271" s="119"/>
      <c r="M271" s="119"/>
      <c r="N271" s="119"/>
      <c r="O271" s="4"/>
    </row>
    <row r="272" spans="1:22" s="3" customFormat="1" ht="27" customHeight="1" x14ac:dyDescent="0.3">
      <c r="A272" s="103" t="s">
        <v>70</v>
      </c>
      <c r="B272" s="41" t="s">
        <v>0</v>
      </c>
      <c r="C272" s="41" t="s">
        <v>8</v>
      </c>
      <c r="D272" s="41" t="s">
        <v>1</v>
      </c>
      <c r="E272" s="41" t="s">
        <v>9</v>
      </c>
      <c r="F272" s="41" t="s">
        <v>2</v>
      </c>
      <c r="G272" s="41" t="s">
        <v>10</v>
      </c>
      <c r="H272" s="41" t="s">
        <v>3</v>
      </c>
      <c r="I272" s="41" t="s">
        <v>11</v>
      </c>
      <c r="J272" s="41" t="s">
        <v>4</v>
      </c>
      <c r="K272" s="41" t="s">
        <v>12</v>
      </c>
      <c r="L272" s="41" t="s">
        <v>5</v>
      </c>
      <c r="M272" s="41" t="s">
        <v>13</v>
      </c>
      <c r="N272" s="41" t="s">
        <v>6</v>
      </c>
      <c r="O272" s="41" t="s">
        <v>16</v>
      </c>
      <c r="P272" s="11"/>
      <c r="Q272" s="5"/>
      <c r="U272" s="11"/>
      <c r="V272" s="11"/>
    </row>
    <row r="273" spans="1:22" s="6" customFormat="1" ht="16.5" customHeight="1" x14ac:dyDescent="0.3">
      <c r="A273" s="104" t="s">
        <v>71</v>
      </c>
      <c r="B273" s="18"/>
      <c r="C273" s="87">
        <f>IF(DAY(SepSun1)=1,SepSun1-6,SepSun1+1)</f>
        <v>44074</v>
      </c>
      <c r="D273" s="19"/>
      <c r="E273" s="87">
        <f>IF(DAY(SepSun1)=1,SepSun1-5,SepSun1+2)</f>
        <v>44075</v>
      </c>
      <c r="F273" s="19"/>
      <c r="G273" s="87">
        <f>IF(DAY(SepSun1)=1,SepSun1-4,SepSun1+3)</f>
        <v>44076</v>
      </c>
      <c r="H273" s="19"/>
      <c r="I273" s="87">
        <f>IF(DAY(SepSun1)=1,SepSun1-3,SepSun1+4)</f>
        <v>44077</v>
      </c>
      <c r="J273" s="19"/>
      <c r="K273" s="87">
        <f>IF(DAY(SepSun1)=1,SepSun1-2,SepSun1+5)</f>
        <v>44078</v>
      </c>
      <c r="L273" s="19"/>
      <c r="M273" s="87">
        <f>IF(DAY(SepSun1)=1,SepSun1-1,SepSun1+6)</f>
        <v>44079</v>
      </c>
      <c r="N273" s="19"/>
      <c r="O273" s="87">
        <f>IF(DAY(SepSun1)=1,SepSun1,SepSun1+7)</f>
        <v>44080</v>
      </c>
      <c r="P273" s="7"/>
      <c r="Q273" s="7"/>
      <c r="U273" s="8"/>
      <c r="V273" s="7"/>
    </row>
    <row r="274" spans="1:22" s="9" customFormat="1" ht="55.5" customHeight="1" x14ac:dyDescent="0.25">
      <c r="A274" s="100" t="s">
        <v>72</v>
      </c>
      <c r="B274" s="83"/>
      <c r="C274" s="88"/>
      <c r="D274" s="84"/>
      <c r="E274" s="88"/>
      <c r="F274" s="84"/>
      <c r="G274" s="88"/>
      <c r="H274" s="84"/>
      <c r="I274" s="88"/>
      <c r="J274" s="84"/>
      <c r="K274" s="88"/>
      <c r="L274" s="86"/>
      <c r="M274" s="91"/>
      <c r="N274" s="86"/>
      <c r="O274" s="91"/>
    </row>
    <row r="275" spans="1:22" s="9" customFormat="1" ht="8.25" customHeight="1" x14ac:dyDescent="0.3">
      <c r="A275" s="103"/>
      <c r="B275" s="42"/>
      <c r="C275" s="89"/>
      <c r="D275" s="42"/>
      <c r="E275" s="89"/>
      <c r="F275" s="42"/>
      <c r="G275" s="89"/>
      <c r="H275" s="42"/>
      <c r="I275" s="89"/>
      <c r="J275" s="42"/>
      <c r="K275" s="89"/>
      <c r="L275" s="43"/>
      <c r="M275" s="92"/>
      <c r="N275" s="43"/>
      <c r="O275" s="92"/>
    </row>
    <row r="276" spans="1:22" s="7" customFormat="1" ht="16.5" customHeight="1" x14ac:dyDescent="0.3">
      <c r="A276" s="104"/>
      <c r="B276" s="19"/>
      <c r="C276" s="87">
        <f>IF(DAY(SepSun1)=1,SepSun1+1,SepSun1+8)</f>
        <v>44081</v>
      </c>
      <c r="D276" s="19"/>
      <c r="E276" s="87">
        <f>IF(DAY(SepSun1)=1,SepSun1+2,SepSun1+9)</f>
        <v>44082</v>
      </c>
      <c r="F276" s="19"/>
      <c r="G276" s="87">
        <f>IF(DAY(SepSun1)=1,SepSun1+3,SepSun1+10)</f>
        <v>44083</v>
      </c>
      <c r="H276" s="19"/>
      <c r="I276" s="87">
        <f>IF(DAY(SepSun1)=1,SepSun1+4,SepSun1+11)</f>
        <v>44084</v>
      </c>
      <c r="J276" s="19"/>
      <c r="K276" s="87">
        <f>IF(DAY(SepSun1)=1,SepSun1+5,SepSun1+12)</f>
        <v>44085</v>
      </c>
      <c r="L276" s="19"/>
      <c r="M276" s="87">
        <f>IF(DAY(SepSun1)=1,SepSun1+6,SepSun1+13)</f>
        <v>44086</v>
      </c>
      <c r="N276" s="19"/>
      <c r="O276" s="87">
        <f>IF(DAY(SepSun1)=1,SepSun1+7,SepSun1+14)</f>
        <v>44087</v>
      </c>
    </row>
    <row r="277" spans="1:22" s="11" customFormat="1" ht="55.5" customHeight="1" x14ac:dyDescent="0.3">
      <c r="A277" s="103"/>
      <c r="B277" s="83"/>
      <c r="C277" s="88"/>
      <c r="D277" s="84"/>
      <c r="E277" s="88"/>
      <c r="F277" s="84" t="s">
        <v>7</v>
      </c>
      <c r="G277" s="88"/>
      <c r="H277" s="84"/>
      <c r="I277" s="88"/>
      <c r="J277" s="84"/>
      <c r="K277" s="88"/>
      <c r="L277" s="86"/>
      <c r="M277" s="91"/>
      <c r="N277" s="86"/>
      <c r="O277" s="91"/>
    </row>
    <row r="278" spans="1:22" s="11" customFormat="1" ht="8.25" customHeight="1" x14ac:dyDescent="0.3">
      <c r="A278" s="103"/>
      <c r="B278" s="42"/>
      <c r="C278" s="89"/>
      <c r="D278" s="42"/>
      <c r="E278" s="89"/>
      <c r="F278" s="42"/>
      <c r="G278" s="89"/>
      <c r="H278" s="42"/>
      <c r="I278" s="89"/>
      <c r="J278" s="42"/>
      <c r="K278" s="89"/>
      <c r="L278" s="43"/>
      <c r="M278" s="92"/>
      <c r="N278" s="43"/>
      <c r="O278" s="92"/>
    </row>
    <row r="279" spans="1:22" s="7" customFormat="1" ht="16.5" customHeight="1" x14ac:dyDescent="0.3">
      <c r="A279" s="104"/>
      <c r="B279" s="19"/>
      <c r="C279" s="87">
        <f>IF(DAY(SepSun1)=1,SepSun1+8,SepSun1+15)</f>
        <v>44088</v>
      </c>
      <c r="D279" s="19"/>
      <c r="E279" s="87">
        <f>IF(DAY(SepSun1)=1,SepSun1+9,SepSun1+16)</f>
        <v>44089</v>
      </c>
      <c r="F279" s="19"/>
      <c r="G279" s="87">
        <f>IF(DAY(SepSun1)=1,SepSun1+10,SepSun1+17)</f>
        <v>44090</v>
      </c>
      <c r="H279" s="19"/>
      <c r="I279" s="87">
        <f>IF(DAY(SepSun1)=1,SepSun1+11,SepSun1+18)</f>
        <v>44091</v>
      </c>
      <c r="J279" s="19"/>
      <c r="K279" s="87">
        <f>IF(DAY(SepSun1)=1,SepSun1+12,SepSun1+19)</f>
        <v>44092</v>
      </c>
      <c r="L279" s="19"/>
      <c r="M279" s="87">
        <f>IF(DAY(SepSun1)=1,SepSun1+13,SepSun1+20)</f>
        <v>44093</v>
      </c>
      <c r="N279" s="19"/>
      <c r="O279" s="87">
        <f>IF(DAY(SepSun1)=1,SepSun1+14,SepSun1+21)</f>
        <v>44094</v>
      </c>
    </row>
    <row r="280" spans="1:22" s="11" customFormat="1" ht="55.5" customHeight="1" x14ac:dyDescent="0.3">
      <c r="A280" s="103"/>
      <c r="B280" s="83"/>
      <c r="C280" s="88"/>
      <c r="D280" s="84"/>
      <c r="E280" s="88"/>
      <c r="F280" s="84"/>
      <c r="G280" s="88"/>
      <c r="H280" s="84"/>
      <c r="I280" s="88"/>
      <c r="J280" s="83"/>
      <c r="K280" s="88"/>
      <c r="L280" s="86"/>
      <c r="M280" s="91"/>
      <c r="N280" s="86"/>
      <c r="O280" s="91"/>
    </row>
    <row r="281" spans="1:22" s="11" customFormat="1" ht="8.25" customHeight="1" x14ac:dyDescent="0.3">
      <c r="A281" s="103"/>
      <c r="B281" s="42"/>
      <c r="C281" s="89"/>
      <c r="D281" s="42"/>
      <c r="E281" s="89"/>
      <c r="F281" s="42"/>
      <c r="G281" s="89"/>
      <c r="H281" s="42"/>
      <c r="I281" s="89"/>
      <c r="J281" s="42"/>
      <c r="K281" s="89"/>
      <c r="L281" s="43"/>
      <c r="M281" s="92"/>
      <c r="N281" s="43"/>
      <c r="O281" s="92"/>
    </row>
    <row r="282" spans="1:22" s="7" customFormat="1" ht="16.5" customHeight="1" x14ac:dyDescent="0.3">
      <c r="A282" s="104"/>
      <c r="B282" s="19"/>
      <c r="C282" s="87">
        <f>IF(DAY(SepSun1)=1,SepSun1+15,SepSun1+22)</f>
        <v>44095</v>
      </c>
      <c r="D282" s="19"/>
      <c r="E282" s="87">
        <f>IF(DAY(SepSun1)=1,SepSun1+16,SepSun1+23)</f>
        <v>44096</v>
      </c>
      <c r="F282" s="19"/>
      <c r="G282" s="87">
        <f>IF(DAY(SepSun1)=1,SepSun1+17,SepSun1+24)</f>
        <v>44097</v>
      </c>
      <c r="H282" s="19"/>
      <c r="I282" s="87">
        <f>IF(DAY(SepSun1)=1,SepSun1+18,SepSun1+25)</f>
        <v>44098</v>
      </c>
      <c r="J282" s="19"/>
      <c r="K282" s="87">
        <f>IF(DAY(SepSun1)=1,SepSun1+19,SepSun1+26)</f>
        <v>44099</v>
      </c>
      <c r="L282" s="19"/>
      <c r="M282" s="87">
        <f>IF(DAY(SepSun1)=1,SepSun1+20,SepSun1+27)</f>
        <v>44100</v>
      </c>
      <c r="N282" s="19"/>
      <c r="O282" s="87">
        <f>IF(DAY(SepSun1)=1,SepSun1+21,SepSun1+28)</f>
        <v>44101</v>
      </c>
    </row>
    <row r="283" spans="1:22" s="11" customFormat="1" ht="55.5" customHeight="1" x14ac:dyDescent="0.3">
      <c r="A283" s="103"/>
      <c r="B283" s="83"/>
      <c r="C283" s="88"/>
      <c r="D283" s="84"/>
      <c r="E283" s="88"/>
      <c r="F283" s="84"/>
      <c r="G283" s="88"/>
      <c r="H283" s="84"/>
      <c r="I283" s="88"/>
      <c r="J283" s="84"/>
      <c r="K283" s="88"/>
      <c r="L283" s="86"/>
      <c r="M283" s="91"/>
      <c r="N283" s="86"/>
      <c r="O283" s="91"/>
    </row>
    <row r="284" spans="1:22" s="11" customFormat="1" ht="8.25" customHeight="1" x14ac:dyDescent="0.3">
      <c r="A284" s="103"/>
      <c r="B284" s="42"/>
      <c r="C284" s="89"/>
      <c r="D284" s="42"/>
      <c r="E284" s="89"/>
      <c r="F284" s="42"/>
      <c r="G284" s="89"/>
      <c r="H284" s="42"/>
      <c r="I284" s="89"/>
      <c r="J284" s="42"/>
      <c r="K284" s="89"/>
      <c r="L284" s="43"/>
      <c r="M284" s="92"/>
      <c r="N284" s="43"/>
      <c r="O284" s="92"/>
    </row>
    <row r="285" spans="1:22" s="7" customFormat="1" ht="16.5" customHeight="1" x14ac:dyDescent="0.3">
      <c r="A285" s="104"/>
      <c r="B285" s="19"/>
      <c r="C285" s="87">
        <f>IF(DAY(SepSun1)=1,SepSun1+22,SepSun1+29)</f>
        <v>44102</v>
      </c>
      <c r="D285" s="19"/>
      <c r="E285" s="87">
        <f>IF(DAY(SepSun1)=1,SepSun1+23,SepSun1+30)</f>
        <v>44103</v>
      </c>
      <c r="F285" s="19"/>
      <c r="G285" s="87">
        <f>IF(DAY(SepSun1)=1,SepSun1+24,SepSun1+31)</f>
        <v>44104</v>
      </c>
      <c r="H285" s="19"/>
      <c r="I285" s="87">
        <f>IF(DAY(SepSun1)=1,SepSun1+25,SepSun1+32)</f>
        <v>44105</v>
      </c>
      <c r="J285" s="19"/>
      <c r="K285" s="87">
        <f>IF(DAY(SepSun1)=1,SepSun1+26,SepSun1+33)</f>
        <v>44106</v>
      </c>
      <c r="L285" s="19"/>
      <c r="M285" s="87">
        <f>IF(DAY(SepSun1)=1,SepSun1+27,SepSun1+34)</f>
        <v>44107</v>
      </c>
      <c r="N285" s="19"/>
      <c r="O285" s="87">
        <f>IF(DAY(SepSun1)=1,SepSun1+28,SepSun1+35)</f>
        <v>44108</v>
      </c>
    </row>
    <row r="286" spans="1:22" s="11" customFormat="1" ht="55.5" customHeight="1" x14ac:dyDescent="0.3">
      <c r="A286" s="103"/>
      <c r="B286" s="83"/>
      <c r="C286" s="88"/>
      <c r="D286" s="84"/>
      <c r="E286" s="88"/>
      <c r="F286" s="84"/>
      <c r="G286" s="88"/>
      <c r="H286" s="84"/>
      <c r="I286" s="88"/>
      <c r="J286" s="84"/>
      <c r="K286" s="88"/>
      <c r="L286" s="86"/>
      <c r="M286" s="91"/>
      <c r="N286" s="86"/>
      <c r="O286" s="91"/>
    </row>
    <row r="287" spans="1:22" s="11" customFormat="1" ht="8.25" customHeight="1" x14ac:dyDescent="0.3">
      <c r="A287" s="103"/>
      <c r="B287" s="42"/>
      <c r="C287" s="89"/>
      <c r="D287" s="42"/>
      <c r="E287" s="89"/>
      <c r="F287" s="42"/>
      <c r="G287" s="89"/>
      <c r="H287" s="42"/>
      <c r="I287" s="89"/>
      <c r="J287" s="42"/>
      <c r="K287" s="89"/>
      <c r="L287" s="43"/>
      <c r="M287" s="92"/>
      <c r="N287" s="43"/>
      <c r="O287" s="92"/>
    </row>
    <row r="288" spans="1:22" s="7" customFormat="1" ht="16.5" customHeight="1" x14ac:dyDescent="0.3">
      <c r="A288" s="104"/>
      <c r="B288" s="19"/>
      <c r="C288" s="87">
        <f>IF(DAY(SepSun1)=1,SepSun1+29,SepSun1+36)</f>
        <v>44109</v>
      </c>
      <c r="D288" s="19"/>
      <c r="E288" s="87">
        <f>IF(DAY(SepSun1)=1,SepSun1+30,SepSun1+37)</f>
        <v>44110</v>
      </c>
      <c r="F288" s="19"/>
      <c r="G288" s="87">
        <f>IF(DAY(SepSun1)=1,SepSun1+31,SepSun1+38)</f>
        <v>44111</v>
      </c>
      <c r="H288" s="19"/>
      <c r="I288" s="87">
        <f>IF(DAY(SepSun1)=1,SepSun1+32,SepSun1+39)</f>
        <v>44112</v>
      </c>
      <c r="J288" s="19"/>
      <c r="K288" s="87">
        <f>IF(DAY(SepSun1)=1,SepSun1+33,SepSun1+40)</f>
        <v>44113</v>
      </c>
      <c r="L288" s="19"/>
      <c r="M288" s="87">
        <f>IF(DAY(SepSun1)=1,SepSun1+34,SepSun1+41)</f>
        <v>44114</v>
      </c>
      <c r="N288" s="19"/>
      <c r="O288" s="87">
        <f>IF(DAY(SepSun1)=1,SepSun1+35,SepSun1+42)</f>
        <v>44115</v>
      </c>
    </row>
    <row r="289" spans="1:16" s="11" customFormat="1" ht="55.5" customHeight="1" x14ac:dyDescent="0.3">
      <c r="A289" s="103"/>
      <c r="B289" s="83"/>
      <c r="C289" s="88"/>
      <c r="D289" s="84"/>
      <c r="E289" s="88"/>
      <c r="F289" s="85"/>
      <c r="G289" s="90"/>
      <c r="H289" s="85"/>
      <c r="I289" s="90"/>
      <c r="J289" s="85"/>
      <c r="K289" s="90"/>
      <c r="L289" s="85"/>
      <c r="M289" s="90"/>
      <c r="N289" s="85"/>
      <c r="O289" s="90"/>
    </row>
    <row r="290" spans="1:16" s="11" customFormat="1" ht="7.5" customHeight="1" x14ac:dyDescent="0.3">
      <c r="A290" s="105"/>
      <c r="B290" s="12"/>
      <c r="C290" s="12"/>
      <c r="D290" s="12"/>
      <c r="E290" s="12"/>
      <c r="F290" s="12"/>
      <c r="G290" s="12"/>
      <c r="H290" s="12"/>
      <c r="I290" s="12"/>
      <c r="J290" s="12"/>
      <c r="K290" s="12"/>
      <c r="L290" s="12"/>
      <c r="M290" s="12"/>
      <c r="N290" s="12"/>
      <c r="O290" s="12"/>
    </row>
    <row r="291" spans="1:16" s="11" customFormat="1" x14ac:dyDescent="0.3">
      <c r="A291" s="105"/>
    </row>
    <row r="292" spans="1:16" s="11" customFormat="1" ht="54" customHeight="1" x14ac:dyDescent="0.3">
      <c r="A292" s="105" t="s">
        <v>73</v>
      </c>
      <c r="B292" s="138" t="str">
        <f>TEXT(DATE(CalendarYear,10,1),"mmmm")</f>
        <v>October</v>
      </c>
      <c r="C292" s="138"/>
      <c r="D292" s="138"/>
      <c r="E292" s="138"/>
      <c r="F292" s="138"/>
      <c r="G292" s="138"/>
      <c r="H292" s="138"/>
      <c r="I292" s="138"/>
      <c r="J292" s="120" t="s">
        <v>34</v>
      </c>
      <c r="K292" s="121"/>
      <c r="L292" s="121"/>
      <c r="M292" s="127">
        <f ca="1">YEAR(TODAY())</f>
        <v>2020</v>
      </c>
      <c r="N292" s="127"/>
      <c r="O292" s="127"/>
      <c r="P292" s="31"/>
    </row>
    <row r="293" spans="1:16" s="11" customFormat="1" ht="18.899999999999999" customHeight="1" x14ac:dyDescent="0.3">
      <c r="A293" s="100" t="s">
        <v>74</v>
      </c>
      <c r="B293" s="123"/>
      <c r="C293" s="123"/>
      <c r="D293" s="123"/>
      <c r="E293" s="123"/>
      <c r="F293" s="123"/>
      <c r="G293" s="123"/>
      <c r="H293" s="123"/>
      <c r="I293" s="123"/>
      <c r="J293" s="123"/>
      <c r="K293" s="118" t="s">
        <v>30</v>
      </c>
      <c r="L293" s="119"/>
      <c r="M293" s="119"/>
      <c r="N293" s="119"/>
    </row>
    <row r="294" spans="1:16" s="11" customFormat="1" ht="18.899999999999999" customHeight="1" x14ac:dyDescent="0.55000000000000004">
      <c r="A294" s="106"/>
      <c r="B294" s="123"/>
      <c r="C294" s="123"/>
      <c r="D294" s="123"/>
      <c r="E294" s="123"/>
      <c r="F294" s="123"/>
      <c r="G294" s="123"/>
      <c r="H294" s="123"/>
      <c r="I294" s="123"/>
      <c r="J294" s="123"/>
      <c r="K294" s="119"/>
      <c r="L294" s="119"/>
      <c r="M294" s="119"/>
      <c r="N294" s="119"/>
    </row>
    <row r="295" spans="1:16" s="11" customFormat="1" ht="18.899999999999999" customHeight="1" x14ac:dyDescent="0.55000000000000004">
      <c r="A295" s="106"/>
      <c r="B295" s="123"/>
      <c r="C295" s="123"/>
      <c r="D295" s="123"/>
      <c r="E295" s="123"/>
      <c r="F295" s="123"/>
      <c r="G295" s="123"/>
      <c r="H295" s="123"/>
      <c r="I295" s="123"/>
      <c r="J295" s="123"/>
      <c r="K295" s="119"/>
      <c r="L295" s="119"/>
      <c r="M295" s="119"/>
      <c r="N295" s="119"/>
    </row>
    <row r="296" spans="1:16" s="11" customFormat="1" ht="18.899999999999999" customHeight="1" x14ac:dyDescent="0.55000000000000004">
      <c r="A296" s="106"/>
      <c r="B296" s="123"/>
      <c r="C296" s="123"/>
      <c r="D296" s="123"/>
      <c r="E296" s="123"/>
      <c r="F296" s="123"/>
      <c r="G296" s="123"/>
      <c r="H296" s="123"/>
      <c r="I296" s="123"/>
      <c r="J296" s="123"/>
      <c r="K296" s="119"/>
      <c r="L296" s="119"/>
      <c r="M296" s="119"/>
      <c r="N296" s="119"/>
    </row>
    <row r="297" spans="1:16" s="11" customFormat="1" ht="18.899999999999999" customHeight="1" x14ac:dyDescent="0.55000000000000004">
      <c r="A297" s="106"/>
      <c r="B297" s="123"/>
      <c r="C297" s="123"/>
      <c r="D297" s="123"/>
      <c r="E297" s="123"/>
      <c r="F297" s="123"/>
      <c r="G297" s="123"/>
      <c r="H297" s="123"/>
      <c r="I297" s="123"/>
      <c r="J297" s="123"/>
      <c r="K297" s="119"/>
      <c r="L297" s="119"/>
      <c r="M297" s="119"/>
      <c r="N297" s="119"/>
    </row>
    <row r="298" spans="1:16" s="11" customFormat="1" ht="18.899999999999999" customHeight="1" x14ac:dyDescent="0.55000000000000004">
      <c r="A298" s="106"/>
      <c r="B298" s="123"/>
      <c r="C298" s="123"/>
      <c r="D298" s="123"/>
      <c r="E298" s="123"/>
      <c r="F298" s="123"/>
      <c r="G298" s="123"/>
      <c r="H298" s="123"/>
      <c r="I298" s="123"/>
      <c r="J298" s="123"/>
      <c r="K298" s="119"/>
      <c r="L298" s="119"/>
      <c r="M298" s="119"/>
      <c r="N298" s="119"/>
    </row>
    <row r="299" spans="1:16" s="11" customFormat="1" ht="18.899999999999999" customHeight="1" x14ac:dyDescent="0.55000000000000004">
      <c r="A299" s="106"/>
      <c r="B299" s="123"/>
      <c r="C299" s="123"/>
      <c r="D299" s="123"/>
      <c r="E299" s="123"/>
      <c r="F299" s="123"/>
      <c r="G299" s="123"/>
      <c r="H299" s="123"/>
      <c r="I299" s="123"/>
      <c r="J299" s="123"/>
      <c r="K299" s="119"/>
      <c r="L299" s="119"/>
      <c r="M299" s="119"/>
      <c r="N299" s="119"/>
    </row>
    <row r="300" spans="1:16" s="11" customFormat="1" ht="18.899999999999999" customHeight="1" x14ac:dyDescent="0.55000000000000004">
      <c r="A300" s="106"/>
      <c r="B300" s="123"/>
      <c r="C300" s="123"/>
      <c r="D300" s="123"/>
      <c r="E300" s="123"/>
      <c r="F300" s="123"/>
      <c r="G300" s="123"/>
      <c r="H300" s="123"/>
      <c r="I300" s="123"/>
      <c r="J300" s="123"/>
      <c r="K300" s="119"/>
      <c r="L300" s="119"/>
      <c r="M300" s="119"/>
      <c r="N300" s="119"/>
    </row>
    <row r="301" spans="1:16" s="11" customFormat="1" ht="18.899999999999999" customHeight="1" x14ac:dyDescent="0.55000000000000004">
      <c r="A301" s="106"/>
      <c r="B301" s="123"/>
      <c r="C301" s="123"/>
      <c r="D301" s="123"/>
      <c r="E301" s="123"/>
      <c r="F301" s="123"/>
      <c r="G301" s="123"/>
      <c r="H301" s="123"/>
      <c r="I301" s="123"/>
      <c r="J301" s="123"/>
      <c r="K301" s="119"/>
      <c r="L301" s="119"/>
      <c r="M301" s="119"/>
      <c r="N301" s="119"/>
    </row>
    <row r="302" spans="1:16" s="11" customFormat="1" ht="18.899999999999999" customHeight="1" x14ac:dyDescent="0.55000000000000004">
      <c r="A302" s="106"/>
      <c r="B302" s="123"/>
      <c r="C302" s="123"/>
      <c r="D302" s="123"/>
      <c r="E302" s="123"/>
      <c r="F302" s="123"/>
      <c r="G302" s="123"/>
      <c r="H302" s="123"/>
      <c r="I302" s="123"/>
      <c r="J302" s="123"/>
      <c r="K302" s="119"/>
      <c r="L302" s="119"/>
      <c r="M302" s="119"/>
      <c r="N302" s="119"/>
    </row>
    <row r="303" spans="1:16" s="11" customFormat="1" ht="18.899999999999999" customHeight="1" x14ac:dyDescent="0.55000000000000004">
      <c r="A303" s="106"/>
      <c r="B303" s="123"/>
      <c r="C303" s="123"/>
      <c r="D303" s="123"/>
      <c r="E303" s="123"/>
      <c r="F303" s="123"/>
      <c r="G303" s="123"/>
      <c r="H303" s="123"/>
      <c r="I303" s="123"/>
      <c r="J303" s="123"/>
      <c r="K303" s="119"/>
      <c r="L303" s="119"/>
      <c r="M303" s="119"/>
      <c r="N303" s="119"/>
    </row>
    <row r="304" spans="1:16" s="11" customFormat="1" ht="18.899999999999999" customHeight="1" x14ac:dyDescent="0.55000000000000004">
      <c r="A304" s="106"/>
      <c r="B304" s="123"/>
      <c r="C304" s="123"/>
      <c r="D304" s="123"/>
      <c r="E304" s="123"/>
      <c r="F304" s="123"/>
      <c r="G304" s="123"/>
      <c r="H304" s="123"/>
      <c r="I304" s="123"/>
      <c r="J304" s="123"/>
      <c r="K304" s="119"/>
      <c r="L304" s="119"/>
      <c r="M304" s="119"/>
      <c r="N304" s="119"/>
    </row>
    <row r="305" spans="1:22" s="11" customFormat="1" ht="18.899999999999999" customHeight="1" x14ac:dyDescent="0.55000000000000004">
      <c r="A305" s="106"/>
      <c r="B305" s="123"/>
      <c r="C305" s="123"/>
      <c r="D305" s="123"/>
      <c r="E305" s="123"/>
      <c r="F305" s="123"/>
      <c r="G305" s="123"/>
      <c r="H305" s="123"/>
      <c r="I305" s="123"/>
      <c r="J305" s="123"/>
      <c r="K305" s="119"/>
      <c r="L305" s="119"/>
      <c r="M305" s="119"/>
      <c r="N305" s="119"/>
    </row>
    <row r="306" spans="1:22" s="11" customFormat="1" ht="18.899999999999999" customHeight="1" x14ac:dyDescent="0.55000000000000004">
      <c r="A306" s="106"/>
      <c r="B306" s="123"/>
      <c r="C306" s="123"/>
      <c r="D306" s="123"/>
      <c r="E306" s="123"/>
      <c r="F306" s="123"/>
      <c r="G306" s="123"/>
      <c r="H306" s="123"/>
      <c r="I306" s="123"/>
      <c r="J306" s="123"/>
      <c r="K306" s="119"/>
      <c r="L306" s="119"/>
      <c r="M306" s="119"/>
      <c r="N306" s="119"/>
    </row>
    <row r="307" spans="1:22" s="11" customFormat="1" ht="18.899999999999999" customHeight="1" x14ac:dyDescent="0.3">
      <c r="A307" s="103"/>
      <c r="B307" s="123"/>
      <c r="C307" s="123"/>
      <c r="D307" s="123"/>
      <c r="E307" s="123"/>
      <c r="F307" s="123"/>
      <c r="G307" s="123"/>
      <c r="H307" s="123"/>
      <c r="I307" s="123"/>
      <c r="J307" s="123"/>
      <c r="K307" s="119"/>
      <c r="L307" s="119"/>
      <c r="M307" s="119"/>
      <c r="N307" s="119"/>
      <c r="O307" s="4"/>
    </row>
    <row r="308" spans="1:22" s="3" customFormat="1" ht="27" customHeight="1" x14ac:dyDescent="0.3">
      <c r="A308" s="103" t="s">
        <v>75</v>
      </c>
      <c r="B308" s="41" t="s">
        <v>0</v>
      </c>
      <c r="C308" s="41" t="s">
        <v>8</v>
      </c>
      <c r="D308" s="41" t="s">
        <v>1</v>
      </c>
      <c r="E308" s="41" t="s">
        <v>9</v>
      </c>
      <c r="F308" s="41" t="s">
        <v>2</v>
      </c>
      <c r="G308" s="41" t="s">
        <v>10</v>
      </c>
      <c r="H308" s="41" t="s">
        <v>3</v>
      </c>
      <c r="I308" s="41" t="s">
        <v>11</v>
      </c>
      <c r="J308" s="41" t="s">
        <v>4</v>
      </c>
      <c r="K308" s="41" t="s">
        <v>12</v>
      </c>
      <c r="L308" s="41" t="s">
        <v>5</v>
      </c>
      <c r="M308" s="41" t="s">
        <v>13</v>
      </c>
      <c r="N308" s="41" t="s">
        <v>6</v>
      </c>
      <c r="O308" s="41" t="s">
        <v>14</v>
      </c>
      <c r="P308" s="11"/>
      <c r="Q308" s="5"/>
      <c r="U308" s="11"/>
      <c r="V308" s="11"/>
    </row>
    <row r="309" spans="1:22" s="6" customFormat="1" ht="16.5" customHeight="1" x14ac:dyDescent="0.3">
      <c r="A309" s="104" t="s">
        <v>76</v>
      </c>
      <c r="B309" s="18"/>
      <c r="C309" s="87">
        <f>IF(DAY(OctSun1)=1,OctSun1-6,OctSun1+1)</f>
        <v>44102</v>
      </c>
      <c r="D309" s="19"/>
      <c r="E309" s="87">
        <f>IF(DAY(OctSun1)=1,OctSun1-5,OctSun1+2)</f>
        <v>44103</v>
      </c>
      <c r="F309" s="19"/>
      <c r="G309" s="87">
        <f>IF(DAY(OctSun1)=1,OctSun1-4,OctSun1+3)</f>
        <v>44104</v>
      </c>
      <c r="H309" s="19"/>
      <c r="I309" s="87">
        <f>IF(DAY(OctSun1)=1,OctSun1-3,OctSun1+4)</f>
        <v>44105</v>
      </c>
      <c r="J309" s="19"/>
      <c r="K309" s="87">
        <f>IF(DAY(OctSun1)=1,OctSun1-2,OctSun1+5)</f>
        <v>44106</v>
      </c>
      <c r="L309" s="19"/>
      <c r="M309" s="87">
        <f>IF(DAY(OctSun1)=1,OctSun1-1,OctSun1+6)</f>
        <v>44107</v>
      </c>
      <c r="N309" s="19"/>
      <c r="O309" s="87">
        <f>IF(DAY(OctSun1)=1,OctSun1,OctSun1+7)</f>
        <v>44108</v>
      </c>
      <c r="P309" s="7"/>
      <c r="Q309" s="7"/>
      <c r="U309" s="8"/>
      <c r="V309" s="7"/>
    </row>
    <row r="310" spans="1:22" s="9" customFormat="1" ht="55.5" customHeight="1" x14ac:dyDescent="0.3">
      <c r="A310" s="103" t="s">
        <v>77</v>
      </c>
      <c r="B310" s="83"/>
      <c r="C310" s="88"/>
      <c r="D310" s="84"/>
      <c r="E310" s="88"/>
      <c r="F310" s="84"/>
      <c r="G310" s="88"/>
      <c r="H310" s="84"/>
      <c r="I310" s="88"/>
      <c r="J310" s="84"/>
      <c r="K310" s="88"/>
      <c r="L310" s="86"/>
      <c r="M310" s="91"/>
      <c r="N310" s="86"/>
      <c r="O310" s="91"/>
    </row>
    <row r="311" spans="1:22" s="9" customFormat="1" ht="8.25" customHeight="1" x14ac:dyDescent="0.3">
      <c r="A311" s="103"/>
      <c r="B311" s="42"/>
      <c r="C311" s="89"/>
      <c r="D311" s="42"/>
      <c r="E311" s="89"/>
      <c r="F311" s="42"/>
      <c r="G311" s="89"/>
      <c r="H311" s="42"/>
      <c r="I311" s="89"/>
      <c r="J311" s="42"/>
      <c r="K311" s="89"/>
      <c r="L311" s="43"/>
      <c r="M311" s="92"/>
      <c r="N311" s="43"/>
      <c r="O311" s="92"/>
    </row>
    <row r="312" spans="1:22" s="7" customFormat="1" ht="16.5" customHeight="1" x14ac:dyDescent="0.3">
      <c r="A312" s="104"/>
      <c r="B312" s="19"/>
      <c r="C312" s="87">
        <f>IF(DAY(OctSun1)=1,OctSun1+1,OctSun1+8)</f>
        <v>44109</v>
      </c>
      <c r="D312" s="19"/>
      <c r="E312" s="87">
        <f>IF(DAY(OctSun1)=1,OctSun1+2,OctSun1+9)</f>
        <v>44110</v>
      </c>
      <c r="F312" s="19"/>
      <c r="G312" s="87">
        <f>IF(DAY(OctSun1)=1,OctSun1+3,OctSun1+10)</f>
        <v>44111</v>
      </c>
      <c r="H312" s="19"/>
      <c r="I312" s="87">
        <f>IF(DAY(OctSun1)=1,OctSun1+4,OctSun1+11)</f>
        <v>44112</v>
      </c>
      <c r="J312" s="19"/>
      <c r="K312" s="87">
        <f>IF(DAY(OctSun1)=1,OctSun1+5,OctSun1+12)</f>
        <v>44113</v>
      </c>
      <c r="L312" s="19"/>
      <c r="M312" s="87">
        <f>IF(DAY(OctSun1)=1,OctSun1+6,OctSun1+13)</f>
        <v>44114</v>
      </c>
      <c r="N312" s="19"/>
      <c r="O312" s="87">
        <f>IF(DAY(OctSun1)=1,OctSun1+7,OctSun1+14)</f>
        <v>44115</v>
      </c>
    </row>
    <row r="313" spans="1:22" s="11" customFormat="1" ht="55.5" customHeight="1" x14ac:dyDescent="0.3">
      <c r="A313" s="103"/>
      <c r="B313" s="83"/>
      <c r="C313" s="88"/>
      <c r="D313" s="84"/>
      <c r="E313" s="88"/>
      <c r="F313" s="84" t="s">
        <v>7</v>
      </c>
      <c r="G313" s="88"/>
      <c r="H313" s="84"/>
      <c r="I313" s="88"/>
      <c r="J313" s="84"/>
      <c r="K313" s="88"/>
      <c r="L313" s="86"/>
      <c r="M313" s="91"/>
      <c r="N313" s="86"/>
      <c r="O313" s="91"/>
    </row>
    <row r="314" spans="1:22" s="11" customFormat="1" ht="8.25" customHeight="1" x14ac:dyDescent="0.3">
      <c r="A314" s="103"/>
      <c r="B314" s="42"/>
      <c r="C314" s="89"/>
      <c r="D314" s="42"/>
      <c r="E314" s="89"/>
      <c r="F314" s="42"/>
      <c r="G314" s="89"/>
      <c r="H314" s="42"/>
      <c r="I314" s="89"/>
      <c r="J314" s="42"/>
      <c r="K314" s="89"/>
      <c r="L314" s="43"/>
      <c r="M314" s="92"/>
      <c r="N314" s="43"/>
      <c r="O314" s="92"/>
    </row>
    <row r="315" spans="1:22" s="7" customFormat="1" ht="16.5" customHeight="1" x14ac:dyDescent="0.3">
      <c r="A315" s="104"/>
      <c r="B315" s="19"/>
      <c r="C315" s="87">
        <f>IF(DAY(OctSun1)=1,OctSun1+8,OctSun1+15)</f>
        <v>44116</v>
      </c>
      <c r="D315" s="19"/>
      <c r="E315" s="87">
        <f>IF(DAY(OctSun1)=1,OctSun1+9,OctSun1+16)</f>
        <v>44117</v>
      </c>
      <c r="F315" s="19"/>
      <c r="G315" s="87">
        <f>IF(DAY(OctSun1)=1,OctSun1+10,OctSun1+17)</f>
        <v>44118</v>
      </c>
      <c r="H315" s="19"/>
      <c r="I315" s="87">
        <f>IF(DAY(OctSun1)=1,OctSun1+11,OctSun1+18)</f>
        <v>44119</v>
      </c>
      <c r="J315" s="19"/>
      <c r="K315" s="87">
        <f>IF(DAY(OctSun1)=1,OctSun1+12,OctSun1+19)</f>
        <v>44120</v>
      </c>
      <c r="L315" s="19"/>
      <c r="M315" s="87">
        <f>IF(DAY(OctSun1)=1,OctSun1+13,OctSun1+20)</f>
        <v>44121</v>
      </c>
      <c r="N315" s="19"/>
      <c r="O315" s="87">
        <f>IF(DAY(OctSun1)=1,OctSun1+14,OctSun1+21)</f>
        <v>44122</v>
      </c>
    </row>
    <row r="316" spans="1:22" s="11" customFormat="1" ht="55.5" customHeight="1" x14ac:dyDescent="0.3">
      <c r="A316" s="103"/>
      <c r="B316" s="83"/>
      <c r="C316" s="88"/>
      <c r="D316" s="84"/>
      <c r="E316" s="88"/>
      <c r="F316" s="84"/>
      <c r="G316" s="88"/>
      <c r="H316" s="84"/>
      <c r="I316" s="88"/>
      <c r="J316" s="83"/>
      <c r="K316" s="88"/>
      <c r="L316" s="86"/>
      <c r="M316" s="91"/>
      <c r="N316" s="86"/>
      <c r="O316" s="91"/>
    </row>
    <row r="317" spans="1:22" s="11" customFormat="1" ht="8.25" customHeight="1" x14ac:dyDescent="0.3">
      <c r="A317" s="103"/>
      <c r="B317" s="42"/>
      <c r="C317" s="89"/>
      <c r="D317" s="42"/>
      <c r="E317" s="89"/>
      <c r="F317" s="42"/>
      <c r="G317" s="89"/>
      <c r="H317" s="42"/>
      <c r="I317" s="89"/>
      <c r="J317" s="42"/>
      <c r="K317" s="89"/>
      <c r="L317" s="43"/>
      <c r="M317" s="92"/>
      <c r="N317" s="43"/>
      <c r="O317" s="92"/>
    </row>
    <row r="318" spans="1:22" s="7" customFormat="1" ht="16.5" customHeight="1" x14ac:dyDescent="0.3">
      <c r="A318" s="104"/>
      <c r="B318" s="19"/>
      <c r="C318" s="87">
        <f>IF(DAY(OctSun1)=1,OctSun1+15,OctSun1+22)</f>
        <v>44123</v>
      </c>
      <c r="D318" s="19"/>
      <c r="E318" s="87">
        <f>IF(DAY(OctSun1)=1,OctSun1+16,OctSun1+23)</f>
        <v>44124</v>
      </c>
      <c r="F318" s="19"/>
      <c r="G318" s="87">
        <f>IF(DAY(OctSun1)=1,OctSun1+17,OctSun1+24)</f>
        <v>44125</v>
      </c>
      <c r="H318" s="19"/>
      <c r="I318" s="87">
        <f>IF(DAY(OctSun1)=1,OctSun1+18,OctSun1+25)</f>
        <v>44126</v>
      </c>
      <c r="J318" s="19"/>
      <c r="K318" s="87">
        <f>IF(DAY(OctSun1)=1,OctSun1+19,OctSun1+26)</f>
        <v>44127</v>
      </c>
      <c r="L318" s="19"/>
      <c r="M318" s="87">
        <f>IF(DAY(OctSun1)=1,OctSun1+20,OctSun1+27)</f>
        <v>44128</v>
      </c>
      <c r="N318" s="19"/>
      <c r="O318" s="87">
        <f>IF(DAY(OctSun1)=1,OctSun1+21,OctSun1+28)</f>
        <v>44129</v>
      </c>
    </row>
    <row r="319" spans="1:22" s="11" customFormat="1" ht="55.5" customHeight="1" x14ac:dyDescent="0.3">
      <c r="A319" s="103"/>
      <c r="B319" s="83"/>
      <c r="C319" s="88"/>
      <c r="D319" s="84"/>
      <c r="E319" s="88"/>
      <c r="F319" s="84"/>
      <c r="G319" s="88"/>
      <c r="H319" s="84"/>
      <c r="I319" s="88"/>
      <c r="J319" s="84"/>
      <c r="K319" s="88"/>
      <c r="L319" s="86"/>
      <c r="M319" s="91"/>
      <c r="N319" s="86"/>
      <c r="O319" s="91"/>
    </row>
    <row r="320" spans="1:22" s="11" customFormat="1" ht="8.25" customHeight="1" x14ac:dyDescent="0.3">
      <c r="A320" s="103"/>
      <c r="B320" s="42"/>
      <c r="C320" s="89"/>
      <c r="D320" s="42"/>
      <c r="E320" s="89"/>
      <c r="F320" s="42"/>
      <c r="G320" s="89"/>
      <c r="H320" s="42"/>
      <c r="I320" s="89"/>
      <c r="J320" s="42"/>
      <c r="K320" s="89"/>
      <c r="L320" s="43"/>
      <c r="M320" s="92"/>
      <c r="N320" s="43"/>
      <c r="O320" s="92"/>
    </row>
    <row r="321" spans="1:16" s="7" customFormat="1" ht="16.5" customHeight="1" x14ac:dyDescent="0.3">
      <c r="A321" s="104"/>
      <c r="B321" s="19"/>
      <c r="C321" s="87">
        <f>IF(DAY(OctSun1)=1,OctSun1+22,OctSun1+29)</f>
        <v>44130</v>
      </c>
      <c r="D321" s="19"/>
      <c r="E321" s="87">
        <f>IF(DAY(OctSun1)=1,OctSun1+23,OctSun1+30)</f>
        <v>44131</v>
      </c>
      <c r="F321" s="19"/>
      <c r="G321" s="87">
        <f>IF(DAY(OctSun1)=1,OctSun1+24,OctSun1+31)</f>
        <v>44132</v>
      </c>
      <c r="H321" s="19"/>
      <c r="I321" s="87">
        <f>IF(DAY(OctSun1)=1,OctSun1+25,OctSun1+32)</f>
        <v>44133</v>
      </c>
      <c r="J321" s="19"/>
      <c r="K321" s="87">
        <f>IF(DAY(OctSun1)=1,OctSun1+26,OctSun1+33)</f>
        <v>44134</v>
      </c>
      <c r="L321" s="19"/>
      <c r="M321" s="87">
        <f>IF(DAY(OctSun1)=1,OctSun1+27,OctSun1+34)</f>
        <v>44135</v>
      </c>
      <c r="N321" s="19"/>
      <c r="O321" s="87">
        <f>IF(DAY(OctSun1)=1,OctSun1+28,OctSun1+35)</f>
        <v>44136</v>
      </c>
    </row>
    <row r="322" spans="1:16" s="11" customFormat="1" ht="55.5" customHeight="1" x14ac:dyDescent="0.3">
      <c r="A322" s="103"/>
      <c r="B322" s="83"/>
      <c r="C322" s="88"/>
      <c r="D322" s="84"/>
      <c r="E322" s="88"/>
      <c r="F322" s="84"/>
      <c r="G322" s="88"/>
      <c r="H322" s="84"/>
      <c r="I322" s="88"/>
      <c r="J322" s="84"/>
      <c r="K322" s="88"/>
      <c r="L322" s="86"/>
      <c r="M322" s="91"/>
      <c r="N322" s="86"/>
      <c r="O322" s="91"/>
    </row>
    <row r="323" spans="1:16" s="11" customFormat="1" ht="8.25" customHeight="1" x14ac:dyDescent="0.3">
      <c r="A323" s="103"/>
      <c r="B323" s="42"/>
      <c r="C323" s="89"/>
      <c r="D323" s="42"/>
      <c r="E323" s="89"/>
      <c r="F323" s="42"/>
      <c r="G323" s="89"/>
      <c r="H323" s="42"/>
      <c r="I323" s="89"/>
      <c r="J323" s="42"/>
      <c r="K323" s="89"/>
      <c r="L323" s="43"/>
      <c r="M323" s="92"/>
      <c r="N323" s="43"/>
      <c r="O323" s="92"/>
    </row>
    <row r="324" spans="1:16" s="7" customFormat="1" ht="16.5" customHeight="1" x14ac:dyDescent="0.3">
      <c r="A324" s="104"/>
      <c r="B324" s="19"/>
      <c r="C324" s="87">
        <f>IF(DAY(OctSun1)=1,OctSun1+29,OctSun1+36)</f>
        <v>44137</v>
      </c>
      <c r="D324" s="19"/>
      <c r="E324" s="87">
        <f>IF(DAY(OctSun1)=1,OctSun1+30,OctSun1+37)</f>
        <v>44138</v>
      </c>
      <c r="F324" s="19"/>
      <c r="G324" s="87">
        <f>IF(DAY(OctSun1)=1,OctSun1+31,OctSun1+38)</f>
        <v>44139</v>
      </c>
      <c r="H324" s="19"/>
      <c r="I324" s="87">
        <f>IF(DAY(OctSun1)=1,OctSun1+32,OctSun1+39)</f>
        <v>44140</v>
      </c>
      <c r="J324" s="19"/>
      <c r="K324" s="87">
        <f>IF(DAY(OctSun1)=1,OctSun1+33,OctSun1+40)</f>
        <v>44141</v>
      </c>
      <c r="L324" s="19"/>
      <c r="M324" s="87">
        <f>IF(DAY(OctSun1)=1,OctSun1+34,OctSun1+41)</f>
        <v>44142</v>
      </c>
      <c r="N324" s="19"/>
      <c r="O324" s="87">
        <f>IF(DAY(OctSun1)=1,OctSun1+35,OctSun1+42)</f>
        <v>44143</v>
      </c>
    </row>
    <row r="325" spans="1:16" s="11" customFormat="1" ht="55.5" customHeight="1" x14ac:dyDescent="0.3">
      <c r="A325" s="103"/>
      <c r="B325" s="83"/>
      <c r="C325" s="88"/>
      <c r="D325" s="84"/>
      <c r="E325" s="88"/>
      <c r="F325" s="85"/>
      <c r="G325" s="90"/>
      <c r="H325" s="85"/>
      <c r="I325" s="90"/>
      <c r="J325" s="85"/>
      <c r="K325" s="90"/>
      <c r="L325" s="85"/>
      <c r="M325" s="90"/>
      <c r="N325" s="85"/>
      <c r="O325" s="90"/>
    </row>
    <row r="326" spans="1:16" s="11" customFormat="1" ht="7.5" customHeight="1" x14ac:dyDescent="0.3">
      <c r="A326" s="105"/>
      <c r="B326" s="21"/>
      <c r="C326" s="21"/>
      <c r="D326" s="21"/>
      <c r="E326" s="21"/>
      <c r="F326" s="21"/>
      <c r="G326" s="21"/>
      <c r="H326" s="21"/>
      <c r="I326" s="21"/>
      <c r="J326" s="21"/>
      <c r="K326" s="21"/>
      <c r="L326" s="21"/>
      <c r="M326" s="21"/>
      <c r="N326" s="21"/>
      <c r="O326" s="21"/>
    </row>
    <row r="327" spans="1:16" s="11" customFormat="1" x14ac:dyDescent="0.3">
      <c r="A327" s="105"/>
      <c r="B327" s="20"/>
      <c r="C327" s="20"/>
      <c r="D327" s="20"/>
      <c r="E327" s="20"/>
      <c r="F327" s="20"/>
      <c r="G327" s="20"/>
      <c r="H327" s="20"/>
      <c r="I327" s="20"/>
      <c r="J327" s="20"/>
      <c r="K327" s="20"/>
      <c r="L327" s="20"/>
      <c r="M327" s="20"/>
      <c r="N327" s="20"/>
      <c r="O327" s="20"/>
    </row>
    <row r="328" spans="1:16" s="11" customFormat="1" ht="54" customHeight="1" x14ac:dyDescent="0.3">
      <c r="A328" s="105" t="s">
        <v>78</v>
      </c>
      <c r="B328" s="138" t="str">
        <f>TEXT(DATE(CalendarYear,11,1),"mmmm")</f>
        <v>November</v>
      </c>
      <c r="C328" s="138"/>
      <c r="D328" s="138"/>
      <c r="E328" s="138"/>
      <c r="F328" s="138"/>
      <c r="G328" s="138"/>
      <c r="H328" s="138"/>
      <c r="I328" s="138"/>
      <c r="J328" s="120" t="s">
        <v>34</v>
      </c>
      <c r="K328" s="121"/>
      <c r="L328" s="121"/>
      <c r="M328" s="127">
        <f ca="1">YEAR(TODAY())</f>
        <v>2020</v>
      </c>
      <c r="N328" s="127"/>
      <c r="O328" s="127"/>
      <c r="P328" s="127"/>
    </row>
    <row r="329" spans="1:16" s="11" customFormat="1" ht="18.899999999999999" customHeight="1" x14ac:dyDescent="0.3">
      <c r="A329" s="100" t="s">
        <v>79</v>
      </c>
      <c r="B329" s="123"/>
      <c r="C329" s="123"/>
      <c r="D329" s="123"/>
      <c r="E329" s="123"/>
      <c r="F329" s="123"/>
      <c r="G329" s="123"/>
      <c r="H329" s="123"/>
      <c r="I329" s="123"/>
      <c r="J329" s="123"/>
      <c r="K329" s="116" t="s">
        <v>30</v>
      </c>
      <c r="L329" s="117"/>
      <c r="M329" s="117"/>
      <c r="N329" s="117"/>
    </row>
    <row r="330" spans="1:16" s="11" customFormat="1" ht="18.899999999999999" customHeight="1" x14ac:dyDescent="0.55000000000000004">
      <c r="A330" s="106"/>
      <c r="B330" s="123"/>
      <c r="C330" s="123"/>
      <c r="D330" s="123"/>
      <c r="E330" s="123"/>
      <c r="F330" s="123"/>
      <c r="G330" s="123"/>
      <c r="H330" s="123"/>
      <c r="I330" s="123"/>
      <c r="J330" s="123"/>
      <c r="K330" s="117"/>
      <c r="L330" s="117"/>
      <c r="M330" s="117"/>
      <c r="N330" s="117"/>
    </row>
    <row r="331" spans="1:16" s="11" customFormat="1" ht="18.899999999999999" customHeight="1" x14ac:dyDescent="0.55000000000000004">
      <c r="A331" s="106"/>
      <c r="B331" s="123"/>
      <c r="C331" s="123"/>
      <c r="D331" s="123"/>
      <c r="E331" s="123"/>
      <c r="F331" s="123"/>
      <c r="G331" s="123"/>
      <c r="H331" s="123"/>
      <c r="I331" s="123"/>
      <c r="J331" s="123"/>
      <c r="K331" s="117"/>
      <c r="L331" s="117"/>
      <c r="M331" s="117"/>
      <c r="N331" s="117"/>
    </row>
    <row r="332" spans="1:16" s="11" customFormat="1" ht="18.899999999999999" customHeight="1" x14ac:dyDescent="0.55000000000000004">
      <c r="A332" s="106"/>
      <c r="B332" s="123"/>
      <c r="C332" s="123"/>
      <c r="D332" s="123"/>
      <c r="E332" s="123"/>
      <c r="F332" s="123"/>
      <c r="G332" s="123"/>
      <c r="H332" s="123"/>
      <c r="I332" s="123"/>
      <c r="J332" s="123"/>
      <c r="K332" s="117"/>
      <c r="L332" s="117"/>
      <c r="M332" s="117"/>
      <c r="N332" s="117"/>
    </row>
    <row r="333" spans="1:16" s="11" customFormat="1" ht="18.899999999999999" customHeight="1" x14ac:dyDescent="0.55000000000000004">
      <c r="A333" s="106"/>
      <c r="B333" s="123"/>
      <c r="C333" s="123"/>
      <c r="D333" s="123"/>
      <c r="E333" s="123"/>
      <c r="F333" s="123"/>
      <c r="G333" s="123"/>
      <c r="H333" s="123"/>
      <c r="I333" s="123"/>
      <c r="J333" s="123"/>
      <c r="K333" s="117"/>
      <c r="L333" s="117"/>
      <c r="M333" s="117"/>
      <c r="N333" s="117"/>
    </row>
    <row r="334" spans="1:16" s="11" customFormat="1" ht="18.899999999999999" customHeight="1" x14ac:dyDescent="0.55000000000000004">
      <c r="A334" s="106"/>
      <c r="B334" s="123"/>
      <c r="C334" s="123"/>
      <c r="D334" s="123"/>
      <c r="E334" s="123"/>
      <c r="F334" s="123"/>
      <c r="G334" s="123"/>
      <c r="H334" s="123"/>
      <c r="I334" s="123"/>
      <c r="J334" s="123"/>
      <c r="K334" s="117"/>
      <c r="L334" s="117"/>
      <c r="M334" s="117"/>
      <c r="N334" s="117"/>
    </row>
    <row r="335" spans="1:16" s="11" customFormat="1" ht="18.899999999999999" customHeight="1" x14ac:dyDescent="0.55000000000000004">
      <c r="A335" s="106"/>
      <c r="B335" s="123"/>
      <c r="C335" s="123"/>
      <c r="D335" s="123"/>
      <c r="E335" s="123"/>
      <c r="F335" s="123"/>
      <c r="G335" s="123"/>
      <c r="H335" s="123"/>
      <c r="I335" s="123"/>
      <c r="J335" s="123"/>
      <c r="K335" s="117"/>
      <c r="L335" s="117"/>
      <c r="M335" s="117"/>
      <c r="N335" s="117"/>
    </row>
    <row r="336" spans="1:16" s="11" customFormat="1" ht="18.899999999999999" customHeight="1" x14ac:dyDescent="0.55000000000000004">
      <c r="A336" s="106"/>
      <c r="B336" s="123"/>
      <c r="C336" s="123"/>
      <c r="D336" s="123"/>
      <c r="E336" s="123"/>
      <c r="F336" s="123"/>
      <c r="G336" s="123"/>
      <c r="H336" s="123"/>
      <c r="I336" s="123"/>
      <c r="J336" s="123"/>
      <c r="K336" s="117"/>
      <c r="L336" s="117"/>
      <c r="M336" s="117"/>
      <c r="N336" s="117"/>
    </row>
    <row r="337" spans="1:22" s="11" customFormat="1" ht="18.899999999999999" customHeight="1" x14ac:dyDescent="0.55000000000000004">
      <c r="A337" s="106"/>
      <c r="B337" s="123"/>
      <c r="C337" s="123"/>
      <c r="D337" s="123"/>
      <c r="E337" s="123"/>
      <c r="F337" s="123"/>
      <c r="G337" s="123"/>
      <c r="H337" s="123"/>
      <c r="I337" s="123"/>
      <c r="J337" s="123"/>
      <c r="K337" s="117"/>
      <c r="L337" s="117"/>
      <c r="M337" s="117"/>
      <c r="N337" s="117"/>
    </row>
    <row r="338" spans="1:22" s="11" customFormat="1" ht="18.899999999999999" customHeight="1" x14ac:dyDescent="0.55000000000000004">
      <c r="A338" s="106"/>
      <c r="B338" s="123"/>
      <c r="C338" s="123"/>
      <c r="D338" s="123"/>
      <c r="E338" s="123"/>
      <c r="F338" s="123"/>
      <c r="G338" s="123"/>
      <c r="H338" s="123"/>
      <c r="I338" s="123"/>
      <c r="J338" s="123"/>
      <c r="K338" s="117"/>
      <c r="L338" s="117"/>
      <c r="M338" s="117"/>
      <c r="N338" s="117"/>
    </row>
    <row r="339" spans="1:22" s="11" customFormat="1" ht="18.899999999999999" customHeight="1" x14ac:dyDescent="0.55000000000000004">
      <c r="A339" s="106"/>
      <c r="B339" s="123"/>
      <c r="C339" s="123"/>
      <c r="D339" s="123"/>
      <c r="E339" s="123"/>
      <c r="F339" s="123"/>
      <c r="G339" s="123"/>
      <c r="H339" s="123"/>
      <c r="I339" s="123"/>
      <c r="J339" s="123"/>
      <c r="K339" s="117"/>
      <c r="L339" s="117"/>
      <c r="M339" s="117"/>
      <c r="N339" s="117"/>
    </row>
    <row r="340" spans="1:22" s="11" customFormat="1" ht="18.899999999999999" customHeight="1" x14ac:dyDescent="0.55000000000000004">
      <c r="A340" s="106"/>
      <c r="B340" s="123"/>
      <c r="C340" s="123"/>
      <c r="D340" s="123"/>
      <c r="E340" s="123"/>
      <c r="F340" s="123"/>
      <c r="G340" s="123"/>
      <c r="H340" s="123"/>
      <c r="I340" s="123"/>
      <c r="J340" s="123"/>
      <c r="K340" s="117"/>
      <c r="L340" s="117"/>
      <c r="M340" s="117"/>
      <c r="N340" s="117"/>
    </row>
    <row r="341" spans="1:22" s="11" customFormat="1" ht="18.899999999999999" customHeight="1" x14ac:dyDescent="0.55000000000000004">
      <c r="A341" s="106"/>
      <c r="B341" s="123"/>
      <c r="C341" s="123"/>
      <c r="D341" s="123"/>
      <c r="E341" s="123"/>
      <c r="F341" s="123"/>
      <c r="G341" s="123"/>
      <c r="H341" s="123"/>
      <c r="I341" s="123"/>
      <c r="J341" s="123"/>
      <c r="K341" s="117"/>
      <c r="L341" s="117"/>
      <c r="M341" s="117"/>
      <c r="N341" s="117"/>
    </row>
    <row r="342" spans="1:22" s="11" customFormat="1" ht="18.899999999999999" customHeight="1" x14ac:dyDescent="0.55000000000000004">
      <c r="A342" s="106"/>
      <c r="B342" s="123"/>
      <c r="C342" s="123"/>
      <c r="D342" s="123"/>
      <c r="E342" s="123"/>
      <c r="F342" s="123"/>
      <c r="G342" s="123"/>
      <c r="H342" s="123"/>
      <c r="I342" s="123"/>
      <c r="J342" s="123"/>
      <c r="K342" s="117"/>
      <c r="L342" s="117"/>
      <c r="M342" s="117"/>
      <c r="N342" s="117"/>
    </row>
    <row r="343" spans="1:22" s="11" customFormat="1" ht="18.899999999999999" customHeight="1" x14ac:dyDescent="0.3">
      <c r="A343" s="103"/>
      <c r="B343" s="123"/>
      <c r="C343" s="123"/>
      <c r="D343" s="123"/>
      <c r="E343" s="123"/>
      <c r="F343" s="123"/>
      <c r="G343" s="123"/>
      <c r="H343" s="123"/>
      <c r="I343" s="123"/>
      <c r="J343" s="123"/>
      <c r="K343" s="117"/>
      <c r="L343" s="117"/>
      <c r="M343" s="117"/>
      <c r="N343" s="117"/>
      <c r="O343" s="4"/>
    </row>
    <row r="344" spans="1:22" s="3" customFormat="1" ht="27" customHeight="1" x14ac:dyDescent="0.3">
      <c r="A344" s="103" t="s">
        <v>80</v>
      </c>
      <c r="B344" s="41" t="s">
        <v>0</v>
      </c>
      <c r="C344" s="41" t="s">
        <v>8</v>
      </c>
      <c r="D344" s="41" t="s">
        <v>1</v>
      </c>
      <c r="E344" s="41" t="s">
        <v>9</v>
      </c>
      <c r="F344" s="41" t="s">
        <v>2</v>
      </c>
      <c r="G344" s="41" t="s">
        <v>10</v>
      </c>
      <c r="H344" s="41" t="s">
        <v>3</v>
      </c>
      <c r="I344" s="41" t="s">
        <v>11</v>
      </c>
      <c r="J344" s="41" t="s">
        <v>4</v>
      </c>
      <c r="K344" s="41" t="s">
        <v>12</v>
      </c>
      <c r="L344" s="41" t="s">
        <v>5</v>
      </c>
      <c r="M344" s="41" t="s">
        <v>13</v>
      </c>
      <c r="N344" s="41" t="s">
        <v>6</v>
      </c>
      <c r="O344" s="41" t="s">
        <v>16</v>
      </c>
      <c r="P344" s="11"/>
      <c r="Q344" s="5"/>
      <c r="U344" s="11"/>
      <c r="V344" s="11"/>
    </row>
    <row r="345" spans="1:22" s="6" customFormat="1" ht="16.5" customHeight="1" x14ac:dyDescent="0.3">
      <c r="A345" s="104" t="s">
        <v>81</v>
      </c>
      <c r="B345" s="18"/>
      <c r="C345" s="87">
        <f>IF(DAY(NovSun1)=1,NovSun1-6,NovSun1+1)</f>
        <v>44130</v>
      </c>
      <c r="D345" s="19"/>
      <c r="E345" s="87">
        <f>IF(DAY(NovSun1)=1,NovSun1-5,NovSun1+2)</f>
        <v>44131</v>
      </c>
      <c r="F345" s="19"/>
      <c r="G345" s="87">
        <f>IF(DAY(NovSun1)=1,NovSun1-4,NovSun1+3)</f>
        <v>44132</v>
      </c>
      <c r="H345" s="19"/>
      <c r="I345" s="87">
        <f>IF(DAY(NovSun1)=1,NovSun1-3,NovSun1+4)</f>
        <v>44133</v>
      </c>
      <c r="J345" s="19"/>
      <c r="K345" s="87">
        <f>IF(DAY(NovSun1)=1,NovSun1-2,NovSun1+5)</f>
        <v>44134</v>
      </c>
      <c r="L345" s="19"/>
      <c r="M345" s="87">
        <f>IF(DAY(NovSun1)=1,NovSun1-1,NovSun1+6)</f>
        <v>44135</v>
      </c>
      <c r="N345" s="19"/>
      <c r="O345" s="87">
        <f>IF(DAY(NovSun1)=1,NovSun1,NovSun1+7)</f>
        <v>44136</v>
      </c>
      <c r="P345" s="7"/>
      <c r="Q345" s="7"/>
      <c r="U345" s="8"/>
      <c r="V345" s="7"/>
    </row>
    <row r="346" spans="1:22" s="9" customFormat="1" ht="55.5" customHeight="1" x14ac:dyDescent="0.3">
      <c r="A346" s="103" t="s">
        <v>82</v>
      </c>
      <c r="B346" s="83"/>
      <c r="C346" s="88"/>
      <c r="D346" s="84"/>
      <c r="E346" s="88"/>
      <c r="F346" s="84"/>
      <c r="G346" s="88"/>
      <c r="H346" s="84"/>
      <c r="I346" s="88"/>
      <c r="J346" s="84"/>
      <c r="K346" s="88"/>
      <c r="L346" s="86"/>
      <c r="M346" s="91"/>
      <c r="N346" s="86"/>
      <c r="O346" s="91"/>
    </row>
    <row r="347" spans="1:22" s="9" customFormat="1" ht="8.25" customHeight="1" x14ac:dyDescent="0.3">
      <c r="A347" s="103"/>
      <c r="B347" s="42"/>
      <c r="C347" s="89"/>
      <c r="D347" s="42"/>
      <c r="E347" s="89"/>
      <c r="F347" s="42"/>
      <c r="G347" s="89"/>
      <c r="H347" s="42"/>
      <c r="I347" s="89"/>
      <c r="J347" s="42"/>
      <c r="K347" s="89"/>
      <c r="L347" s="43"/>
      <c r="M347" s="92"/>
      <c r="N347" s="43"/>
      <c r="O347" s="92"/>
    </row>
    <row r="348" spans="1:22" s="7" customFormat="1" ht="16.5" customHeight="1" x14ac:dyDescent="0.3">
      <c r="A348" s="104"/>
      <c r="B348" s="19"/>
      <c r="C348" s="87">
        <f>IF(DAY(NovSun1)=1,NovSun1+1,NovSun1+8)</f>
        <v>44137</v>
      </c>
      <c r="D348" s="19"/>
      <c r="E348" s="87">
        <f>IF(DAY(NovSun1)=1,NovSun1+2,NovSun1+9)</f>
        <v>44138</v>
      </c>
      <c r="F348" s="19"/>
      <c r="G348" s="87">
        <f>IF(DAY(NovSun1)=1,NovSun1+3,NovSun1+10)</f>
        <v>44139</v>
      </c>
      <c r="H348" s="19"/>
      <c r="I348" s="87">
        <f>IF(DAY(NovSun1)=1,NovSun1+4,NovSun1+11)</f>
        <v>44140</v>
      </c>
      <c r="J348" s="19"/>
      <c r="K348" s="87">
        <f>IF(DAY(NovSun1)=1,NovSun1+5,NovSun1+12)</f>
        <v>44141</v>
      </c>
      <c r="L348" s="19"/>
      <c r="M348" s="87">
        <f>IF(DAY(NovSun1)=1,NovSun1+6,NovSun1+13)</f>
        <v>44142</v>
      </c>
      <c r="N348" s="19"/>
      <c r="O348" s="87">
        <f>IF(DAY(NovSun1)=1,NovSun1+7,NovSun1+14)</f>
        <v>44143</v>
      </c>
    </row>
    <row r="349" spans="1:22" s="11" customFormat="1" ht="55.5" customHeight="1" x14ac:dyDescent="0.3">
      <c r="A349" s="103"/>
      <c r="B349" s="83"/>
      <c r="C349" s="88"/>
      <c r="D349" s="84"/>
      <c r="E349" s="88"/>
      <c r="F349" s="84" t="s">
        <v>7</v>
      </c>
      <c r="G349" s="88"/>
      <c r="H349" s="84"/>
      <c r="I349" s="88"/>
      <c r="J349" s="84"/>
      <c r="K349" s="88"/>
      <c r="L349" s="86"/>
      <c r="M349" s="91"/>
      <c r="N349" s="86"/>
      <c r="O349" s="91"/>
    </row>
    <row r="350" spans="1:22" s="11" customFormat="1" ht="8.25" customHeight="1" x14ac:dyDescent="0.3">
      <c r="A350" s="103"/>
      <c r="B350" s="42"/>
      <c r="C350" s="89"/>
      <c r="D350" s="42"/>
      <c r="E350" s="89"/>
      <c r="F350" s="42"/>
      <c r="G350" s="89"/>
      <c r="H350" s="42"/>
      <c r="I350" s="89"/>
      <c r="J350" s="42"/>
      <c r="K350" s="89"/>
      <c r="L350" s="43"/>
      <c r="M350" s="92"/>
      <c r="N350" s="43"/>
      <c r="O350" s="92"/>
    </row>
    <row r="351" spans="1:22" s="7" customFormat="1" ht="16.5" customHeight="1" x14ac:dyDescent="0.3">
      <c r="A351" s="104"/>
      <c r="B351" s="19"/>
      <c r="C351" s="87">
        <f>IF(DAY(NovSun1)=1,NovSun1+8,NovSun1+15)</f>
        <v>44144</v>
      </c>
      <c r="D351" s="19"/>
      <c r="E351" s="87">
        <f>IF(DAY(NovSun1)=1,NovSun1+9,NovSun1+16)</f>
        <v>44145</v>
      </c>
      <c r="F351" s="19"/>
      <c r="G351" s="87">
        <f>IF(DAY(NovSun1)=1,NovSun1+10,NovSun1+17)</f>
        <v>44146</v>
      </c>
      <c r="H351" s="19"/>
      <c r="I351" s="87">
        <f>IF(DAY(NovSun1)=1,NovSun1+11,NovSun1+18)</f>
        <v>44147</v>
      </c>
      <c r="J351" s="19"/>
      <c r="K351" s="87">
        <f>IF(DAY(NovSun1)=1,NovSun1+12,NovSun1+19)</f>
        <v>44148</v>
      </c>
      <c r="L351" s="19"/>
      <c r="M351" s="87">
        <f>IF(DAY(NovSun1)=1,NovSun1+13,NovSun1+20)</f>
        <v>44149</v>
      </c>
      <c r="N351" s="19"/>
      <c r="O351" s="87">
        <f>IF(DAY(NovSun1)=1,NovSun1+14,NovSun1+21)</f>
        <v>44150</v>
      </c>
    </row>
    <row r="352" spans="1:22" s="11" customFormat="1" ht="55.5" customHeight="1" x14ac:dyDescent="0.3">
      <c r="A352" s="103"/>
      <c r="B352" s="83"/>
      <c r="C352" s="88"/>
      <c r="D352" s="84"/>
      <c r="E352" s="88"/>
      <c r="F352" s="84"/>
      <c r="G352" s="88"/>
      <c r="H352" s="84"/>
      <c r="I352" s="88"/>
      <c r="J352" s="83"/>
      <c r="K352" s="88"/>
      <c r="L352" s="86"/>
      <c r="M352" s="91"/>
      <c r="N352" s="86"/>
      <c r="O352" s="91"/>
    </row>
    <row r="353" spans="1:16" s="11" customFormat="1" ht="8.25" customHeight="1" x14ac:dyDescent="0.3">
      <c r="A353" s="103"/>
      <c r="B353" s="42"/>
      <c r="C353" s="89"/>
      <c r="D353" s="42"/>
      <c r="E353" s="89"/>
      <c r="F353" s="42"/>
      <c r="G353" s="89"/>
      <c r="H353" s="42"/>
      <c r="I353" s="89"/>
      <c r="J353" s="42"/>
      <c r="K353" s="89"/>
      <c r="L353" s="43"/>
      <c r="M353" s="92"/>
      <c r="N353" s="43"/>
      <c r="O353" s="92"/>
    </row>
    <row r="354" spans="1:16" s="7" customFormat="1" ht="16.5" customHeight="1" x14ac:dyDescent="0.3">
      <c r="A354" s="104"/>
      <c r="B354" s="19"/>
      <c r="C354" s="87">
        <f>IF(DAY(NovSun1)=1,NovSun1+15,NovSun1+22)</f>
        <v>44151</v>
      </c>
      <c r="D354" s="19"/>
      <c r="E354" s="87">
        <f>IF(DAY(NovSun1)=1,NovSun1+16,NovSun1+23)</f>
        <v>44152</v>
      </c>
      <c r="F354" s="19"/>
      <c r="G354" s="87">
        <f>IF(DAY(NovSun1)=1,NovSun1+17,NovSun1+24)</f>
        <v>44153</v>
      </c>
      <c r="H354" s="19"/>
      <c r="I354" s="87">
        <f>IF(DAY(NovSun1)=1,NovSun1+18,NovSun1+25)</f>
        <v>44154</v>
      </c>
      <c r="J354" s="19"/>
      <c r="K354" s="87">
        <f>IF(DAY(NovSun1)=1,NovSun1+19,NovSun1+26)</f>
        <v>44155</v>
      </c>
      <c r="L354" s="19"/>
      <c r="M354" s="87">
        <f>IF(DAY(NovSun1)=1,NovSun1+20,NovSun1+27)</f>
        <v>44156</v>
      </c>
      <c r="N354" s="19"/>
      <c r="O354" s="87">
        <f>IF(DAY(NovSun1)=1,NovSun1+21,NovSun1+28)</f>
        <v>44157</v>
      </c>
    </row>
    <row r="355" spans="1:16" s="11" customFormat="1" ht="55.5" customHeight="1" x14ac:dyDescent="0.3">
      <c r="A355" s="103"/>
      <c r="B355" s="83"/>
      <c r="C355" s="88"/>
      <c r="D355" s="84"/>
      <c r="E355" s="88"/>
      <c r="F355" s="84"/>
      <c r="G355" s="88"/>
      <c r="H355" s="84"/>
      <c r="I355" s="88"/>
      <c r="J355" s="84"/>
      <c r="K355" s="88"/>
      <c r="L355" s="86"/>
      <c r="M355" s="91"/>
      <c r="N355" s="86"/>
      <c r="O355" s="91"/>
    </row>
    <row r="356" spans="1:16" s="11" customFormat="1" ht="8.25" customHeight="1" x14ac:dyDescent="0.3">
      <c r="A356" s="103"/>
      <c r="B356" s="42"/>
      <c r="C356" s="89"/>
      <c r="D356" s="42"/>
      <c r="E356" s="89"/>
      <c r="F356" s="42"/>
      <c r="G356" s="89"/>
      <c r="H356" s="42"/>
      <c r="I356" s="89"/>
      <c r="J356" s="42"/>
      <c r="K356" s="89"/>
      <c r="L356" s="43"/>
      <c r="M356" s="92"/>
      <c r="N356" s="43"/>
      <c r="O356" s="92"/>
    </row>
    <row r="357" spans="1:16" s="7" customFormat="1" ht="16.5" customHeight="1" x14ac:dyDescent="0.3">
      <c r="A357" s="104"/>
      <c r="B357" s="19"/>
      <c r="C357" s="87">
        <f>IF(DAY(NovSun1)=1,NovSun1+22,NovSun1+29)</f>
        <v>44158</v>
      </c>
      <c r="D357" s="19"/>
      <c r="E357" s="87">
        <f>IF(DAY(NovSun1)=1,NovSun1+23,NovSun1+30)</f>
        <v>44159</v>
      </c>
      <c r="F357" s="19"/>
      <c r="G357" s="87">
        <f>IF(DAY(NovSun1)=1,NovSun1+24,NovSun1+31)</f>
        <v>44160</v>
      </c>
      <c r="H357" s="19"/>
      <c r="I357" s="87">
        <f>IF(DAY(NovSun1)=1,NovSun1+25,NovSun1+32)</f>
        <v>44161</v>
      </c>
      <c r="J357" s="19"/>
      <c r="K357" s="87">
        <f>IF(DAY(NovSun1)=1,NovSun1+26,NovSun1+33)</f>
        <v>44162</v>
      </c>
      <c r="L357" s="19"/>
      <c r="M357" s="87">
        <f>IF(DAY(NovSun1)=1,NovSun1+27,NovSun1+34)</f>
        <v>44163</v>
      </c>
      <c r="N357" s="19"/>
      <c r="O357" s="87">
        <f>IF(DAY(NovSun1)=1,NovSun1+28,NovSun1+35)</f>
        <v>44164</v>
      </c>
    </row>
    <row r="358" spans="1:16" s="11" customFormat="1" ht="55.5" customHeight="1" x14ac:dyDescent="0.3">
      <c r="A358" s="103"/>
      <c r="B358" s="83"/>
      <c r="C358" s="88"/>
      <c r="D358" s="84"/>
      <c r="E358" s="88"/>
      <c r="F358" s="84"/>
      <c r="G358" s="88"/>
      <c r="H358" s="84"/>
      <c r="I358" s="88"/>
      <c r="J358" s="84"/>
      <c r="K358" s="88"/>
      <c r="L358" s="86"/>
      <c r="M358" s="91"/>
      <c r="N358" s="86"/>
      <c r="O358" s="91"/>
    </row>
    <row r="359" spans="1:16" s="11" customFormat="1" ht="8.25" customHeight="1" x14ac:dyDescent="0.3">
      <c r="A359" s="103"/>
      <c r="B359" s="42"/>
      <c r="C359" s="89"/>
      <c r="D359" s="42"/>
      <c r="E359" s="89"/>
      <c r="F359" s="42"/>
      <c r="G359" s="89"/>
      <c r="H359" s="42"/>
      <c r="I359" s="89"/>
      <c r="J359" s="42"/>
      <c r="K359" s="89"/>
      <c r="L359" s="43"/>
      <c r="M359" s="92"/>
      <c r="N359" s="43"/>
      <c r="O359" s="92"/>
    </row>
    <row r="360" spans="1:16" s="7" customFormat="1" ht="16.5" customHeight="1" x14ac:dyDescent="0.3">
      <c r="A360" s="104"/>
      <c r="B360" s="19"/>
      <c r="C360" s="87">
        <f>IF(DAY(NovSun1)=1,NovSun1+29,NovSun1+36)</f>
        <v>44165</v>
      </c>
      <c r="D360" s="19"/>
      <c r="E360" s="87">
        <f>IF(DAY(NovSun1)=1,NovSun1+30,NovSun1+37)</f>
        <v>44166</v>
      </c>
      <c r="F360" s="19"/>
      <c r="G360" s="87">
        <f>IF(DAY(NovSun1)=1,NovSun1+31,NovSun1+38)</f>
        <v>44167</v>
      </c>
      <c r="H360" s="19"/>
      <c r="I360" s="87">
        <f>IF(DAY(NovSun1)=1,NovSun1+32,NovSun1+39)</f>
        <v>44168</v>
      </c>
      <c r="J360" s="19"/>
      <c r="K360" s="87">
        <f>IF(DAY(NovSun1)=1,NovSun1+33,NovSun1+40)</f>
        <v>44169</v>
      </c>
      <c r="L360" s="19"/>
      <c r="M360" s="87">
        <f>IF(DAY(NovSun1)=1,NovSun1+34,NovSun1+41)</f>
        <v>44170</v>
      </c>
      <c r="N360" s="19"/>
      <c r="O360" s="87">
        <f>IF(DAY(NovSun1)=1,NovSun1+35,NovSun1+42)</f>
        <v>44171</v>
      </c>
    </row>
    <row r="361" spans="1:16" s="11" customFormat="1" ht="55.5" customHeight="1" x14ac:dyDescent="0.3">
      <c r="A361" s="103"/>
      <c r="B361" s="83"/>
      <c r="C361" s="88"/>
      <c r="D361" s="84"/>
      <c r="E361" s="88"/>
      <c r="F361" s="85"/>
      <c r="G361" s="90"/>
      <c r="H361" s="85"/>
      <c r="I361" s="90"/>
      <c r="J361" s="85"/>
      <c r="K361" s="90"/>
      <c r="L361" s="85"/>
      <c r="M361" s="90"/>
      <c r="N361" s="85"/>
      <c r="O361" s="90"/>
    </row>
    <row r="362" spans="1:16" s="11" customFormat="1" ht="7.5" customHeight="1" x14ac:dyDescent="0.3">
      <c r="A362" s="105"/>
      <c r="B362" s="20"/>
      <c r="C362" s="20"/>
      <c r="D362" s="20"/>
      <c r="E362" s="20"/>
      <c r="F362" s="20"/>
      <c r="G362" s="20"/>
      <c r="H362" s="20"/>
      <c r="I362" s="20"/>
      <c r="J362" s="20"/>
      <c r="K362" s="20"/>
      <c r="L362" s="20"/>
      <c r="M362" s="20"/>
      <c r="N362" s="20"/>
      <c r="O362" s="20"/>
    </row>
    <row r="363" spans="1:16" s="11" customFormat="1" x14ac:dyDescent="0.3">
      <c r="A363" s="105"/>
      <c r="B363" s="13"/>
      <c r="C363" s="13"/>
      <c r="D363" s="13"/>
      <c r="E363" s="13"/>
      <c r="F363" s="13"/>
      <c r="G363" s="13"/>
      <c r="H363" s="13"/>
      <c r="I363" s="13"/>
      <c r="J363" s="13"/>
      <c r="K363" s="13"/>
      <c r="L363" s="13"/>
      <c r="M363" s="13"/>
      <c r="N363" s="13"/>
      <c r="O363" s="13"/>
    </row>
    <row r="364" spans="1:16" s="11" customFormat="1" ht="54" customHeight="1" x14ac:dyDescent="0.3">
      <c r="A364" s="105" t="s">
        <v>83</v>
      </c>
      <c r="B364" s="126" t="str">
        <f>TEXT(DATE(CalendarYear,12,1),"mmmm")</f>
        <v>December</v>
      </c>
      <c r="C364" s="126"/>
      <c r="D364" s="126"/>
      <c r="E364" s="126"/>
      <c r="F364" s="126"/>
      <c r="G364" s="126"/>
      <c r="H364" s="126"/>
      <c r="I364" s="126"/>
      <c r="J364" s="120" t="s">
        <v>34</v>
      </c>
      <c r="K364" s="121"/>
      <c r="L364" s="121"/>
      <c r="M364" s="125">
        <f>CalendarYear</f>
        <v>2020</v>
      </c>
      <c r="N364" s="125"/>
      <c r="O364" s="125"/>
      <c r="P364" s="125"/>
    </row>
    <row r="365" spans="1:16" s="11" customFormat="1" ht="18.75" customHeight="1" x14ac:dyDescent="0.3">
      <c r="A365" s="100" t="s">
        <v>84</v>
      </c>
      <c r="B365" s="123"/>
      <c r="C365" s="123"/>
      <c r="D365" s="123"/>
      <c r="E365" s="123"/>
      <c r="F365" s="123"/>
      <c r="G365" s="123"/>
      <c r="H365" s="123"/>
      <c r="I365" s="123"/>
      <c r="J365" s="116" t="s">
        <v>30</v>
      </c>
      <c r="K365" s="117"/>
      <c r="L365" s="117"/>
      <c r="M365" s="117"/>
      <c r="N365" s="117"/>
      <c r="O365" s="1"/>
    </row>
    <row r="366" spans="1:16" s="11" customFormat="1" ht="18.75" customHeight="1" x14ac:dyDescent="0.55000000000000004">
      <c r="A366" s="106"/>
      <c r="B366" s="123"/>
      <c r="C366" s="123"/>
      <c r="D366" s="123"/>
      <c r="E366" s="123"/>
      <c r="F366" s="123"/>
      <c r="G366" s="123"/>
      <c r="H366" s="123"/>
      <c r="I366" s="123"/>
      <c r="J366" s="117"/>
      <c r="K366" s="117"/>
      <c r="L366" s="117"/>
      <c r="M366" s="117"/>
      <c r="N366" s="117"/>
      <c r="O366" s="1"/>
    </row>
    <row r="367" spans="1:16" s="11" customFormat="1" ht="18.75" customHeight="1" x14ac:dyDescent="0.55000000000000004">
      <c r="A367" s="106"/>
      <c r="B367" s="123"/>
      <c r="C367" s="123"/>
      <c r="D367" s="123"/>
      <c r="E367" s="123"/>
      <c r="F367" s="123"/>
      <c r="G367" s="123"/>
      <c r="H367" s="123"/>
      <c r="I367" s="123"/>
      <c r="J367" s="117"/>
      <c r="K367" s="117"/>
      <c r="L367" s="117"/>
      <c r="M367" s="117"/>
      <c r="N367" s="117"/>
      <c r="O367" s="1"/>
    </row>
    <row r="368" spans="1:16" s="11" customFormat="1" ht="18.75" customHeight="1" x14ac:dyDescent="0.55000000000000004">
      <c r="A368" s="106"/>
      <c r="B368" s="123"/>
      <c r="C368" s="123"/>
      <c r="D368" s="123"/>
      <c r="E368" s="123"/>
      <c r="F368" s="123"/>
      <c r="G368" s="123"/>
      <c r="H368" s="123"/>
      <c r="I368" s="123"/>
      <c r="J368" s="117"/>
      <c r="K368" s="117"/>
      <c r="L368" s="117"/>
      <c r="M368" s="117"/>
      <c r="N368" s="117"/>
      <c r="O368" s="1"/>
    </row>
    <row r="369" spans="1:22" s="11" customFormat="1" ht="18.75" customHeight="1" x14ac:dyDescent="0.55000000000000004">
      <c r="A369" s="106"/>
      <c r="B369" s="123"/>
      <c r="C369" s="123"/>
      <c r="D369" s="123"/>
      <c r="E369" s="123"/>
      <c r="F369" s="123"/>
      <c r="G369" s="123"/>
      <c r="H369" s="123"/>
      <c r="I369" s="123"/>
      <c r="J369" s="117"/>
      <c r="K369" s="117"/>
      <c r="L369" s="117"/>
      <c r="M369" s="117"/>
      <c r="N369" s="117"/>
      <c r="O369" s="1"/>
    </row>
    <row r="370" spans="1:22" s="11" customFormat="1" ht="18.75" customHeight="1" x14ac:dyDescent="0.55000000000000004">
      <c r="A370" s="106"/>
      <c r="B370" s="123"/>
      <c r="C370" s="123"/>
      <c r="D370" s="123"/>
      <c r="E370" s="123"/>
      <c r="F370" s="123"/>
      <c r="G370" s="123"/>
      <c r="H370" s="123"/>
      <c r="I370" s="123"/>
      <c r="J370" s="117"/>
      <c r="K370" s="117"/>
      <c r="L370" s="117"/>
      <c r="M370" s="117"/>
      <c r="N370" s="117"/>
      <c r="O370" s="1"/>
    </row>
    <row r="371" spans="1:22" s="11" customFormat="1" ht="18.75" customHeight="1" x14ac:dyDescent="0.55000000000000004">
      <c r="A371" s="106"/>
      <c r="B371" s="123"/>
      <c r="C371" s="123"/>
      <c r="D371" s="123"/>
      <c r="E371" s="123"/>
      <c r="F371" s="123"/>
      <c r="G371" s="123"/>
      <c r="H371" s="123"/>
      <c r="I371" s="123"/>
      <c r="J371" s="117"/>
      <c r="K371" s="117"/>
      <c r="L371" s="117"/>
      <c r="M371" s="117"/>
      <c r="N371" s="117"/>
      <c r="O371" s="1"/>
    </row>
    <row r="372" spans="1:22" s="11" customFormat="1" ht="18.75" customHeight="1" x14ac:dyDescent="0.55000000000000004">
      <c r="A372" s="106"/>
      <c r="B372" s="123"/>
      <c r="C372" s="123"/>
      <c r="D372" s="123"/>
      <c r="E372" s="123"/>
      <c r="F372" s="123"/>
      <c r="G372" s="123"/>
      <c r="H372" s="123"/>
      <c r="I372" s="123"/>
      <c r="J372" s="117"/>
      <c r="K372" s="117"/>
      <c r="L372" s="117"/>
      <c r="M372" s="117"/>
      <c r="N372" s="117"/>
      <c r="O372" s="1"/>
    </row>
    <row r="373" spans="1:22" s="11" customFormat="1" ht="18.75" customHeight="1" x14ac:dyDescent="0.55000000000000004">
      <c r="A373" s="106"/>
      <c r="B373" s="123"/>
      <c r="C373" s="123"/>
      <c r="D373" s="123"/>
      <c r="E373" s="123"/>
      <c r="F373" s="123"/>
      <c r="G373" s="123"/>
      <c r="H373" s="123"/>
      <c r="I373" s="123"/>
      <c r="J373" s="117"/>
      <c r="K373" s="117"/>
      <c r="L373" s="117"/>
      <c r="M373" s="117"/>
      <c r="N373" s="117"/>
      <c r="O373" s="1"/>
    </row>
    <row r="374" spans="1:22" s="11" customFormat="1" ht="18.75" customHeight="1" x14ac:dyDescent="0.55000000000000004">
      <c r="A374" s="106"/>
      <c r="B374" s="123"/>
      <c r="C374" s="123"/>
      <c r="D374" s="123"/>
      <c r="E374" s="123"/>
      <c r="F374" s="123"/>
      <c r="G374" s="123"/>
      <c r="H374" s="123"/>
      <c r="I374" s="123"/>
      <c r="J374" s="117"/>
      <c r="K374" s="117"/>
      <c r="L374" s="117"/>
      <c r="M374" s="117"/>
      <c r="N374" s="117"/>
      <c r="O374" s="1"/>
    </row>
    <row r="375" spans="1:22" s="11" customFormat="1" ht="18.75" customHeight="1" x14ac:dyDescent="0.55000000000000004">
      <c r="A375" s="106"/>
      <c r="B375" s="123"/>
      <c r="C375" s="123"/>
      <c r="D375" s="123"/>
      <c r="E375" s="123"/>
      <c r="F375" s="123"/>
      <c r="G375" s="123"/>
      <c r="H375" s="123"/>
      <c r="I375" s="123"/>
      <c r="J375" s="117"/>
      <c r="K375" s="117"/>
      <c r="L375" s="117"/>
      <c r="M375" s="117"/>
      <c r="N375" s="117"/>
      <c r="O375" s="1"/>
    </row>
    <row r="376" spans="1:22" s="11" customFormat="1" ht="18.75" customHeight="1" x14ac:dyDescent="0.55000000000000004">
      <c r="A376" s="106"/>
      <c r="B376" s="123"/>
      <c r="C376" s="123"/>
      <c r="D376" s="123"/>
      <c r="E376" s="123"/>
      <c r="F376" s="123"/>
      <c r="G376" s="123"/>
      <c r="H376" s="123"/>
      <c r="I376" s="123"/>
      <c r="J376" s="117"/>
      <c r="K376" s="117"/>
      <c r="L376" s="117"/>
      <c r="M376" s="117"/>
      <c r="N376" s="117"/>
      <c r="O376" s="1"/>
    </row>
    <row r="377" spans="1:22" s="11" customFormat="1" ht="18.75" customHeight="1" x14ac:dyDescent="0.55000000000000004">
      <c r="A377" s="106"/>
      <c r="B377" s="123"/>
      <c r="C377" s="123"/>
      <c r="D377" s="123"/>
      <c r="E377" s="123"/>
      <c r="F377" s="123"/>
      <c r="G377" s="123"/>
      <c r="H377" s="123"/>
      <c r="I377" s="123"/>
      <c r="J377" s="117"/>
      <c r="K377" s="117"/>
      <c r="L377" s="117"/>
      <c r="M377" s="117"/>
      <c r="N377" s="117"/>
      <c r="O377" s="1"/>
    </row>
    <row r="378" spans="1:22" s="11" customFormat="1" ht="18.75" customHeight="1" x14ac:dyDescent="0.55000000000000004">
      <c r="A378" s="106"/>
      <c r="B378" s="123"/>
      <c r="C378" s="123"/>
      <c r="D378" s="123"/>
      <c r="E378" s="123"/>
      <c r="F378" s="123"/>
      <c r="G378" s="123"/>
      <c r="H378" s="123"/>
      <c r="I378" s="123"/>
      <c r="J378" s="117"/>
      <c r="K378" s="117"/>
      <c r="L378" s="117"/>
      <c r="M378" s="117"/>
      <c r="N378" s="117"/>
      <c r="O378" s="1"/>
    </row>
    <row r="379" spans="1:22" s="11" customFormat="1" ht="18.75" customHeight="1" x14ac:dyDescent="0.3">
      <c r="A379" s="103"/>
      <c r="B379" s="123"/>
      <c r="C379" s="123"/>
      <c r="D379" s="123"/>
      <c r="E379" s="123"/>
      <c r="F379" s="123"/>
      <c r="G379" s="123"/>
      <c r="H379" s="123"/>
      <c r="I379" s="123"/>
      <c r="J379" s="117"/>
      <c r="K379" s="117"/>
      <c r="L379" s="117"/>
      <c r="M379" s="117"/>
      <c r="N379" s="117"/>
      <c r="O379" s="1"/>
    </row>
    <row r="380" spans="1:22" s="3" customFormat="1" ht="27" customHeight="1" x14ac:dyDescent="0.3">
      <c r="A380" s="103" t="s">
        <v>85</v>
      </c>
      <c r="B380" s="47" t="s">
        <v>0</v>
      </c>
      <c r="C380" s="47" t="s">
        <v>8</v>
      </c>
      <c r="D380" s="48" t="s">
        <v>1</v>
      </c>
      <c r="E380" s="48" t="s">
        <v>9</v>
      </c>
      <c r="F380" s="48" t="s">
        <v>2</v>
      </c>
      <c r="G380" s="48" t="s">
        <v>10</v>
      </c>
      <c r="H380" s="48" t="s">
        <v>3</v>
      </c>
      <c r="I380" s="48" t="s">
        <v>11</v>
      </c>
      <c r="J380" s="48" t="s">
        <v>4</v>
      </c>
      <c r="K380" s="48" t="s">
        <v>12</v>
      </c>
      <c r="L380" s="48" t="s">
        <v>5</v>
      </c>
      <c r="M380" s="48" t="s">
        <v>13</v>
      </c>
      <c r="N380" s="48" t="s">
        <v>6</v>
      </c>
      <c r="O380" s="48" t="s">
        <v>14</v>
      </c>
      <c r="P380" s="11"/>
      <c r="Q380" s="5"/>
      <c r="U380" s="11"/>
      <c r="V380" s="11"/>
    </row>
    <row r="381" spans="1:22" s="6" customFormat="1" ht="16.5" customHeight="1" x14ac:dyDescent="0.3">
      <c r="A381" s="104" t="s">
        <v>86</v>
      </c>
      <c r="B381" s="14"/>
      <c r="C381" s="93">
        <f>IF(DAY(DecSun1)=1,DecSun1-6,DecSun1+1)</f>
        <v>44165</v>
      </c>
      <c r="D381" s="15"/>
      <c r="E381" s="93">
        <f>IF(DAY(DecSun1)=1,DecSun1-5,DecSun1+2)</f>
        <v>44166</v>
      </c>
      <c r="F381" s="15"/>
      <c r="G381" s="93">
        <f>IF(DAY(DecSun1)=1,DecSun1-4,DecSun1+3)</f>
        <v>44167</v>
      </c>
      <c r="H381" s="15"/>
      <c r="I381" s="93">
        <f>IF(DAY(DecSun1)=1,DecSun1-3,DecSun1+4)</f>
        <v>44168</v>
      </c>
      <c r="J381" s="15"/>
      <c r="K381" s="93">
        <f>IF(DAY(DecSun1)=1,DecSun1-2,DecSun1+5)</f>
        <v>44169</v>
      </c>
      <c r="L381" s="15"/>
      <c r="M381" s="93">
        <f>IF(DAY(DecSun1)=1,DecSun1-1,DecSun1+6)</f>
        <v>44170</v>
      </c>
      <c r="N381" s="15"/>
      <c r="O381" s="93">
        <f>IF(DAY(DecSun1)=1,DecSun1,DecSun1+7)</f>
        <v>44171</v>
      </c>
      <c r="P381" s="7"/>
      <c r="Q381" s="7"/>
      <c r="U381" s="8"/>
      <c r="V381" s="7"/>
    </row>
    <row r="382" spans="1:22" s="9" customFormat="1" ht="55.5" customHeight="1" x14ac:dyDescent="0.3">
      <c r="A382" s="103" t="s">
        <v>87</v>
      </c>
      <c r="B382" s="51"/>
      <c r="C382" s="94"/>
      <c r="D382" s="50"/>
      <c r="E382" s="94"/>
      <c r="F382" s="50"/>
      <c r="G382" s="94"/>
      <c r="H382" s="50"/>
      <c r="I382" s="94"/>
      <c r="J382" s="50"/>
      <c r="K382" s="94"/>
      <c r="L382" s="52"/>
      <c r="M382" s="97"/>
      <c r="N382" s="52"/>
      <c r="O382" s="97"/>
    </row>
    <row r="383" spans="1:22" s="9" customFormat="1" ht="8.25" customHeight="1" x14ac:dyDescent="0.3">
      <c r="A383" s="103"/>
      <c r="B383" s="33"/>
      <c r="C383" s="95"/>
      <c r="D383" s="33"/>
      <c r="E383" s="95"/>
      <c r="F383" s="33"/>
      <c r="G383" s="95"/>
      <c r="H383" s="33"/>
      <c r="I383" s="95"/>
      <c r="J383" s="33"/>
      <c r="K383" s="95"/>
      <c r="L383" s="34"/>
      <c r="M383" s="98"/>
      <c r="N383" s="34"/>
      <c r="O383" s="98"/>
    </row>
    <row r="384" spans="1:22" s="7" customFormat="1" ht="16.5" customHeight="1" x14ac:dyDescent="0.3">
      <c r="A384" s="104"/>
      <c r="B384" s="16"/>
      <c r="C384" s="93">
        <f>IF(DAY(DecSun1)=1,DecSun1+1,DecSun1+8)</f>
        <v>44172</v>
      </c>
      <c r="D384" s="15"/>
      <c r="E384" s="93">
        <f>IF(DAY(DecSun1)=1,DecSun1+2,DecSun1+9)</f>
        <v>44173</v>
      </c>
      <c r="F384" s="15"/>
      <c r="G384" s="93">
        <f>IF(DAY(DecSun1)=1,DecSun1+3,DecSun1+10)</f>
        <v>44174</v>
      </c>
      <c r="H384" s="15"/>
      <c r="I384" s="93">
        <f>IF(DAY(DecSun1)=1,DecSun1+4,DecSun1+11)</f>
        <v>44175</v>
      </c>
      <c r="J384" s="15"/>
      <c r="K384" s="93">
        <f>IF(DAY(DecSun1)=1,DecSun1+5,DecSun1+12)</f>
        <v>44176</v>
      </c>
      <c r="L384" s="15"/>
      <c r="M384" s="93">
        <f>IF(DAY(DecSun1)=1,DecSun1+6,DecSun1+13)</f>
        <v>44177</v>
      </c>
      <c r="N384" s="15"/>
      <c r="O384" s="99">
        <f>IF(DAY(DecSun1)=1,DecSun1+7,DecSun1+14)</f>
        <v>44178</v>
      </c>
    </row>
    <row r="385" spans="1:15" s="11" customFormat="1" ht="55.5" customHeight="1" x14ac:dyDescent="0.3">
      <c r="A385" s="103"/>
      <c r="B385" s="51"/>
      <c r="C385" s="94"/>
      <c r="D385" s="50"/>
      <c r="E385" s="94"/>
      <c r="F385" s="50" t="s">
        <v>7</v>
      </c>
      <c r="G385" s="94"/>
      <c r="H385" s="50"/>
      <c r="I385" s="94"/>
      <c r="J385" s="50"/>
      <c r="K385" s="94"/>
      <c r="L385" s="52"/>
      <c r="M385" s="97"/>
      <c r="N385" s="52"/>
      <c r="O385" s="97"/>
    </row>
    <row r="386" spans="1:15" s="11" customFormat="1" ht="8.25" customHeight="1" x14ac:dyDescent="0.3">
      <c r="A386" s="103"/>
      <c r="B386" s="33"/>
      <c r="C386" s="95"/>
      <c r="D386" s="33"/>
      <c r="E386" s="95"/>
      <c r="F386" s="33"/>
      <c r="G386" s="95"/>
      <c r="H386" s="33"/>
      <c r="I386" s="95"/>
      <c r="J386" s="33"/>
      <c r="K386" s="95"/>
      <c r="L386" s="34"/>
      <c r="M386" s="98"/>
      <c r="N386" s="34"/>
      <c r="O386" s="98"/>
    </row>
    <row r="387" spans="1:15" s="7" customFormat="1" ht="16.5" customHeight="1" x14ac:dyDescent="0.3">
      <c r="A387" s="104"/>
      <c r="B387" s="16"/>
      <c r="C387" s="93">
        <f>IF(DAY(DecSun1)=1,DecSun1+8,DecSun1+15)</f>
        <v>44179</v>
      </c>
      <c r="D387" s="15"/>
      <c r="E387" s="93">
        <f>IF(DAY(DecSun1)=1,DecSun1+9,DecSun1+16)</f>
        <v>44180</v>
      </c>
      <c r="F387" s="15"/>
      <c r="G387" s="93">
        <f>IF(DAY(DecSun1)=1,DecSun1+10,DecSun1+17)</f>
        <v>44181</v>
      </c>
      <c r="H387" s="15"/>
      <c r="I387" s="93">
        <f>IF(DAY(DecSun1)=1,DecSun1+11,DecSun1+18)</f>
        <v>44182</v>
      </c>
      <c r="J387" s="15"/>
      <c r="K387" s="93">
        <f>IF(DAY(DecSun1)=1,DecSun1+12,DecSun1+19)</f>
        <v>44183</v>
      </c>
      <c r="L387" s="15"/>
      <c r="M387" s="93">
        <f>IF(DAY(DecSun1)=1,DecSun1+13,DecSun1+20)</f>
        <v>44184</v>
      </c>
      <c r="N387" s="15"/>
      <c r="O387" s="93">
        <f>IF(DAY(DecSun1)=1,DecSun1+14,DecSun1+21)</f>
        <v>44185</v>
      </c>
    </row>
    <row r="388" spans="1:15" s="11" customFormat="1" ht="55.5" customHeight="1" x14ac:dyDescent="0.3">
      <c r="A388" s="103"/>
      <c r="B388" s="51"/>
      <c r="C388" s="94"/>
      <c r="D388" s="50"/>
      <c r="E388" s="94"/>
      <c r="F388" s="50"/>
      <c r="G388" s="94"/>
      <c r="H388" s="50"/>
      <c r="I388" s="94"/>
      <c r="J388" s="50"/>
      <c r="K388" s="94"/>
      <c r="L388" s="52"/>
      <c r="M388" s="97"/>
      <c r="N388" s="52"/>
      <c r="O388" s="97"/>
    </row>
    <row r="389" spans="1:15" s="11" customFormat="1" ht="8.25" customHeight="1" x14ac:dyDescent="0.3">
      <c r="A389" s="103"/>
      <c r="B389" s="33"/>
      <c r="C389" s="95"/>
      <c r="D389" s="33"/>
      <c r="E389" s="95"/>
      <c r="F389" s="33"/>
      <c r="G389" s="95"/>
      <c r="H389" s="33"/>
      <c r="I389" s="95"/>
      <c r="J389" s="33"/>
      <c r="K389" s="95"/>
      <c r="L389" s="34"/>
      <c r="M389" s="98"/>
      <c r="N389" s="34"/>
      <c r="O389" s="98"/>
    </row>
    <row r="390" spans="1:15" s="7" customFormat="1" ht="16.5" customHeight="1" x14ac:dyDescent="0.3">
      <c r="A390" s="104"/>
      <c r="B390" s="16"/>
      <c r="C390" s="93">
        <f>IF(DAY(DecSun1)=1,DecSun1+15,DecSun1+22)</f>
        <v>44186</v>
      </c>
      <c r="D390" s="15"/>
      <c r="E390" s="93">
        <f>IF(DAY(DecSun1)=1,DecSun1+16,DecSun1+23)</f>
        <v>44187</v>
      </c>
      <c r="F390" s="15"/>
      <c r="G390" s="93">
        <f>IF(DAY(DecSun1)=1,DecSun1+17,DecSun1+24)</f>
        <v>44188</v>
      </c>
      <c r="H390" s="15"/>
      <c r="I390" s="93">
        <f>IF(DAY(DecSun1)=1,DecSun1+18,DecSun1+25)</f>
        <v>44189</v>
      </c>
      <c r="J390" s="15"/>
      <c r="K390" s="93">
        <f>IF(DAY(DecSun1)=1,DecSun1+19,DecSun1+26)</f>
        <v>44190</v>
      </c>
      <c r="L390" s="15"/>
      <c r="M390" s="93">
        <f>IF(DAY(DecSun1)=1,DecSun1+20,DecSun1+27)</f>
        <v>44191</v>
      </c>
      <c r="N390" s="15"/>
      <c r="O390" s="93">
        <f>IF(DAY(DecSun1)=1,DecSun1+21,DecSun1+28)</f>
        <v>44192</v>
      </c>
    </row>
    <row r="391" spans="1:15" s="11" customFormat="1" ht="55.5" customHeight="1" x14ac:dyDescent="0.3">
      <c r="A391" s="103"/>
      <c r="B391" s="51"/>
      <c r="C391" s="94"/>
      <c r="D391" s="50"/>
      <c r="E391" s="94"/>
      <c r="F391" s="50"/>
      <c r="G391" s="94"/>
      <c r="H391" s="50"/>
      <c r="I391" s="94"/>
      <c r="J391" s="50"/>
      <c r="K391" s="94"/>
      <c r="L391" s="52"/>
      <c r="M391" s="97"/>
      <c r="N391" s="52"/>
      <c r="O391" s="97"/>
    </row>
    <row r="392" spans="1:15" s="11" customFormat="1" ht="8.25" customHeight="1" x14ac:dyDescent="0.3">
      <c r="A392" s="103"/>
      <c r="B392" s="33"/>
      <c r="C392" s="95"/>
      <c r="D392" s="33"/>
      <c r="E392" s="95"/>
      <c r="F392" s="33"/>
      <c r="G392" s="95"/>
      <c r="H392" s="33"/>
      <c r="I392" s="95"/>
      <c r="J392" s="33"/>
      <c r="K392" s="95"/>
      <c r="L392" s="34"/>
      <c r="M392" s="98"/>
      <c r="N392" s="34"/>
      <c r="O392" s="98"/>
    </row>
    <row r="393" spans="1:15" s="7" customFormat="1" ht="16.5" customHeight="1" x14ac:dyDescent="0.3">
      <c r="A393" s="104"/>
      <c r="B393" s="16"/>
      <c r="C393" s="93">
        <f>IF(DAY(DecSun1)=1,DecSun1+22,DecSun1+29)</f>
        <v>44193</v>
      </c>
      <c r="D393" s="15"/>
      <c r="E393" s="93">
        <f>IF(DAY(DecSun1)=1,DecSun1+23,DecSun1+30)</f>
        <v>44194</v>
      </c>
      <c r="F393" s="15"/>
      <c r="G393" s="93">
        <f>IF(DAY(DecSun1)=1,DecSun1+24,DecSun1+31)</f>
        <v>44195</v>
      </c>
      <c r="H393" s="15"/>
      <c r="I393" s="93">
        <f>IF(DAY(DecSun1)=1,DecSun1+25,DecSun1+32)</f>
        <v>44196</v>
      </c>
      <c r="J393" s="15"/>
      <c r="K393" s="93">
        <f>IF(DAY(DecSun1)=1,DecSun1+26,DecSun1+33)</f>
        <v>44197</v>
      </c>
      <c r="L393" s="15"/>
      <c r="M393" s="93">
        <f>IF(DAY(DecSun1)=1,DecSun1+27,DecSun1+34)</f>
        <v>44198</v>
      </c>
      <c r="N393" s="15"/>
      <c r="O393" s="93">
        <f>IF(DAY(DecSun1)=1,DecSun1+28,DecSun1+35)</f>
        <v>44199</v>
      </c>
    </row>
    <row r="394" spans="1:15" s="11" customFormat="1" ht="55.5" customHeight="1" x14ac:dyDescent="0.3">
      <c r="A394" s="103"/>
      <c r="B394" s="51"/>
      <c r="C394" s="94"/>
      <c r="D394" s="50"/>
      <c r="E394" s="94"/>
      <c r="F394" s="50"/>
      <c r="G394" s="94"/>
      <c r="H394" s="50"/>
      <c r="I394" s="94"/>
      <c r="J394" s="50"/>
      <c r="K394" s="94"/>
      <c r="L394" s="52"/>
      <c r="M394" s="97"/>
      <c r="N394" s="52"/>
      <c r="O394" s="97"/>
    </row>
    <row r="395" spans="1:15" s="11" customFormat="1" ht="8.25" customHeight="1" x14ac:dyDescent="0.3">
      <c r="A395" s="103"/>
      <c r="B395" s="33"/>
      <c r="C395" s="95"/>
      <c r="D395" s="33"/>
      <c r="E395" s="95"/>
      <c r="F395" s="33"/>
      <c r="G395" s="95"/>
      <c r="H395" s="33"/>
      <c r="I395" s="95"/>
      <c r="J395" s="33"/>
      <c r="K395" s="95"/>
      <c r="L395" s="34"/>
      <c r="M395" s="98"/>
      <c r="N395" s="34"/>
      <c r="O395" s="98"/>
    </row>
    <row r="396" spans="1:15" s="7" customFormat="1" ht="16.5" customHeight="1" x14ac:dyDescent="0.3">
      <c r="A396" s="104"/>
      <c r="B396" s="16"/>
      <c r="C396" s="93">
        <f>IF(DAY(DecSun1)=1,DecSun1+29,DecSun1+36)</f>
        <v>44200</v>
      </c>
      <c r="D396" s="15"/>
      <c r="E396" s="93">
        <f>IF(DAY(DecSun1)=1,DecSun1+30,DecSun1+37)</f>
        <v>44201</v>
      </c>
      <c r="F396" s="15"/>
      <c r="G396" s="93">
        <f>IF(DAY(DecSun1)=1,DecSun1+31,DecSun1+38)</f>
        <v>44202</v>
      </c>
      <c r="H396" s="15"/>
      <c r="I396" s="93">
        <f>IF(DAY(DecSun1)=1,DecSun1+32,DecSun1+39)</f>
        <v>44203</v>
      </c>
      <c r="J396" s="16"/>
      <c r="K396" s="93">
        <f>IF(DAY(DecSun1)=1,DecSun1+33,DecSun1+40)</f>
        <v>44204</v>
      </c>
      <c r="L396" s="15"/>
      <c r="M396" s="93">
        <f>IF(DAY(DecSun1)=1,DecSun1+34,DecSun1+41)</f>
        <v>44205</v>
      </c>
      <c r="N396" s="15"/>
      <c r="O396" s="93">
        <f>IF(DAY(DecSun1)=1,DecSun1+35,DecSun1+42)</f>
        <v>44206</v>
      </c>
    </row>
    <row r="397" spans="1:15" s="11" customFormat="1" ht="55.5" customHeight="1" x14ac:dyDescent="0.3">
      <c r="A397" s="103"/>
      <c r="B397" s="51"/>
      <c r="C397" s="94"/>
      <c r="D397" s="50"/>
      <c r="E397" s="94"/>
      <c r="F397" s="55"/>
      <c r="G397" s="96"/>
      <c r="H397" s="55"/>
      <c r="I397" s="96"/>
      <c r="J397" s="55"/>
      <c r="K397" s="96"/>
      <c r="L397" s="55"/>
      <c r="M397" s="96"/>
      <c r="N397" s="55"/>
      <c r="O397" s="96"/>
    </row>
    <row r="398" spans="1:15" s="11" customFormat="1" ht="7.5" customHeight="1" x14ac:dyDescent="0.3">
      <c r="A398" s="105"/>
      <c r="B398" s="17"/>
      <c r="C398" s="17"/>
      <c r="D398" s="17"/>
      <c r="E398" s="17"/>
      <c r="F398" s="17"/>
      <c r="G398" s="17"/>
      <c r="H398" s="17"/>
      <c r="I398" s="17"/>
      <c r="J398" s="17"/>
      <c r="K398" s="17"/>
      <c r="L398" s="17"/>
      <c r="M398" s="17"/>
      <c r="N398" s="17"/>
      <c r="O398" s="17"/>
    </row>
  </sheetData>
  <mergeCells count="58">
    <mergeCell ref="J146:L146"/>
    <mergeCell ref="M38:O38"/>
    <mergeCell ref="B199:I199"/>
    <mergeCell ref="R2:U2"/>
    <mergeCell ref="B182:I182"/>
    <mergeCell ref="J182:L182"/>
    <mergeCell ref="B2:I2"/>
    <mergeCell ref="B38:I38"/>
    <mergeCell ref="B74:I74"/>
    <mergeCell ref="J74:L74"/>
    <mergeCell ref="M2:P2"/>
    <mergeCell ref="J2:L2"/>
    <mergeCell ref="B3:I17"/>
    <mergeCell ref="B39:I53"/>
    <mergeCell ref="M146:P146"/>
    <mergeCell ref="B75:I89"/>
    <mergeCell ref="B111:I125"/>
    <mergeCell ref="B110:I110"/>
    <mergeCell ref="B146:I146"/>
    <mergeCell ref="B147:I161"/>
    <mergeCell ref="B328:I328"/>
    <mergeCell ref="K293:N307"/>
    <mergeCell ref="B329:J343"/>
    <mergeCell ref="K329:N343"/>
    <mergeCell ref="M199:P199"/>
    <mergeCell ref="M220:P220"/>
    <mergeCell ref="M256:P256"/>
    <mergeCell ref="J256:L256"/>
    <mergeCell ref="J220:L220"/>
    <mergeCell ref="B256:I256"/>
    <mergeCell ref="B292:I292"/>
    <mergeCell ref="M328:P328"/>
    <mergeCell ref="J328:L328"/>
    <mergeCell ref="R3:U8"/>
    <mergeCell ref="J3:M17"/>
    <mergeCell ref="J39:O53"/>
    <mergeCell ref="J75:N89"/>
    <mergeCell ref="J111:N125"/>
    <mergeCell ref="J38:L38"/>
    <mergeCell ref="M110:P110"/>
    <mergeCell ref="M74:O74"/>
    <mergeCell ref="J110:L110"/>
    <mergeCell ref="J147:N161"/>
    <mergeCell ref="K221:N235"/>
    <mergeCell ref="J199:L199"/>
    <mergeCell ref="M182:P182"/>
    <mergeCell ref="B365:I379"/>
    <mergeCell ref="B293:J307"/>
    <mergeCell ref="B257:J271"/>
    <mergeCell ref="B221:J235"/>
    <mergeCell ref="B220:I220"/>
    <mergeCell ref="J365:N379"/>
    <mergeCell ref="M364:P364"/>
    <mergeCell ref="J364:L364"/>
    <mergeCell ref="B364:I364"/>
    <mergeCell ref="K257:N271"/>
    <mergeCell ref="M292:O292"/>
    <mergeCell ref="J292:L292"/>
  </mergeCells>
  <conditionalFormatting sqref="C19 E19 G19 I19 K19 M19 O19">
    <cfRule type="expression" dxfId="45" priority="38">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44" priority="40">
      <formula>B20&lt;&gt;""</formula>
    </cfRule>
  </conditionalFormatting>
  <conditionalFormatting sqref="C31 E31 G31 I31 K31 M31 O31 C34 E34 G34 I34 K34 M34 O34">
    <cfRule type="expression" dxfId="43" priority="39">
      <formula>AND(DAY(C31)&gt;=1,DAY(C31)&lt;=15)</formula>
    </cfRule>
  </conditionalFormatting>
  <conditionalFormatting sqref="C55 E55 G55 I55 K55 M55 O55">
    <cfRule type="expression" dxfId="42" priority="35">
      <formula>DAY(C55)&gt;8</formula>
    </cfRule>
  </conditionalFormatting>
  <conditionalFormatting sqref="C55 E55 G55 I55 K55 M55 O55 C58 E58 G58 I58 K58 M58 O58 C61 E61 G61 I61 K61 M61 O61 C64 E64 G64 I64 K64 M64 O64 C67 E67 G67 I67 K67 M67 O67 C70 E70 G70 I70 K70 M70 O70">
    <cfRule type="expression" dxfId="41" priority="37">
      <formula>B56&lt;&gt;""</formula>
    </cfRule>
  </conditionalFormatting>
  <conditionalFormatting sqref="C67 E67 G67 I67 K67 M67 O67 C70 E70 G70 I70 K70 M70 O70">
    <cfRule type="expression" dxfId="40" priority="36">
      <formula>AND(DAY(C67)&gt;=1,DAY(C67)&lt;=15)</formula>
    </cfRule>
  </conditionalFormatting>
  <conditionalFormatting sqref="C91 E91 G91 I91 K91 M91 O91">
    <cfRule type="expression" dxfId="39" priority="32">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38" priority="34">
      <formula>B92&lt;&gt;""</formula>
    </cfRule>
  </conditionalFormatting>
  <conditionalFormatting sqref="C103 E103 G103 I103 K103 M103 O103 C106 E106 G106 I106 K106 M106 O106">
    <cfRule type="expression" dxfId="37" priority="33">
      <formula>AND(DAY(C103)&gt;=1,DAY(C103)&lt;=15)</formula>
    </cfRule>
  </conditionalFormatting>
  <conditionalFormatting sqref="C127 E127 G127 I127 K127 M127 O127">
    <cfRule type="expression" dxfId="36" priority="29">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35" priority="31">
      <formula>B128&lt;&gt;""</formula>
    </cfRule>
  </conditionalFormatting>
  <conditionalFormatting sqref="C139 E139 G139 I139 K139 M139 O139 C142 E142 G142 I142 K142 M142 O142">
    <cfRule type="expression" dxfId="34" priority="30">
      <formula>AND(DAY(C139)&gt;=1,DAY(C139)&lt;=15)</formula>
    </cfRule>
  </conditionalFormatting>
  <conditionalFormatting sqref="C163 E163 G163 I163 K163 M163 O163">
    <cfRule type="expression" dxfId="33" priority="26">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32" priority="28">
      <formula>B164&lt;&gt;""</formula>
    </cfRule>
  </conditionalFormatting>
  <conditionalFormatting sqref="C175 E175 G175 I175 K175 M175 O175 C178 E178 G178 I178 K178 M178 O178">
    <cfRule type="expression" dxfId="31" priority="27">
      <formula>AND(DAY(C175)&gt;=1,DAY(C175)&lt;=15)</formula>
    </cfRule>
  </conditionalFormatting>
  <conditionalFormatting sqref="C184 E184 G184 I184 K184 M184 O184">
    <cfRule type="expression" dxfId="30" priority="23">
      <formula>DAY(C184)&gt;8</formula>
    </cfRule>
  </conditionalFormatting>
  <conditionalFormatting sqref="C184 E184 G184 I184 K184 M184 O184 C187 E187 G187 I187 K187 M187 O187 C190 E190 G190 I190 K190 M190 O190 C193 E193 G193 I193 K193 M193 O193 C196 E196 G196 I196 K196 M196 O196">
    <cfRule type="expression" dxfId="29" priority="25">
      <formula>B185&lt;&gt;""</formula>
    </cfRule>
  </conditionalFormatting>
  <conditionalFormatting sqref="C196 E196 G196 I196 K196 M196 O196">
    <cfRule type="expression" dxfId="28" priority="24">
      <formula>AND(DAY(C196)&gt;=1,DAY(C196)&lt;=15)</formula>
    </cfRule>
  </conditionalFormatting>
  <conditionalFormatting sqref="C201 E201 G201 I201 K201 M201 O201">
    <cfRule type="expression" dxfId="27" priority="20">
      <formula>DAY(C201)&gt;8</formula>
    </cfRule>
  </conditionalFormatting>
  <conditionalFormatting sqref="C201 E201 G201 I201 K201 M201 O201 C204 E204 G204 I204 K204 M204 O204 C207 E207 G207 I207 K207 M207 O207 C210 E210 G210 I210 K210 M210 O210 C213 E213 G213 I213 K213 M213 O213 C216 E216 G216 I216 K216 M216 O216">
    <cfRule type="expression" dxfId="26" priority="22">
      <formula>B202&lt;&gt;""</formula>
    </cfRule>
  </conditionalFormatting>
  <conditionalFormatting sqref="C213 E213 G213 I213 K213 M213 O213 C216 E216 G216 I216 K216 M216 O216">
    <cfRule type="expression" dxfId="25" priority="21">
      <formula>AND(DAY(C213)&gt;=1,DAY(C213)&lt;=15)</formula>
    </cfRule>
  </conditionalFormatting>
  <conditionalFormatting sqref="C237 E237 G237 I237 K237 M237 O237">
    <cfRule type="expression" dxfId="24" priority="17">
      <formula>DAY(C237)&gt;8</formula>
    </cfRule>
  </conditionalFormatting>
  <conditionalFormatting sqref="C237 E237 G237 I237 K237 M237 O237 C240 E240 G240 I240 K240 M240 O240 C243 E243 G243 I243 K243 M243 O243 C246 E246 G246 I246 K246 M246 O246 C249 E249 G249 I249 K249 M249 O249 C252 E252 G252 I252 K252 M252 O252">
    <cfRule type="expression" dxfId="23" priority="19">
      <formula>B238&lt;&gt;""</formula>
    </cfRule>
  </conditionalFormatting>
  <conditionalFormatting sqref="C249 E249 G249 I249 K249 M249 O249 C252 E252 G252 I252 K252 M252 O252">
    <cfRule type="expression" dxfId="22" priority="18">
      <formula>AND(DAY(C249)&gt;=1,DAY(C249)&lt;=15)</formula>
    </cfRule>
  </conditionalFormatting>
  <conditionalFormatting sqref="C273 E273 G273 I273 K273 M273 O273">
    <cfRule type="expression" dxfId="21" priority="14">
      <formula>DAY(C273)&gt;8</formula>
    </cfRule>
  </conditionalFormatting>
  <conditionalFormatting sqref="C273 E273 G273 I273 K273 M273 O273 C276 E276 G276 I276 K276 M276 O276 C279 E279 G279 I279 K279 M279 O279 C282 E282 G282 I282 K282 M282 O282 C285 E285 G285 I285 K285 M285 O285 C288 E288 G288 I288 K288 M288 O288">
    <cfRule type="expression" dxfId="20" priority="16">
      <formula>B274&lt;&gt;""</formula>
    </cfRule>
  </conditionalFormatting>
  <conditionalFormatting sqref="C285 E285 G285 I285 K285 M285 O285 C288 E288 G288 I288 K288 M288 O288">
    <cfRule type="expression" dxfId="19" priority="15">
      <formula>AND(DAY(C285)&gt;=1,DAY(C285)&lt;=15)</formula>
    </cfRule>
  </conditionalFormatting>
  <conditionalFormatting sqref="C309 E309 G309 I309 K309 M309 O309">
    <cfRule type="expression" dxfId="18" priority="11">
      <formula>DAY(C309)&gt;8</formula>
    </cfRule>
  </conditionalFormatting>
  <conditionalFormatting sqref="C309 E309 G309 I309 K309 M309 O309 C312 E312 G312 I312 K312 M312 O312 C315 E315 G315 I315 K315 M315 O315 C318 E318 G318 I318 K318 M318 O318 C321 E321 G321 I321 K321 M321 O321 C324 E324 G324 I324 K324 M324 O324">
    <cfRule type="expression" dxfId="17" priority="13">
      <formula>B310&lt;&gt;""</formula>
    </cfRule>
  </conditionalFormatting>
  <conditionalFormatting sqref="C321 E321 G321 I321 K321 M321 O321 C324 E324 G324 I324 K324 M324 O324">
    <cfRule type="expression" dxfId="16" priority="12">
      <formula>AND(DAY(C321)&gt;=1,DAY(C321)&lt;=15)</formula>
    </cfRule>
  </conditionalFormatting>
  <conditionalFormatting sqref="C345 E345 G345 I345 K345 M345 O345">
    <cfRule type="expression" dxfId="15" priority="8">
      <formula>DAY(C345)&gt;8</formula>
    </cfRule>
  </conditionalFormatting>
  <conditionalFormatting sqref="C345 E345 G345 I345 K345 M345 O345 C348 E348 G348 I348 K348 M348 O348 C351 E351 G351 I351 K351 M351 O351 C354 E354 G354 I354 K354 M354 O354 C357 E357 G357 I357 K357 M357 O357 C360 E360 G360 I360 K360 M360 O360">
    <cfRule type="expression" dxfId="14" priority="10">
      <formula>B346&lt;&gt;""</formula>
    </cfRule>
  </conditionalFormatting>
  <conditionalFormatting sqref="C357 E357 G357 I357 K357 M357 O357 C360 E360 G360 I360 K360 M360 O360">
    <cfRule type="expression" dxfId="13" priority="9">
      <formula>AND(DAY(C357)&gt;=1,DAY(C357)&lt;=15)</formula>
    </cfRule>
  </conditionalFormatting>
  <conditionalFormatting sqref="C381 E381 G381 I381 K381 M381 O381">
    <cfRule type="expression" dxfId="12" priority="5">
      <formula>DAY(C381)&gt;8</formula>
    </cfRule>
  </conditionalFormatting>
  <conditionalFormatting sqref="C381 E381 G381 I381 K381 M381 O381 C384 E384 G384 I384 K384 M384 O384 C387 E387 G387 I387 K387 M387 O387 C390 E390 G390 I390 K390 M390 O390 C393 E393 G393 I393 K393 M393 O393 C396 E396 G396 I396 K396 M396 O396">
    <cfRule type="expression" dxfId="11" priority="7">
      <formula>B382&lt;&gt;""</formula>
    </cfRule>
  </conditionalFormatting>
  <conditionalFormatting sqref="C393 E393 G393 I393 K393 M393 O393 C396 E396 G396 I396 K396 M396 O396">
    <cfRule type="expression" dxfId="10" priority="6">
      <formula>AND(DAY(C393)&gt;=1,DAY(C393)&lt;=15)</formula>
    </cfRule>
  </conditionalFormatting>
  <conditionalFormatting sqref="A1:A1048576">
    <cfRule type="notContainsBlanks" dxfId="9" priority="41">
      <formula>LEN(TRIM(A1))&gt;0</formula>
    </cfRule>
  </conditionalFormatting>
  <conditionalFormatting sqref="J2:L2 J38:J39 J74:J75 J110:J111 J146:J147 J182 J199 J220 K221 J256 K257 J292 K293 J328 K329 J364:J365">
    <cfRule type="notContainsBlanks" dxfId="8" priority="3">
      <formula>LEN(TRIM(J2))&gt;0</formula>
    </cfRule>
  </conditionalFormatting>
  <conditionalFormatting sqref="R2:U2">
    <cfRule type="notContainsBlanks" dxfId="7" priority="2">
      <formula>LEN(TRIM(R2))&gt;0</formula>
    </cfRule>
  </conditionalFormatting>
  <conditionalFormatting sqref="J3:M17">
    <cfRule type="notContainsBlanks" dxfId="6" priority="1">
      <formula>LEN(TRIM(J3))&gt;0</formula>
    </cfRule>
  </conditionalFormatting>
  <printOptions horizontalCentered="1" verticalCentered="1"/>
  <pageMargins left="0.2" right="0.2" top="0.25" bottom="0.25" header="0" footer="0"/>
  <pageSetup scale="88" fitToHeight="12" orientation="portrait" r:id="rId1"/>
  <headerFooter scaleWithDoc="0" alignWithMargins="0"/>
  <rowBreaks count="10" manualBreakCount="10">
    <brk id="36" max="16" man="1"/>
    <brk id="72" max="16" man="1"/>
    <brk id="108" max="16" man="1"/>
    <brk id="144" max="16" man="1"/>
    <brk id="180" max="16" man="1"/>
    <brk id="218" max="16" man="1"/>
    <brk id="254" max="16" man="1"/>
    <brk id="290" max="16" man="1"/>
    <brk id="326" max="16" man="1"/>
    <brk id="362"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Spinner 1">
              <controlPr defaultSize="0" print="0" autoPict="0" altText="Spinner control. Use spinner to change calendar year or type desired year in cell L2 ">
                <anchor moveWithCells="1">
                  <from>
                    <xdr:col>15</xdr:col>
                    <xdr:colOff>44450</xdr:colOff>
                    <xdr:row>1</xdr:row>
                    <xdr:rowOff>146050</xdr:rowOff>
                  </from>
                  <to>
                    <xdr:col>16</xdr:col>
                    <xdr:colOff>107950</xdr:colOff>
                    <xdr:row>1</xdr:row>
                    <xdr:rowOff>527050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1ADFD-76F6-4806-BD75-2E2E64450077}">
  <dimension ref="A1:O23"/>
  <sheetViews>
    <sheetView tabSelected="1" view="pageLayout" zoomScaleNormal="100" workbookViewId="0">
      <selection activeCell="E21" sqref="E21:F21"/>
    </sheetView>
  </sheetViews>
  <sheetFormatPr defaultRowHeight="15" x14ac:dyDescent="0.3"/>
  <cols>
    <col min="1" max="10" width="7.69140625" style="107" customWidth="1"/>
    <col min="11" max="16384" width="9.23046875" style="107"/>
  </cols>
  <sheetData>
    <row r="1" spans="1:15" ht="56.5" customHeight="1" x14ac:dyDescent="0.65">
      <c r="A1" s="153" t="s">
        <v>95</v>
      </c>
      <c r="B1" s="154"/>
      <c r="C1" s="154"/>
      <c r="D1" s="154"/>
      <c r="E1" s="154"/>
      <c r="F1" s="154"/>
      <c r="G1" s="154"/>
      <c r="H1" s="154"/>
      <c r="I1" s="154"/>
      <c r="J1" s="154"/>
    </row>
    <row r="2" spans="1:15" s="30" customFormat="1" ht="34.5" customHeight="1" x14ac:dyDescent="0.3">
      <c r="A2" s="149" t="str">
        <f>TEXT(DATE(CalendarYear,6,1),"mmmm")</f>
        <v>June</v>
      </c>
      <c r="B2" s="149"/>
      <c r="C2" s="149"/>
      <c r="D2" s="149"/>
      <c r="E2" s="149"/>
      <c r="F2" s="149"/>
      <c r="G2" s="149"/>
      <c r="H2" s="149"/>
      <c r="I2" s="148"/>
      <c r="J2" s="148"/>
    </row>
    <row r="3" spans="1:15" s="108" customFormat="1" ht="27" customHeight="1" x14ac:dyDescent="0.3">
      <c r="A3" s="151" t="s">
        <v>0</v>
      </c>
      <c r="B3" s="151"/>
      <c r="C3" s="151" t="s">
        <v>1</v>
      </c>
      <c r="D3" s="151"/>
      <c r="E3" s="151" t="s">
        <v>2</v>
      </c>
      <c r="F3" s="151"/>
      <c r="G3" s="151" t="s">
        <v>3</v>
      </c>
      <c r="H3" s="151"/>
      <c r="I3" s="151" t="s">
        <v>4</v>
      </c>
      <c r="J3" s="151"/>
      <c r="N3" s="30"/>
      <c r="O3" s="30"/>
    </row>
    <row r="4" spans="1:15" s="112" customFormat="1" ht="16.5" customHeight="1" x14ac:dyDescent="0.3">
      <c r="A4" s="109"/>
      <c r="B4" s="110">
        <v>1</v>
      </c>
      <c r="C4" s="111"/>
      <c r="D4" s="110">
        <f>IF(DAY(JunSun1)=1,JunSun1-5,JunSun1+2)</f>
        <v>43984</v>
      </c>
      <c r="E4" s="111"/>
      <c r="F4" s="110">
        <f>IF(DAY(JunSun1)=1,JunSun1-4,JunSun1+3)</f>
        <v>43985</v>
      </c>
      <c r="G4" s="111"/>
      <c r="H4" s="110">
        <f>IF(DAY(JunSun1)=1,JunSun1-3,JunSun1+4)</f>
        <v>43986</v>
      </c>
      <c r="I4" s="111"/>
      <c r="J4" s="110">
        <f>IF(DAY(JunSun1)=1,JunSun1-2,JunSun1+5)</f>
        <v>43987</v>
      </c>
      <c r="N4" s="8"/>
      <c r="O4" s="7"/>
    </row>
    <row r="5" spans="1:15" s="9" customFormat="1" ht="38" customHeight="1" x14ac:dyDescent="0.25">
      <c r="A5" s="152" t="s">
        <v>89</v>
      </c>
      <c r="B5" s="145"/>
      <c r="C5" s="144" t="s">
        <v>96</v>
      </c>
      <c r="D5" s="145"/>
      <c r="E5" s="144" t="s">
        <v>98</v>
      </c>
      <c r="F5" s="145"/>
      <c r="G5" s="144" t="s">
        <v>96</v>
      </c>
      <c r="H5" s="145"/>
      <c r="I5" s="144" t="s">
        <v>97</v>
      </c>
      <c r="J5" s="145"/>
    </row>
    <row r="6" spans="1:15" s="7" customFormat="1" ht="16.5" customHeight="1" x14ac:dyDescent="0.3">
      <c r="A6" s="111"/>
      <c r="B6" s="110">
        <f>IF(DAY(JunSun1)=1,JunSun1+1,JunSun1+8)</f>
        <v>43990</v>
      </c>
      <c r="C6" s="111"/>
      <c r="D6" s="110">
        <f>IF(DAY(JunSun1)=1,JunSun1+2,JunSun1+9)</f>
        <v>43991</v>
      </c>
      <c r="E6" s="111"/>
      <c r="F6" s="110">
        <f>IF(DAY(JunSun1)=1,JunSun1+3,JunSun1+10)</f>
        <v>43992</v>
      </c>
      <c r="G6" s="111"/>
      <c r="H6" s="110">
        <f>IF(DAY(JunSun1)=1,JunSun1+4,JunSun1+11)</f>
        <v>43993</v>
      </c>
      <c r="I6" s="111"/>
      <c r="J6" s="110">
        <f>IF(DAY(JunSun1)=1,JunSun1+5,JunSun1+12)</f>
        <v>43994</v>
      </c>
    </row>
    <row r="7" spans="1:15" s="30" customFormat="1" ht="38" customHeight="1" x14ac:dyDescent="0.3">
      <c r="A7" s="152" t="s">
        <v>90</v>
      </c>
      <c r="B7" s="145"/>
      <c r="C7" s="144" t="s">
        <v>96</v>
      </c>
      <c r="D7" s="145"/>
      <c r="E7" s="144" t="s">
        <v>91</v>
      </c>
      <c r="F7" s="145"/>
      <c r="G7" s="144" t="s">
        <v>96</v>
      </c>
      <c r="H7" s="145"/>
      <c r="I7" s="144" t="s">
        <v>97</v>
      </c>
      <c r="J7" s="145"/>
    </row>
    <row r="8" spans="1:15" s="7" customFormat="1" ht="16.5" customHeight="1" x14ac:dyDescent="0.3">
      <c r="A8" s="111"/>
      <c r="B8" s="110">
        <f>IF(DAY(JunSun1)=1,JunSun1+8,JunSun1+15)</f>
        <v>43997</v>
      </c>
      <c r="C8" s="111"/>
      <c r="D8" s="110">
        <f>IF(DAY(JunSun1)=1,JunSun1+9,JunSun1+16)</f>
        <v>43998</v>
      </c>
      <c r="E8" s="111"/>
      <c r="F8" s="110">
        <f>IF(DAY(JunSun1)=1,JunSun1+10,JunSun1+17)</f>
        <v>43999</v>
      </c>
      <c r="G8" s="111"/>
      <c r="H8" s="110">
        <f>IF(DAY(JunSun1)=1,JunSun1+11,JunSun1+18)</f>
        <v>44000</v>
      </c>
      <c r="I8" s="111"/>
      <c r="J8" s="110">
        <f>IF(DAY(JunSun1)=1,JunSun1+12,JunSun1+19)</f>
        <v>44001</v>
      </c>
    </row>
    <row r="9" spans="1:15" s="30" customFormat="1" ht="38" customHeight="1" x14ac:dyDescent="0.3">
      <c r="A9" s="152" t="s">
        <v>89</v>
      </c>
      <c r="B9" s="145"/>
      <c r="C9" s="144" t="s">
        <v>96</v>
      </c>
      <c r="D9" s="145"/>
      <c r="E9" s="144" t="s">
        <v>98</v>
      </c>
      <c r="F9" s="145"/>
      <c r="G9" s="144" t="s">
        <v>96</v>
      </c>
      <c r="H9" s="145"/>
      <c r="I9" s="144" t="s">
        <v>97</v>
      </c>
      <c r="J9" s="145"/>
    </row>
    <row r="10" spans="1:15" s="7" customFormat="1" ht="16.5" customHeight="1" x14ac:dyDescent="0.3">
      <c r="A10" s="111"/>
      <c r="B10" s="110">
        <f>IF(DAY(JunSun1)=1,JunSun1+15,JunSun1+22)</f>
        <v>44004</v>
      </c>
      <c r="C10" s="111"/>
      <c r="D10" s="110">
        <f>IF(DAY(JunSun1)=1,JunSun1+16,JunSun1+23)</f>
        <v>44005</v>
      </c>
      <c r="E10" s="111"/>
      <c r="F10" s="110">
        <f>IF(DAY(JunSun1)=1,JunSun1+17,JunSun1+24)</f>
        <v>44006</v>
      </c>
      <c r="G10" s="111"/>
      <c r="H10" s="110">
        <f>IF(DAY(JunSun1)=1,JunSun1+18,JunSun1+25)</f>
        <v>44007</v>
      </c>
      <c r="I10" s="111"/>
      <c r="J10" s="110">
        <f>IF(DAY(JunSun1)=1,JunSun1+19,JunSun1+26)</f>
        <v>44008</v>
      </c>
    </row>
    <row r="11" spans="1:15" s="30" customFormat="1" ht="38" customHeight="1" x14ac:dyDescent="0.3">
      <c r="A11" s="152" t="s">
        <v>90</v>
      </c>
      <c r="B11" s="145"/>
      <c r="C11" s="144" t="s">
        <v>96</v>
      </c>
      <c r="D11" s="145"/>
      <c r="E11" s="144" t="s">
        <v>92</v>
      </c>
      <c r="F11" s="145"/>
      <c r="G11" s="144" t="s">
        <v>96</v>
      </c>
      <c r="H11" s="145"/>
      <c r="I11" s="144" t="s">
        <v>97</v>
      </c>
      <c r="J11" s="145"/>
    </row>
    <row r="12" spans="1:15" s="7" customFormat="1" ht="16.5" customHeight="1" x14ac:dyDescent="0.3">
      <c r="A12" s="111"/>
      <c r="B12" s="110">
        <f>IF(DAY(JunSun1)=1,JunSun1+22,JunSun1+29)</f>
        <v>44011</v>
      </c>
      <c r="C12" s="111"/>
      <c r="D12" s="110">
        <f>IF(DAY(JunSun1)=1,JunSun1+23,JunSun1+30)</f>
        <v>44012</v>
      </c>
      <c r="E12" s="111"/>
      <c r="F12" s="110">
        <f>IF(DAY(JunSun1)=1,JunSun1+24,JunSun1+31)</f>
        <v>44013</v>
      </c>
      <c r="G12" s="111"/>
      <c r="H12" s="110">
        <f>IF(DAY(JunSun1)=1,JunSun1+25,JunSun1+32)</f>
        <v>44014</v>
      </c>
      <c r="I12" s="111"/>
      <c r="J12" s="110">
        <f>IF(DAY(JunSun1)=1,JunSun1+26,JunSun1+33)</f>
        <v>44015</v>
      </c>
    </row>
    <row r="13" spans="1:15" s="30" customFormat="1" ht="45.5" customHeight="1" x14ac:dyDescent="0.3">
      <c r="A13" s="152" t="s">
        <v>89</v>
      </c>
      <c r="B13" s="145"/>
      <c r="C13" s="144" t="s">
        <v>96</v>
      </c>
      <c r="D13" s="145"/>
      <c r="E13" s="113"/>
      <c r="F13" s="114"/>
      <c r="G13" s="113"/>
      <c r="H13" s="114"/>
      <c r="I13" s="113"/>
      <c r="J13" s="114"/>
    </row>
    <row r="14" spans="1:15" s="30" customFormat="1" ht="33" customHeight="1" x14ac:dyDescent="0.3">
      <c r="A14" s="149" t="str">
        <f>TEXT(DATE(CalendarYear,7,1),"mmmm")</f>
        <v>July</v>
      </c>
      <c r="B14" s="149"/>
      <c r="C14" s="149"/>
      <c r="D14" s="149"/>
      <c r="E14" s="149"/>
      <c r="F14" s="149"/>
      <c r="G14" s="149"/>
      <c r="H14" s="149"/>
      <c r="I14" s="148" t="s">
        <v>34</v>
      </c>
      <c r="J14" s="150"/>
    </row>
    <row r="15" spans="1:15" s="108" customFormat="1" ht="27" customHeight="1" x14ac:dyDescent="0.3">
      <c r="A15" s="151" t="s">
        <v>0</v>
      </c>
      <c r="B15" s="151"/>
      <c r="C15" s="151" t="s">
        <v>1</v>
      </c>
      <c r="D15" s="151"/>
      <c r="E15" s="151" t="s">
        <v>2</v>
      </c>
      <c r="F15" s="151"/>
      <c r="G15" s="151" t="s">
        <v>3</v>
      </c>
      <c r="H15" s="151"/>
      <c r="I15" s="151" t="s">
        <v>4</v>
      </c>
      <c r="J15" s="151"/>
      <c r="N15" s="30"/>
      <c r="O15" s="30"/>
    </row>
    <row r="16" spans="1:15" s="112" customFormat="1" ht="16.5" customHeight="1" x14ac:dyDescent="0.3">
      <c r="A16" s="109"/>
      <c r="B16" s="110">
        <f>IF(DAY(JulSun1)=1,JulSun1-6,JulSun1+1)</f>
        <v>44011</v>
      </c>
      <c r="C16" s="111"/>
      <c r="D16" s="110">
        <f>IF(DAY(JulSun1)=1,JulSun1-5,JulSun1+2)</f>
        <v>44012</v>
      </c>
      <c r="E16" s="111"/>
      <c r="F16" s="110">
        <f>IF(DAY(JulSun1)=1,JulSun1-4,JulSun1+3)</f>
        <v>44013</v>
      </c>
      <c r="G16" s="111"/>
      <c r="H16" s="110">
        <f>IF(DAY(JulSun1)=1,JulSun1-3,JulSun1+4)</f>
        <v>44014</v>
      </c>
      <c r="I16" s="111"/>
      <c r="J16" s="110">
        <f>IF(DAY(JulSun1)=1,JulSun1-2,JulSun1+5)</f>
        <v>44015</v>
      </c>
      <c r="N16" s="8"/>
      <c r="O16" s="7"/>
    </row>
    <row r="17" spans="1:10" s="9" customFormat="1" ht="38" customHeight="1" x14ac:dyDescent="0.25">
      <c r="A17" s="115"/>
      <c r="B17" s="114"/>
      <c r="C17" s="113"/>
      <c r="D17" s="114"/>
      <c r="E17" s="144" t="s">
        <v>98</v>
      </c>
      <c r="F17" s="145"/>
      <c r="G17" s="144" t="s">
        <v>96</v>
      </c>
      <c r="H17" s="145"/>
      <c r="I17" s="144" t="s">
        <v>97</v>
      </c>
      <c r="J17" s="145"/>
    </row>
    <row r="18" spans="1:10" s="7" customFormat="1" ht="16.5" customHeight="1" x14ac:dyDescent="0.3">
      <c r="A18" s="111"/>
      <c r="B18" s="110">
        <f>IF(DAY(JulSun1)=1,JulSun1+1,JulSun1+8)</f>
        <v>44018</v>
      </c>
      <c r="C18" s="111"/>
      <c r="D18" s="110">
        <f>IF(DAY(JulSun1)=1,JulSun1+2,JulSun1+9)</f>
        <v>44019</v>
      </c>
      <c r="E18" s="111"/>
      <c r="F18" s="110">
        <f>IF(DAY(JulSun1)=1,JulSun1+3,JulSun1+10)</f>
        <v>44020</v>
      </c>
      <c r="G18" s="111"/>
      <c r="H18" s="110">
        <f>IF(DAY(JulSun1)=1,JulSun1+4,JulSun1+11)</f>
        <v>44021</v>
      </c>
      <c r="I18" s="111"/>
      <c r="J18" s="110">
        <f>IF(DAY(JulSun1)=1,JulSun1+5,JulSun1+12)</f>
        <v>44022</v>
      </c>
    </row>
    <row r="19" spans="1:10" s="30" customFormat="1" ht="38" customHeight="1" x14ac:dyDescent="0.3">
      <c r="A19" s="152" t="s">
        <v>90</v>
      </c>
      <c r="B19" s="145"/>
      <c r="C19" s="144" t="s">
        <v>96</v>
      </c>
      <c r="D19" s="145"/>
      <c r="E19" s="144" t="s">
        <v>93</v>
      </c>
      <c r="F19" s="145"/>
      <c r="G19" s="144" t="s">
        <v>96</v>
      </c>
      <c r="H19" s="145"/>
      <c r="I19" s="144" t="s">
        <v>97</v>
      </c>
      <c r="J19" s="145"/>
    </row>
    <row r="20" spans="1:10" s="7" customFormat="1" ht="16.5" customHeight="1" x14ac:dyDescent="0.3">
      <c r="A20" s="111"/>
      <c r="B20" s="110">
        <f>IF(DAY(JulSun1)=1,JulSun1+8,JulSun1+15)</f>
        <v>44025</v>
      </c>
      <c r="C20" s="111"/>
      <c r="D20" s="110">
        <f>IF(DAY(JulSun1)=1,JulSun1+9,JulSun1+16)</f>
        <v>44026</v>
      </c>
      <c r="E20" s="111"/>
      <c r="F20" s="110">
        <f>IF(DAY(JulSun1)=1,JulSun1+10,JulSun1+17)</f>
        <v>44027</v>
      </c>
      <c r="G20" s="111"/>
      <c r="H20" s="110">
        <f>IF(DAY(JulSun1)=1,JulSun1+11,JulSun1+18)</f>
        <v>44028</v>
      </c>
      <c r="I20" s="111"/>
      <c r="J20" s="110">
        <f>IF(DAY(JulSun1)=1,JulSun1+12,JulSun1+19)</f>
        <v>44029</v>
      </c>
    </row>
    <row r="21" spans="1:10" s="30" customFormat="1" ht="38" customHeight="1" x14ac:dyDescent="0.3">
      <c r="A21" s="152" t="s">
        <v>89</v>
      </c>
      <c r="B21" s="145"/>
      <c r="C21" s="144" t="s">
        <v>96</v>
      </c>
      <c r="D21" s="145"/>
      <c r="E21" s="144" t="s">
        <v>98</v>
      </c>
      <c r="F21" s="145"/>
      <c r="G21" s="144" t="s">
        <v>96</v>
      </c>
      <c r="H21" s="145"/>
      <c r="I21" s="144" t="s">
        <v>97</v>
      </c>
      <c r="J21" s="145"/>
    </row>
    <row r="22" spans="1:10" s="7" customFormat="1" ht="16.5" customHeight="1" x14ac:dyDescent="0.3">
      <c r="A22" s="111"/>
      <c r="B22" s="110">
        <f>IF(DAY(JulSun1)=1,JulSun1+15,JulSun1+22)</f>
        <v>44032</v>
      </c>
      <c r="C22" s="111"/>
      <c r="D22" s="110">
        <f>IF(DAY(JulSun1)=1,JulSun1+16,JulSun1+23)</f>
        <v>44033</v>
      </c>
      <c r="E22" s="111"/>
      <c r="F22" s="110">
        <f>IF(DAY(JulSun1)=1,JulSun1+17,JulSun1+24)</f>
        <v>44034</v>
      </c>
      <c r="G22" s="111"/>
      <c r="H22" s="110">
        <f>IF(DAY(JulSun1)=1,JulSun1+18,JulSun1+25)</f>
        <v>44035</v>
      </c>
      <c r="I22" s="111"/>
      <c r="J22" s="110">
        <f>IF(DAY(JulSun1)=1,JulSun1+19,JulSun1+26)</f>
        <v>44036</v>
      </c>
    </row>
    <row r="23" spans="1:10" s="30" customFormat="1" ht="38" customHeight="1" x14ac:dyDescent="0.3">
      <c r="A23" s="152" t="s">
        <v>90</v>
      </c>
      <c r="B23" s="145"/>
      <c r="C23" s="144" t="s">
        <v>96</v>
      </c>
      <c r="D23" s="145"/>
      <c r="E23" s="146" t="s">
        <v>94</v>
      </c>
      <c r="F23" s="147"/>
      <c r="G23" s="144" t="s">
        <v>96</v>
      </c>
      <c r="H23" s="145"/>
      <c r="I23" s="144" t="s">
        <v>97</v>
      </c>
      <c r="J23" s="145"/>
    </row>
  </sheetData>
  <mergeCells count="55">
    <mergeCell ref="A19:B19"/>
    <mergeCell ref="A21:B21"/>
    <mergeCell ref="A23:B23"/>
    <mergeCell ref="A1:J1"/>
    <mergeCell ref="A5:B5"/>
    <mergeCell ref="A7:B7"/>
    <mergeCell ref="A9:B9"/>
    <mergeCell ref="A11:B11"/>
    <mergeCell ref="A13:B13"/>
    <mergeCell ref="I3:J3"/>
    <mergeCell ref="A15:B15"/>
    <mergeCell ref="C15:D15"/>
    <mergeCell ref="E15:F15"/>
    <mergeCell ref="G15:H15"/>
    <mergeCell ref="I15:J15"/>
    <mergeCell ref="A2:H2"/>
    <mergeCell ref="I2:J2"/>
    <mergeCell ref="A14:H14"/>
    <mergeCell ref="I14:J14"/>
    <mergeCell ref="A3:B3"/>
    <mergeCell ref="C3:D3"/>
    <mergeCell ref="E3:F3"/>
    <mergeCell ref="G3:H3"/>
    <mergeCell ref="C5:D5"/>
    <mergeCell ref="C7:D7"/>
    <mergeCell ref="C9:D9"/>
    <mergeCell ref="C11:D11"/>
    <mergeCell ref="C13:D13"/>
    <mergeCell ref="G5:H5"/>
    <mergeCell ref="G7:H7"/>
    <mergeCell ref="G9:H9"/>
    <mergeCell ref="G11:H11"/>
    <mergeCell ref="C19:D19"/>
    <mergeCell ref="C21:D21"/>
    <mergeCell ref="C23:D23"/>
    <mergeCell ref="E23:F23"/>
    <mergeCell ref="E21:F21"/>
    <mergeCell ref="E19:F19"/>
    <mergeCell ref="E17:F17"/>
    <mergeCell ref="E11:F11"/>
    <mergeCell ref="E9:F9"/>
    <mergeCell ref="E7:F7"/>
    <mergeCell ref="E5:F5"/>
    <mergeCell ref="G19:H19"/>
    <mergeCell ref="G21:H21"/>
    <mergeCell ref="G23:H23"/>
    <mergeCell ref="I23:J23"/>
    <mergeCell ref="I21:J21"/>
    <mergeCell ref="I19:J19"/>
    <mergeCell ref="I11:J11"/>
    <mergeCell ref="I9:J9"/>
    <mergeCell ref="I7:J7"/>
    <mergeCell ref="I5:J5"/>
    <mergeCell ref="G17:H17"/>
    <mergeCell ref="I17:J17"/>
  </mergeCells>
  <conditionalFormatting sqref="I2 I14">
    <cfRule type="notContainsBlanks" dxfId="5" priority="1">
      <formula>LEN(TRIM(I2))&gt;0</formula>
    </cfRule>
  </conditionalFormatting>
  <conditionalFormatting sqref="B4 D4 F4 H4 J4">
    <cfRule type="expression" dxfId="4" priority="5">
      <formula>DAY(B4)&gt;8</formula>
    </cfRule>
  </conditionalFormatting>
  <conditionalFormatting sqref="B4 D4 F4 H4 J4 B6 D6 F6 H6 J6 B8 D8 F8 H8 J8 B10 D10 F10 H10 J10 B12 D12 F12 H12 J12">
    <cfRule type="expression" dxfId="3" priority="7">
      <formula>A5&lt;&gt;""</formula>
    </cfRule>
  </conditionalFormatting>
  <conditionalFormatting sqref="B12 D12 F12 H12 J12">
    <cfRule type="expression" dxfId="2" priority="6">
      <formula>AND(DAY(B12)&gt;=1,DAY(B12)&lt;=15)</formula>
    </cfRule>
  </conditionalFormatting>
  <conditionalFormatting sqref="B16 D16 F16 H16 J16">
    <cfRule type="expression" dxfId="1" priority="2">
      <formula>DAY(B16)&gt;8</formula>
    </cfRule>
  </conditionalFormatting>
  <conditionalFormatting sqref="B16 D16 F16 H16 J16 B18 D18 F18 H18 J18 B20 D20 F20 H20 J20 B22 D22 F22 H22 J22">
    <cfRule type="expression" dxfId="0" priority="4">
      <formula>A17&lt;&gt;""</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1" ma:contentTypeDescription="Create a new document." ma:contentTypeScope="" ma:versionID="9677210f24a1be23c92c90fd886aa0aa">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60e05723c5c1908df1a1a4ebf11d344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ediaServiceKeyPoints xmlns="71af3243-3dd4-4a8d-8c0d-dd76da1f02a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2F2C90-9F22-4411-A8E8-525558D8CE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0D129D1-F4C2-4C6C-AA15-77600DCDDDC2}">
  <ds:schemaRefs>
    <ds:schemaRef ds:uri="http://schemas.microsoft.com/office/2006/metadata/properties"/>
    <ds:schemaRef ds:uri="http://schemas.microsoft.com/office/infopath/2007/PartnerControls"/>
    <ds:schemaRef ds:uri="71af3243-3dd4-4a8d-8c0d-dd76da1f02a5"/>
  </ds:schemaRefs>
</ds:datastoreItem>
</file>

<file path=customXml/itemProps3.xml><?xml version="1.0" encoding="utf-8"?>
<ds:datastoreItem xmlns:ds="http://schemas.openxmlformats.org/officeDocument/2006/customXml" ds:itemID="{183EC789-6A37-4FF2-95EB-C3312EC0399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Start</vt:lpstr>
      <vt:lpstr>Seasonal Family Calendar</vt:lpstr>
      <vt:lpstr>Sheet1</vt:lpstr>
      <vt:lpstr>CalendarYear</vt:lpstr>
      <vt:lpstr>'Seasonal Family Calendar'!Print_Area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2019-06-18T15:47:59Z</dcterms:created>
  <dcterms:modified xsi:type="dcterms:W3CDTF">2020-01-23T19:37:18Z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