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hisWorkbook"/>
  <mc:AlternateContent xmlns:mc="http://schemas.openxmlformats.org/markup-compatibility/2006">
    <mc:Choice Requires="x15">
      <x15ac:absPath xmlns:x15ac="http://schemas.microsoft.com/office/spreadsheetml/2010/11/ac" url="/Users/nikiperez/Desktop/BRAND TEMPLATES/Main Sizers/"/>
    </mc:Choice>
  </mc:AlternateContent>
  <xr:revisionPtr revIDLastSave="0" documentId="8_{E3FB416E-8E41-C445-8415-F482D4A1C8C7}" xr6:coauthVersionLast="47" xr6:coauthVersionMax="47" xr10:uidLastSave="{00000000-0000-0000-0000-000000000000}"/>
  <workbookProtection workbookAlgorithmName="SHA-512" workbookHashValue="R+P6iRKe2RXspSdI0tdpbVrPGAM34JIIa+WlVjtVdt7Un7jvb4/2rkiJwY0ff2xcHFuh3niMYhzggIaiUHTJNA==" workbookSaltValue="ghMDevgMN7GAIEQJ9rdBYg==" workbookSpinCount="100000" lockStructure="1"/>
  <bookViews>
    <workbookView xWindow="4680" yWindow="500" windowWidth="33720" windowHeight="19500" xr2:uid="{00000000-000D-0000-FFFF-FFFF00000000}"/>
  </bookViews>
  <sheets>
    <sheet name="TOC" sheetId="10" r:id="rId1"/>
    <sheet name="Directions" sheetId="8" r:id="rId2"/>
    <sheet name="Calculator" sheetId="2" r:id="rId3"/>
    <sheet name="Blank Sheet Playground" sheetId="6" r:id="rId4"/>
    <sheet name="Lists" sheetId="5" state="hidden" r:id="rId5"/>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41498.6313078704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Calculator!$B$1:$J$56</definedName>
    <definedName name="_xlnm.Print_Area" localSheetId="1">Directions!$A$1:$H$46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2" l="1"/>
  <c r="J45" i="2"/>
  <c r="C7" i="2"/>
  <c r="AE12" i="5"/>
  <c r="AE6" i="5"/>
  <c r="AE4" i="5"/>
  <c r="AG13" i="5"/>
  <c r="AE14" i="5" s="1"/>
  <c r="AG11" i="5"/>
  <c r="AG9" i="5"/>
  <c r="AE10" i="5" s="1"/>
  <c r="AG7" i="5"/>
  <c r="AE8" i="5" s="1"/>
  <c r="AG5" i="5"/>
  <c r="AI8" i="5"/>
  <c r="AI6" i="5"/>
  <c r="AI4" i="5"/>
  <c r="C6" i="2"/>
  <c r="C5" i="2"/>
  <c r="I48" i="2"/>
  <c r="I47" i="2"/>
  <c r="C4" i="2" l="1"/>
  <c r="G46" i="2" l="1"/>
  <c r="G47" i="2"/>
  <c r="G48" i="2"/>
  <c r="AJ14" i="5"/>
  <c r="AJ12" i="5"/>
  <c r="AJ10" i="5"/>
  <c r="AJ8" i="5"/>
  <c r="AJ6" i="5"/>
  <c r="AJ4" i="5"/>
  <c r="AI14" i="5"/>
  <c r="AH4" i="5"/>
  <c r="AD14" i="5"/>
  <c r="AD12" i="5"/>
  <c r="AD10" i="5"/>
  <c r="AD8" i="5"/>
  <c r="AD6" i="5"/>
  <c r="AD4" i="5"/>
  <c r="AC14" i="5"/>
  <c r="AC12" i="5"/>
  <c r="AC10" i="5"/>
  <c r="AC8" i="5"/>
  <c r="AC6" i="5"/>
  <c r="AC4" i="5"/>
  <c r="E26" i="2" l="1"/>
  <c r="E28" i="2" s="1"/>
  <c r="H15" i="2"/>
  <c r="I25" i="2" s="1"/>
  <c r="E20" i="2"/>
  <c r="E19" i="2"/>
  <c r="E25" i="2" s="1"/>
  <c r="E32" i="2" s="1"/>
  <c r="AH14" i="5"/>
  <c r="AB14" i="5"/>
  <c r="AI12" i="5"/>
  <c r="AH12" i="5"/>
  <c r="AI10" i="5"/>
  <c r="AH10" i="5"/>
  <c r="AF10" i="5"/>
  <c r="AG10" i="5" s="1"/>
  <c r="AH8" i="5"/>
  <c r="AB8" i="5"/>
  <c r="AH6" i="5"/>
  <c r="AB6" i="5"/>
  <c r="X5" i="5"/>
  <c r="X6" i="5" s="1"/>
  <c r="X7" i="5" s="1"/>
  <c r="X8" i="5" s="1"/>
  <c r="X9" i="5" s="1"/>
  <c r="X10" i="5" s="1"/>
  <c r="X11" i="5" s="1"/>
  <c r="X12" i="5" s="1"/>
  <c r="X13" i="5" s="1"/>
  <c r="X14" i="5" s="1"/>
  <c r="X15" i="5" s="1"/>
  <c r="X16" i="5" s="1"/>
  <c r="X17" i="5" s="1"/>
  <c r="X18" i="5" s="1"/>
  <c r="X19" i="5" s="1"/>
  <c r="X20" i="5" s="1"/>
  <c r="X21" i="5" s="1"/>
  <c r="X22" i="5" s="1"/>
  <c r="X23" i="5" s="1"/>
  <c r="X24" i="5" s="1"/>
  <c r="X25" i="5" s="1"/>
  <c r="X26" i="5" s="1"/>
  <c r="X27" i="5" s="1"/>
  <c r="X28" i="5" s="1"/>
  <c r="X29" i="5" s="1"/>
  <c r="X30" i="5" s="1"/>
  <c r="X31" i="5" s="1"/>
  <c r="X32" i="5" s="1"/>
  <c r="X33" i="5" s="1"/>
  <c r="X34" i="5" s="1"/>
  <c r="AB4" i="5"/>
  <c r="V4" i="5"/>
  <c r="V5" i="5" s="1"/>
  <c r="V6" i="5" s="1"/>
  <c r="V7" i="5" s="1"/>
  <c r="V8" i="5" s="1"/>
  <c r="V9" i="5" s="1"/>
  <c r="V10" i="5" s="1"/>
  <c r="V11" i="5" s="1"/>
  <c r="V12" i="5" s="1"/>
  <c r="V13" i="5" s="1"/>
  <c r="V14" i="5" s="1"/>
  <c r="V15" i="5" s="1"/>
  <c r="V16" i="5" s="1"/>
  <c r="V17" i="5" s="1"/>
  <c r="U4" i="5"/>
  <c r="U5" i="5" s="1"/>
  <c r="U6" i="5" s="1"/>
  <c r="U7" i="5" s="1"/>
  <c r="U8" i="5" s="1"/>
  <c r="U9" i="5" s="1"/>
  <c r="U10" i="5" s="1"/>
  <c r="U11" i="5" s="1"/>
  <c r="U12" i="5" s="1"/>
  <c r="U13" i="5" s="1"/>
  <c r="U14" i="5" s="1"/>
  <c r="U15" i="5" s="1"/>
  <c r="U16" i="5" s="1"/>
  <c r="U17" i="5" s="1"/>
  <c r="S4" i="5"/>
  <c r="J29" i="2" l="1"/>
  <c r="J30" i="2"/>
  <c r="I30" i="2" s="1"/>
  <c r="J32" i="2"/>
  <c r="I32" i="2" s="1"/>
  <c r="J28" i="2"/>
  <c r="I28" i="2" s="1"/>
  <c r="J27" i="2"/>
  <c r="I27" i="2" s="1"/>
  <c r="J26" i="2"/>
  <c r="I26" i="2" s="1"/>
  <c r="J31" i="2"/>
  <c r="I31" i="2" s="1"/>
  <c r="E31" i="2"/>
  <c r="AA10" i="5"/>
  <c r="AB10" i="5"/>
  <c r="AA14" i="5"/>
  <c r="AA8" i="5"/>
  <c r="AA6" i="5"/>
  <c r="AA4" i="5"/>
  <c r="AB12" i="5"/>
  <c r="AA12" i="5"/>
  <c r="I15" i="2"/>
  <c r="E15" i="2" s="1"/>
  <c r="J15" i="2"/>
  <c r="J18" i="2" s="1"/>
  <c r="J19" i="2" s="1"/>
  <c r="I29" i="2"/>
  <c r="E14" i="2"/>
  <c r="J34" i="2"/>
  <c r="E22" i="2"/>
  <c r="N45" i="2" s="1"/>
  <c r="P45" i="2" l="1"/>
  <c r="O45" i="2"/>
  <c r="Q45" i="2"/>
  <c r="J20" i="2"/>
  <c r="J22" i="2" s="1"/>
  <c r="J33" i="2" s="1"/>
  <c r="H25" i="2" l="1"/>
  <c r="H31" i="2"/>
  <c r="H27" i="2"/>
  <c r="H28" i="2"/>
  <c r="H29" i="2"/>
  <c r="H30" i="2"/>
  <c r="I33" i="2"/>
  <c r="H26" i="2"/>
  <c r="H32" i="2"/>
  <c r="J35" i="2" l="1"/>
  <c r="H47" i="2" l="1"/>
  <c r="H48" i="2" s="1"/>
  <c r="H46" i="2"/>
  <c r="H43" i="2"/>
  <c r="E33" i="2" s="1"/>
  <c r="I35" i="2"/>
  <c r="H44" i="2" l="1"/>
  <c r="H45" i="2" s="1"/>
  <c r="J43" i="2"/>
  <c r="J44" i="2" s="1"/>
  <c r="J46" i="2" s="1"/>
  <c r="E34" i="2"/>
  <c r="N47" i="2" l="1"/>
  <c r="P47" i="2" l="1"/>
  <c r="P48" i="2" s="1"/>
  <c r="Q47" i="2"/>
  <c r="N46" i="2"/>
  <c r="AK9" i="5" a="1"/>
  <c r="AK9" i="5" s="1"/>
  <c r="E46" i="2" s="1"/>
  <c r="AL7" i="5"/>
  <c r="O46" i="2" l="1"/>
  <c r="Q46" i="2"/>
  <c r="O48" i="2" l="1"/>
  <c r="J47" i="2" s="1"/>
  <c r="Q48" i="2"/>
  <c r="J48" i="2" s="1"/>
  <c r="H34" i="2"/>
  <c r="H35" i="2" s="1"/>
  <c r="D21" i="2" l="1"/>
  <c r="D22" i="2"/>
  <c r="D25" i="2" s="1"/>
  <c r="E35" i="2" l="1"/>
  <c r="AF12" i="5"/>
  <c r="AG12" i="5" l="1"/>
  <c r="AK11" i="5" s="1" a="1"/>
  <c r="AK11" i="5" s="1"/>
  <c r="E47" i="2" s="1"/>
  <c r="AF14" i="5"/>
  <c r="AG14" i="5" s="1"/>
  <c r="AL9" i="5" l="1"/>
  <c r="AL11" i="5"/>
  <c r="AK13" i="5" a="1"/>
  <c r="AK13" i="5" s="1"/>
  <c r="E48" i="2" s="1"/>
  <c r="AL13" i="5"/>
  <c r="AF4" i="5"/>
  <c r="AK3" i="5" s="1" a="1"/>
  <c r="AK3" i="5" s="1"/>
  <c r="AL3" i="5" l="1"/>
  <c r="E43" i="2"/>
  <c r="AF6" i="5"/>
  <c r="AG6" i="5" s="1"/>
  <c r="AF8" i="5"/>
  <c r="AG8" i="5" s="1"/>
  <c r="AL5" i="5" s="1"/>
  <c r="AK5" i="5" l="1" a="1"/>
  <c r="AK5" i="5" s="1"/>
  <c r="E44" i="2" s="1"/>
  <c r="AK7" i="5" a="1"/>
  <c r="AK7" i="5" s="1"/>
  <c r="E45"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<sst xmlns="http://schemas.openxmlformats.org/spreadsheetml/2006/main" count="282" uniqueCount="234">
  <si>
    <t>Insurance</t>
  </si>
  <si>
    <t>Purchase Price</t>
  </si>
  <si>
    <t>Annual Payment</t>
  </si>
  <si>
    <t># Units</t>
  </si>
  <si>
    <t>Utilities</t>
  </si>
  <si>
    <t>Management Fee</t>
  </si>
  <si>
    <t>Payroll</t>
  </si>
  <si>
    <t>General &amp; Admin</t>
  </si>
  <si>
    <t>Debt Yield</t>
  </si>
  <si>
    <t>Monthly Payment</t>
  </si>
  <si>
    <t>DSCR</t>
  </si>
  <si>
    <t>Effective Gross Income (EGI)</t>
  </si>
  <si>
    <t>Avg SF</t>
  </si>
  <si>
    <t>Recourse</t>
  </si>
  <si>
    <t xml:space="preserve">Institutional Sponsor </t>
  </si>
  <si>
    <t>No</t>
  </si>
  <si>
    <t>Yes</t>
  </si>
  <si>
    <t>Fannie Mae Small</t>
  </si>
  <si>
    <t>CMBS</t>
  </si>
  <si>
    <t>Min Loan</t>
  </si>
  <si>
    <t>Max Loan</t>
  </si>
  <si>
    <t>Min Term</t>
  </si>
  <si>
    <t>Max Term</t>
  </si>
  <si>
    <t>Amort</t>
  </si>
  <si>
    <t>Output</t>
  </si>
  <si>
    <t>Moderate</t>
  </si>
  <si>
    <t>Experience Level</t>
  </si>
  <si>
    <t>High</t>
  </si>
  <si>
    <t>Sale Cap Rate</t>
  </si>
  <si>
    <t>Yr 1 Annual NOI</t>
  </si>
  <si>
    <t>Building Sale Value</t>
  </si>
  <si>
    <t>Index Rate</t>
  </si>
  <si>
    <t>Index Rates</t>
  </si>
  <si>
    <t>Spread</t>
  </si>
  <si>
    <t>Institutional</t>
  </si>
  <si>
    <t>Experience</t>
  </si>
  <si>
    <t>Bank</t>
  </si>
  <si>
    <t>Freddie Mac SBL</t>
  </si>
  <si>
    <t>Life Co.</t>
  </si>
  <si>
    <t>Check</t>
  </si>
  <si>
    <t xml:space="preserve"> #</t>
  </si>
  <si>
    <t>Monthly Rent</t>
  </si>
  <si>
    <t>Total Units:</t>
  </si>
  <si>
    <t>Term</t>
  </si>
  <si>
    <t>Sale Year</t>
  </si>
  <si>
    <t>Y/N</t>
  </si>
  <si>
    <t>Growth %</t>
  </si>
  <si>
    <t>Mgmt Fee</t>
  </si>
  <si>
    <t>RR's</t>
  </si>
  <si>
    <t>Vac %</t>
  </si>
  <si>
    <t>Unit Type</t>
  </si>
  <si>
    <t>1BR/1BA</t>
  </si>
  <si>
    <t>Studio</t>
  </si>
  <si>
    <t>2BR/2BA</t>
  </si>
  <si>
    <t>3BR/3BA</t>
  </si>
  <si>
    <t>Other Income</t>
  </si>
  <si>
    <t xml:space="preserve">Closing Costs </t>
  </si>
  <si>
    <t>Amortization</t>
  </si>
  <si>
    <t xml:space="preserve">Interest Rate </t>
  </si>
  <si>
    <t>Low</t>
  </si>
  <si>
    <t>Entity</t>
  </si>
  <si>
    <t>LLC</t>
  </si>
  <si>
    <t>LP</t>
  </si>
  <si>
    <t>Min Amort</t>
  </si>
  <si>
    <t>Max Amort</t>
  </si>
  <si>
    <t>Equity</t>
  </si>
  <si>
    <t>FL RET</t>
  </si>
  <si>
    <t>Close Costs%</t>
  </si>
  <si>
    <t>Index (US-T)</t>
  </si>
  <si>
    <t>Reno Type</t>
  </si>
  <si>
    <t>Type All</t>
  </si>
  <si>
    <t>Reno Year</t>
  </si>
  <si>
    <t>Tax Ratio</t>
  </si>
  <si>
    <t>Premium</t>
  </si>
  <si>
    <r>
      <t xml:space="preserve">Select Y/N </t>
    </r>
    <r>
      <rPr>
        <b/>
        <i/>
        <sz val="10"/>
        <color theme="1"/>
        <rFont val="Open Sans Regular"/>
      </rPr>
      <t>↓</t>
    </r>
    <r>
      <rPr>
        <i/>
        <sz val="9"/>
        <color theme="1"/>
        <rFont val="Open Sans Regular"/>
      </rPr>
      <t xml:space="preserve"> for FL</t>
    </r>
  </si>
  <si>
    <r>
      <t xml:space="preserve">Select Amort </t>
    </r>
    <r>
      <rPr>
        <b/>
        <i/>
        <sz val="10"/>
        <color theme="1"/>
        <rFont val="Open Sans Regular"/>
      </rPr>
      <t>↓</t>
    </r>
  </si>
  <si>
    <r>
      <t xml:space="preserve">Select Empty </t>
    </r>
    <r>
      <rPr>
        <b/>
        <i/>
        <sz val="10"/>
        <color theme="1"/>
        <rFont val="Open Sans Regular"/>
      </rPr>
      <t>↓</t>
    </r>
    <r>
      <rPr>
        <i/>
        <sz val="9"/>
        <color theme="1"/>
        <rFont val="Open Sans Regular"/>
      </rPr>
      <t xml:space="preserve"> if N/A</t>
    </r>
  </si>
  <si>
    <r>
      <t xml:space="preserve">Select Term </t>
    </r>
    <r>
      <rPr>
        <b/>
        <i/>
        <sz val="10"/>
        <color theme="1"/>
        <rFont val="Open Sans Regular"/>
      </rPr>
      <t>↓</t>
    </r>
  </si>
  <si>
    <t>Select Year ↓ if Y</t>
  </si>
  <si>
    <t>Select Year ↓</t>
  </si>
  <si>
    <t>R - Studio</t>
  </si>
  <si>
    <t>Bridge</t>
  </si>
  <si>
    <t>1 BR</t>
  </si>
  <si>
    <t>R - 1 BR</t>
  </si>
  <si>
    <t>R - 1BR/1BA</t>
  </si>
  <si>
    <t>2 BR</t>
  </si>
  <si>
    <t>R - 2 BR</t>
  </si>
  <si>
    <t>3 BR</t>
  </si>
  <si>
    <t>R - 3 BR</t>
  </si>
  <si>
    <t>R - 2BR/2BA</t>
  </si>
  <si>
    <t>R - 3BR/3BA</t>
  </si>
  <si>
    <t>Recourse Preference</t>
  </si>
  <si>
    <t>Acquisition</t>
  </si>
  <si>
    <t>Total Capital Needed</t>
  </si>
  <si>
    <t>Loan Assumptions</t>
  </si>
  <si>
    <t>Going-in Cap Rate</t>
  </si>
  <si>
    <t>Sponsorship Variables</t>
  </si>
  <si>
    <t>Renovation Costs</t>
  </si>
  <si>
    <t>Street Address</t>
  </si>
  <si>
    <t>123 State Street</t>
  </si>
  <si>
    <t>City, State</t>
  </si>
  <si>
    <t>Miami, FL</t>
  </si>
  <si>
    <t>Zip Code</t>
  </si>
  <si>
    <t>County</t>
  </si>
  <si>
    <t>Dade County</t>
  </si>
  <si>
    <t>Parking Spaces</t>
  </si>
  <si>
    <t>Total SF NRA</t>
  </si>
  <si>
    <t>General Property Data</t>
  </si>
  <si>
    <t>Current Rent Roll</t>
  </si>
  <si>
    <t>Total/Avg</t>
  </si>
  <si>
    <t>Income</t>
  </si>
  <si>
    <t>Gross Potential Rent (GPR)</t>
  </si>
  <si>
    <t>Physical Vacancy</t>
  </si>
  <si>
    <t>Collection Loss</t>
  </si>
  <si>
    <t xml:space="preserve">Real Estate Taxes </t>
  </si>
  <si>
    <t>Contract Services</t>
  </si>
  <si>
    <t>Advertising</t>
  </si>
  <si>
    <t>PU</t>
  </si>
  <si>
    <t>Annual Amount</t>
  </si>
  <si>
    <t>Reserves</t>
  </si>
  <si>
    <t>Yr 1 Annual NCF</t>
  </si>
  <si>
    <t>Forecast Scenarios</t>
  </si>
  <si>
    <t>Total OpEx</t>
  </si>
  <si>
    <t>Potential Debt Options</t>
  </si>
  <si>
    <t>Maintenance</t>
  </si>
  <si>
    <t>Expenses</t>
  </si>
  <si>
    <t>Tax Assessment %</t>
  </si>
  <si>
    <t>Tax Millage Rate</t>
  </si>
  <si>
    <t>Annual % Inc. OE</t>
  </si>
  <si>
    <t>Annual % Inc. EGI</t>
  </si>
  <si>
    <t>Ratio %</t>
  </si>
  <si>
    <t>LTC / Loan Amount</t>
  </si>
  <si>
    <t>DIRECTIONS</t>
  </si>
  <si>
    <t>Section 0: Notes from the Author</t>
  </si>
  <si>
    <t>a</t>
  </si>
  <si>
    <t>Follow this guide for manual inputs or all cells with blue text.</t>
  </si>
  <si>
    <t>b</t>
  </si>
  <si>
    <t>Every directive of this guide will be seperated and based on each section in the template, reading from left to right.</t>
  </si>
  <si>
    <t>c</t>
  </si>
  <si>
    <t>Make sure to have a unit mix; a condensed summation of other income and operating expenses; an understanding of how to reassess taxes; and assumptions for the purchase, loan and sale.</t>
  </si>
  <si>
    <t>d</t>
  </si>
  <si>
    <t>e</t>
  </si>
  <si>
    <t>f</t>
  </si>
  <si>
    <t xml:space="preserve">Use the "Blank Sheet Playground" tab for other calculations, chicken scratch, etc. </t>
  </si>
  <si>
    <t>g</t>
  </si>
  <si>
    <t>**DO NOT MAKE ADJUSTMENTS TO THE TEMPLATE OTHER THAN IN THE BLANK SHEET PLAYGROUND OR AS PER THIS GUIDE. ALTERNATE ADJUSTMENTS MAY CAUSE SIGNIFCANT ERRORS**</t>
  </si>
  <si>
    <t>Section I:</t>
  </si>
  <si>
    <t xml:space="preserve">Section II: </t>
  </si>
  <si>
    <t xml:space="preserve">Starting w/ Current Rent Roll </t>
  </si>
  <si>
    <t>Link cell Q26 to your chosen ROI method.</t>
  </si>
  <si>
    <t>Table of Contents</t>
  </si>
  <si>
    <t>Template Guide</t>
  </si>
  <si>
    <t>Playground</t>
  </si>
  <si>
    <t>Directions</t>
  </si>
  <si>
    <t>Blank Worksheet</t>
  </si>
  <si>
    <t>Calculator</t>
  </si>
  <si>
    <t>Multifamily Acquisition Calculator</t>
  </si>
  <si>
    <t>Inputs</t>
  </si>
  <si>
    <t>ROI Calculator</t>
  </si>
  <si>
    <t>Initial Investment</t>
  </si>
  <si>
    <t>Capital Gains ROI</t>
  </si>
  <si>
    <t>Est. Sale Value</t>
  </si>
  <si>
    <t>Est. Debt Balance</t>
  </si>
  <si>
    <t>Est. Sale Proceeds</t>
  </si>
  <si>
    <t>Net Proceeds ROI</t>
  </si>
  <si>
    <t>Leveraged ROI</t>
  </si>
  <si>
    <t>Net Sale Proceeds</t>
  </si>
  <si>
    <t>-</t>
  </si>
  <si>
    <t>Cash Flow Summary and Sale Assumptions</t>
  </si>
  <si>
    <t>Yr 1 COC Return</t>
  </si>
  <si>
    <t>You are capped at four (4) unit types, one (1) other income category, and ten (10) operating expense line items - including management fee and replacement reserves.</t>
  </si>
  <si>
    <t>The functionality of this sizer is designed to be a high-level, back-of-the-napkin initial anaylsis to see if the deal is worth digging into and spreading actual financials.</t>
  </si>
  <si>
    <t xml:space="preserve">Starting w/ Index Rates </t>
  </si>
  <si>
    <t>In cells B5-B7, select desired index rates for analysis.</t>
  </si>
  <si>
    <t>**It is recommended to copy and paste the U.S. Treasuries box located in the top right corner of the website into the blank sheet playground (see blank sheet playground tab for an example)**</t>
  </si>
  <si>
    <t>(columns B-E)</t>
  </si>
  <si>
    <t>Input the following in order as they appear:</t>
  </si>
  <si>
    <t>(1) General Property Data</t>
  </si>
  <si>
    <r>
      <rPr>
        <b/>
        <u/>
        <sz val="12"/>
        <color rgb="FF302F2F"/>
        <rFont val="Open Sans Regular"/>
      </rPr>
      <t>(2) Acquisition</t>
    </r>
    <r>
      <rPr>
        <sz val="12"/>
        <color rgb="FF302F2F"/>
        <rFont val="Open Sans Regular"/>
      </rPr>
      <t>: Purchase Price; Equity %; Acquisition Closing Costs %; Renovation Costs estimate. If none, leave as $0.</t>
    </r>
  </si>
  <si>
    <r>
      <rPr>
        <b/>
        <u/>
        <sz val="12"/>
        <color rgb="FF302F2F"/>
        <rFont val="Open Sans Regular"/>
      </rPr>
      <t>(3) Loan Assumptions</t>
    </r>
    <r>
      <rPr>
        <sz val="12"/>
        <color rgb="FF302F2F"/>
        <rFont val="Open Sans Regular"/>
      </rPr>
      <t>: Estimated Spread.</t>
    </r>
  </si>
  <si>
    <t>**Index rate in cell E28 should now populate**</t>
  </si>
  <si>
    <t>**Both spread (E27) and term (E29) need to be inputted for index rate (E28) to automatically populate**</t>
  </si>
  <si>
    <r>
      <rPr>
        <b/>
        <u/>
        <sz val="12"/>
        <color rgb="FF302F2F"/>
        <rFont val="Open Sans Regular"/>
      </rPr>
      <t>(4) Term</t>
    </r>
    <r>
      <rPr>
        <sz val="12"/>
        <color rgb="FF302F2F"/>
        <rFont val="Open Sans Regular"/>
      </rPr>
      <t>, select from dropdown. PLEASE NOTE:</t>
    </r>
  </si>
  <si>
    <r>
      <rPr>
        <b/>
        <u/>
        <sz val="12"/>
        <color rgb="FF302F2F"/>
        <rFont val="Open Sans Regular"/>
      </rPr>
      <t>(5) Amortization</t>
    </r>
    <r>
      <rPr>
        <sz val="12"/>
        <color rgb="FF302F2F"/>
        <rFont val="Open Sans Regular"/>
      </rPr>
      <t>, select from dropdown.</t>
    </r>
  </si>
  <si>
    <r>
      <rPr>
        <b/>
        <u/>
        <sz val="12"/>
        <color rgb="FF302F2F"/>
        <rFont val="Open Sans Regular"/>
      </rPr>
      <t>(6) Sponsorship Variables</t>
    </r>
    <r>
      <rPr>
        <sz val="12"/>
        <color rgb="FF302F2F"/>
        <rFont val="Open Sans Regular"/>
      </rPr>
      <t>, select from dropdowns.</t>
    </r>
  </si>
  <si>
    <t>Move on to cell G11.</t>
  </si>
  <si>
    <t>(columns G-J)</t>
  </si>
  <si>
    <r>
      <rPr>
        <b/>
        <u/>
        <sz val="12"/>
        <color rgb="FF302F2F"/>
        <rFont val="Open Sans Regular"/>
      </rPr>
      <t>(2) Income</t>
    </r>
    <r>
      <rPr>
        <sz val="12"/>
        <color rgb="FF302F2F"/>
        <rFont val="Open Sans Regular"/>
      </rPr>
      <t>: input Physical Vacancy (I19) estimate as a %, and do the same for Collection Loss (I20). Then enter the grand total of allowable Other Income (J21).</t>
    </r>
  </si>
  <si>
    <r>
      <rPr>
        <b/>
        <u/>
        <sz val="12"/>
        <color rgb="FF302F2F"/>
        <rFont val="Open Sans Regular"/>
      </rPr>
      <t>(3) Expenses</t>
    </r>
    <r>
      <rPr>
        <sz val="12"/>
        <color rgb="FF302F2F"/>
        <rFont val="Open Sans Regular"/>
      </rPr>
      <t>: enter management fee % (H33); replacement reserves per unit (I34); and all other expense totals in cells J26-32. Skip Real Estate Taxes.</t>
    </r>
  </si>
  <si>
    <r>
      <rPr>
        <b/>
        <u/>
        <sz val="12"/>
        <color rgb="FF302F2F"/>
        <rFont val="Open Sans Regular"/>
      </rPr>
      <t>(4) Forecast Scenarios</t>
    </r>
    <r>
      <rPr>
        <sz val="12"/>
        <color rgb="FF302F2F"/>
        <rFont val="Open Sans Regular"/>
      </rPr>
      <t>: select Sale Year from dropdown (H38); enter the projected annual EGI growth rate as a % (H39) and do the same for the projected annual OE (operating expense) growth rate (H40).</t>
    </r>
  </si>
  <si>
    <t>Cell #'s</t>
  </si>
  <si>
    <t>B5-B7</t>
  </si>
  <si>
    <t>B4, C5-C7</t>
  </si>
  <si>
    <t>D14, E10-E13</t>
  </si>
  <si>
    <t>D19-D20, E18, E21</t>
  </si>
  <si>
    <t>E29</t>
  </si>
  <si>
    <t>E27</t>
  </si>
  <si>
    <t>E30</t>
  </si>
  <si>
    <t>E38-E40</t>
  </si>
  <si>
    <t>G11</t>
  </si>
  <si>
    <t>G11-J14</t>
  </si>
  <si>
    <t>I19-I20, J21</t>
  </si>
  <si>
    <t>H33, I34, J26-J32</t>
  </si>
  <si>
    <t>H38-H40</t>
  </si>
  <si>
    <t>J38-J40</t>
  </si>
  <si>
    <t>**Now go back to the Real Estate Taxes expense in cell J25. Check the formula to make sure it is accurate for your property location, compare to tax bills, and make adjustments where necessary**</t>
  </si>
  <si>
    <t>Choose 1 or 2 &amp; link to cells I47 and/or I48 →</t>
  </si>
  <si>
    <t>Choose corresponding ROI % &amp; link cells J47 and/or J48 →</t>
  </si>
  <si>
    <t xml:space="preserve">Use the toggle at the top of the worksheet and next to column S. The toggle will look like a small box with a plus sign. Unhide columns M-Q to view ROI calculator. </t>
  </si>
  <si>
    <t xml:space="preserve">Review and decide on an ROI method to utilize (i.e., Net Proceeds ROI, Capital Gains ROI, or Leveraged ROI). These are highlighted in pink. </t>
  </si>
  <si>
    <t>Link I47-I48</t>
  </si>
  <si>
    <t>Link J47-J48</t>
  </si>
  <si>
    <t>Link cell R26 to the corresponding ROI % highlighted in teal. Once complete, you can either rehide columns M-Q or leave them in view.</t>
  </si>
  <si>
    <t>DONE! Review your inputs, check for errors, and make any changes to your estimates as you deem necessary.</t>
  </si>
  <si>
    <r>
      <rPr>
        <b/>
        <u/>
        <sz val="12"/>
        <color rgb="FF302F2F"/>
        <rFont val="Open Sans Regular"/>
      </rPr>
      <t>(1) Current Rent Roll</t>
    </r>
    <r>
      <rPr>
        <sz val="12"/>
        <color rgb="FF302F2F"/>
        <rFont val="Open Sans Regular"/>
      </rPr>
      <t xml:space="preserve"> inputs include Unit Types; # of Units; Avg SF; and Monthly Rent per Unit Type.</t>
    </r>
  </si>
  <si>
    <t>IO</t>
  </si>
  <si>
    <t>U.S. Treasurys</t>
  </si>
  <si>
    <t>2:30 PM EST 11/29/24</t>
  </si>
  <si>
    <t>30-Year Bond</t>
  </si>
  <si>
    <t>10-Year Note</t>
  </si>
  <si>
    <t>7-Year Note</t>
  </si>
  <si>
    <t>5-Year Note</t>
  </si>
  <si>
    <t>3-Year Note</t>
  </si>
  <si>
    <t>2-Year Note</t>
  </si>
  <si>
    <t>View All Companies</t>
  </si>
  <si>
    <t>Yld (%)</t>
  </si>
  <si>
    <t>Yld Chg</t>
  </si>
  <si>
    <t>1-Year Bill</t>
  </si>
  <si>
    <t>Click the Black and Green buttons on each tab to easily toggle between sheets and the directions. The "Top" button redirects you back to the beginning of each active tab in view.</t>
  </si>
  <si>
    <r>
      <rPr>
        <b/>
        <u/>
        <sz val="12"/>
        <color rgb="FF302F2F"/>
        <rFont val="Open Sans Regular"/>
      </rPr>
      <t>(5) Forecast Scenarios</t>
    </r>
    <r>
      <rPr>
        <sz val="12"/>
        <color rgb="FF302F2F"/>
        <rFont val="Open Sans Regular"/>
      </rPr>
      <t>: enter a sale cap rate (J38); and the applicable tax millage (J38) and reassessment property tax ratio (J40).</t>
    </r>
  </si>
  <si>
    <t xml:space="preserve">Click "Index Rates" link in cell B4 and input the applicable index rates as noted on the WSJ website. </t>
  </si>
  <si>
    <t>Select Amort ↓</t>
  </si>
  <si>
    <t>Select Term ↓</t>
  </si>
  <si>
    <r>
      <rPr>
        <b/>
        <sz val="11"/>
        <color rgb="FF302F2F"/>
        <rFont val="Open Sans Regular"/>
      </rPr>
      <t>Disclosure:</t>
    </r>
    <r>
      <rPr>
        <sz val="11"/>
        <color rgb="FF302F2F"/>
        <rFont val="Open Sans Regular"/>
      </rPr>
      <t xml:space="preserve"> Authentic CRE Solutions LLC provides underwriting, analytical, and educational support services for informational purposes only. We are not licensed to provide financial, legal, or investment advice, and nothing contained in our materials should be construed as a recommendation to buy, sell, or invest in any real estate or financial product. All decisions made based on our analysis are the sole responsibility of the client. Please consult a licensed financial advisor, attorney, or broker before making any investment decisions.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</si>
</sst>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quot;$&quot;#,##0"/>
    <numFmt numFmtId="167" formatCode="_(* #,##0_);_(* \(#,##0\);_(* &quot;-&quot;??_);_(@_)"/>
    <numFmt numFmtId="168" formatCode="0.00&quot;x&quot;"/>
    <numFmt numFmtId="169" formatCode="&quot;$&quot;#,##0\ &quot;annual&quot;"/>
    <numFmt numFmtId="170" formatCode="&quot;Year&quot;\ 0"/>
    <numFmt numFmtId="171" formatCode="0&quot;-yr T&quot;"/>
    <numFmt numFmtId="172" formatCode="0.0\ &quot;PU&quot;"/>
    <numFmt numFmtId="173" formatCode="0\ &quot;years&quot;"/>
    <numFmt numFmtId="174" formatCode="&quot;Yr&quot;\ 0\ &quot;Projected NOI&quot;"/>
    <numFmt numFmtId="175" formatCode="&quot;Yr&quot;\ 0\ &quot;Projected NCF&quot;"/>
    <numFmt numFmtId="176" formatCode="0.0%\ &quot;Closing Costs&quot;"/>
    <numFmt numFmtId="177" formatCode="&quot;Yr&quot;\ 0\ &quot;COC Return&quot;"/>
  </numFmts>
  <fonts count="62">
    <font>
      <sz val="12"/>
      <color indexed="8"/>
      <name val="Calibri"/>
    </font>
    <font>
      <sz val="12"/>
      <color indexed="8"/>
      <name val="Calibri"/>
      <family val="2"/>
    </font>
    <font>
      <u/>
      <sz val="12"/>
      <color theme="10"/>
      <name val="Calibri"/>
      <family val="2"/>
    </font>
    <font>
      <sz val="12"/>
      <color theme="1"/>
      <name val="Open Sans Regular"/>
    </font>
    <font>
      <b/>
      <sz val="12"/>
      <color rgb="FF6A0000"/>
      <name val="Open Sans Regular"/>
    </font>
    <font>
      <b/>
      <sz val="12"/>
      <color theme="1"/>
      <name val="Open Sans Regular"/>
    </font>
    <font>
      <b/>
      <sz val="9"/>
      <color theme="0"/>
      <name val="Open Sans Regular"/>
    </font>
    <font>
      <sz val="11"/>
      <color theme="1"/>
      <name val="Aptos Narrow"/>
      <family val="2"/>
      <scheme val="minor"/>
    </font>
    <font>
      <sz val="9"/>
      <color theme="0"/>
      <name val="Open Sans Regular"/>
    </font>
    <font>
      <sz val="9"/>
      <color theme="1"/>
      <name val="Open Sans Regular"/>
    </font>
    <font>
      <i/>
      <sz val="9"/>
      <color theme="1"/>
      <name val="Open Sans Regular"/>
    </font>
    <font>
      <b/>
      <i/>
      <sz val="10"/>
      <color theme="1"/>
      <name val="Open Sans Regular"/>
    </font>
    <font>
      <b/>
      <i/>
      <sz val="9"/>
      <color theme="0"/>
      <name val="Open Sans Regular"/>
    </font>
    <font>
      <sz val="12"/>
      <color rgb="FF302F2F"/>
      <name val="Open Sans Regular"/>
    </font>
    <font>
      <b/>
      <sz val="12"/>
      <color rgb="FF302F2F"/>
      <name val="Open Sans Regular"/>
    </font>
    <font>
      <u/>
      <sz val="11"/>
      <color theme="10"/>
      <name val="Aptos Narrow"/>
      <family val="2"/>
      <scheme val="minor"/>
    </font>
    <font>
      <sz val="11"/>
      <color rgb="FF0070C0"/>
      <name val="Open Sans Regular"/>
    </font>
    <font>
      <sz val="12"/>
      <color theme="0"/>
      <name val="Eurostile"/>
    </font>
    <font>
      <b/>
      <sz val="11"/>
      <color theme="0"/>
      <name val="Eurostile"/>
    </font>
    <font>
      <sz val="11"/>
      <color rgb="FF302F2F"/>
      <name val="Open Sans Regular"/>
    </font>
    <font>
      <sz val="11"/>
      <color theme="1"/>
      <name val="Open Sans Regular"/>
    </font>
    <font>
      <sz val="11"/>
      <color rgb="FF0D0D0D"/>
      <name val="Open Sans Regular"/>
    </font>
    <font>
      <sz val="10"/>
      <color theme="0"/>
      <name val="Open Sans Regular"/>
    </font>
    <font>
      <sz val="11"/>
      <color theme="0"/>
      <name val="Open Sans Regular"/>
    </font>
    <font>
      <sz val="10"/>
      <color theme="1"/>
      <name val="Open Sans Regular"/>
    </font>
    <font>
      <sz val="10"/>
      <color rgb="FF4B4B4B"/>
      <name val="Open Sans Regular"/>
    </font>
    <font>
      <sz val="10"/>
      <color rgb="FF606060"/>
      <name val="Open Sans Regular"/>
    </font>
    <font>
      <sz val="10"/>
      <color rgb="FF808080"/>
      <name val="Open Sans Regular"/>
    </font>
    <font>
      <sz val="12"/>
      <color rgb="FF302F2F"/>
      <name val="Eurostile"/>
    </font>
    <font>
      <u/>
      <sz val="15"/>
      <color rgb="FFFE72FA"/>
      <name val="Eurostile"/>
    </font>
    <font>
      <sz val="12"/>
      <color theme="1"/>
      <name val="Aptos Narrow"/>
      <family val="2"/>
      <scheme val="minor"/>
    </font>
    <font>
      <b/>
      <sz val="12"/>
      <color rgb="FF6D9D9C"/>
      <name val="HiraMinPro-W3"/>
    </font>
    <font>
      <b/>
      <u/>
      <sz val="12"/>
      <color rgb="FF302F2F"/>
      <name val="HiraMinPro-W3"/>
    </font>
    <font>
      <b/>
      <i/>
      <sz val="12"/>
      <color rgb="FF6A0000"/>
      <name val="Open Sans Regular"/>
    </font>
    <font>
      <b/>
      <sz val="26"/>
      <color rgb="FF302F2F"/>
      <name val="Eurostile"/>
    </font>
    <font>
      <b/>
      <sz val="20"/>
      <color theme="0"/>
      <name val="Open Sans Regular"/>
    </font>
    <font>
      <sz val="18"/>
      <color theme="0"/>
      <name val="Open Sans Regular"/>
    </font>
    <font>
      <u/>
      <sz val="12"/>
      <color theme="0"/>
      <name val="Open Sans Regular"/>
    </font>
    <font>
      <b/>
      <sz val="11"/>
      <color theme="0"/>
      <name val="Open Sans Regular"/>
    </font>
    <font>
      <b/>
      <u/>
      <sz val="12"/>
      <color rgb="FF302F2F"/>
      <name val="Open Sans Regular"/>
    </font>
    <font>
      <b/>
      <sz val="11"/>
      <color rgb="FF6A0000"/>
      <name val="Open Sans Regular"/>
    </font>
    <font>
      <b/>
      <sz val="12"/>
      <color theme="0"/>
      <name val="HiraMinPro-W3"/>
    </font>
    <font>
      <b/>
      <sz val="11"/>
      <color theme="0"/>
      <name val="HiraMinPro-W3"/>
    </font>
    <font>
      <b/>
      <sz val="10"/>
      <color theme="0"/>
      <name val="HiraMinPro-W3"/>
    </font>
    <font>
      <sz val="11"/>
      <color theme="5"/>
      <name val="Open Sans Regular"/>
    </font>
    <font>
      <u/>
      <sz val="12"/>
      <color theme="0"/>
      <name val="Optima Regular"/>
    </font>
    <font>
      <sz val="12"/>
      <color theme="0"/>
      <name val="Optima Regular"/>
    </font>
    <font>
      <b/>
      <sz val="24"/>
      <color theme="5"/>
      <name val="HiraMinPro-W3"/>
    </font>
    <font>
      <b/>
      <sz val="14"/>
      <color theme="0"/>
      <name val="HiraMinPro-W3"/>
    </font>
    <font>
      <b/>
      <sz val="12"/>
      <color rgb="FF4B6E6D"/>
      <name val="HiraMinPro-W3"/>
    </font>
    <font>
      <b/>
      <sz val="12"/>
      <color rgb="FF302F2F"/>
      <name val="HiraMinPro-W3"/>
    </font>
    <font>
      <b/>
      <sz val="11"/>
      <color rgb="FF302F2F"/>
      <name val="HiraMinPro-W3"/>
    </font>
    <font>
      <b/>
      <sz val="11"/>
      <color rgb="FF6D9D9C"/>
      <name val="HiraMinPro-W3"/>
    </font>
    <font>
      <b/>
      <sz val="11"/>
      <color rgb="FF302F2F"/>
      <name val="Open Sans Regular"/>
    </font>
    <font>
      <b/>
      <u/>
      <sz val="11"/>
      <color rgb="FF302F2F"/>
      <name val="HiraMinPro-W3"/>
    </font>
    <font>
      <b/>
      <sz val="11"/>
      <color theme="1"/>
      <name val="Open Sans Regular"/>
    </font>
    <font>
      <b/>
      <sz val="17"/>
      <color theme="0"/>
      <name val="HiraMinPro-W3"/>
    </font>
    <font>
      <b/>
      <sz val="13.5"/>
      <color rgb="FF000000"/>
      <name val="Helvetica"/>
      <family val="2"/>
    </font>
    <font>
      <sz val="14"/>
      <color rgb="FF333333"/>
      <name val="Arial Narrow"/>
      <family val="2"/>
    </font>
    <font>
      <sz val="12"/>
      <color rgb="FF555555"/>
      <name val="Helvetica"/>
      <family val="2"/>
    </font>
    <font>
      <sz val="12"/>
      <color indexed="8"/>
      <name val="Arial Narrow"/>
      <family val="2"/>
    </font>
    <font>
      <sz val="12"/>
      <color rgb="FFFC5959"/>
      <name val="Arial Narrow"/>
      <family val="2"/>
    </font>
  </fonts>
  <fills count="17">
    <fill>
      <patternFill patternType="none"/>
    </fill>
    <fill>
      <patternFill patternType="gray125"/>
    </fill>
    <fill>
      <patternFill patternType="solid">
        <fgColor theme="0"/>
        <bgColor indexed="64"/>
      </patternFill>
    </fill>
    <fill>
      <patternFill patternType="solid">
        <fgColor rgb="FF6A00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C7CE"/>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9.9978637043366805E-2"/>
        <bgColor indexed="64"/>
      </patternFill>
    </fill>
    <fill>
      <patternFill patternType="solid">
        <fgColor theme="4" tint="-0.249977111117893"/>
        <bgColor indexed="64"/>
      </patternFill>
    </fill>
    <fill>
      <patternFill patternType="solid">
        <fgColor theme="5"/>
        <bgColor indexed="64"/>
      </patternFill>
    </fill>
    <fill>
      <patternFill patternType="solid">
        <fgColor theme="3" tint="0.499984740745262"/>
        <bgColor indexed="64"/>
      </patternFill>
    </fill>
    <fill>
      <patternFill patternType="solid">
        <fgColor theme="1"/>
        <bgColor indexed="64"/>
      </patternFill>
    </fill>
  </fills>
  <borders count="30">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bottom style="thin">
        <color theme="0"/>
      </bottom>
      <diagonal/>
    </border>
    <border>
      <left style="dotted">
        <color theme="0"/>
      </left>
      <right style="thin">
        <color theme="0"/>
      </right>
      <top style="dotted">
        <color theme="0"/>
      </top>
      <bottom style="thin">
        <color theme="0"/>
      </bottom>
      <diagonal/>
    </border>
    <border>
      <left style="thin">
        <color theme="0"/>
      </left>
      <right style="thin">
        <color theme="0"/>
      </right>
      <top style="dotted">
        <color theme="0"/>
      </top>
      <bottom style="thin">
        <color theme="0"/>
      </bottom>
      <diagonal/>
    </border>
    <border>
      <left style="thin">
        <color theme="0"/>
      </left>
      <right style="dotted">
        <color theme="0"/>
      </right>
      <top style="dotted">
        <color theme="0"/>
      </top>
      <bottom style="thin">
        <color theme="0"/>
      </bottom>
      <diagonal/>
    </border>
    <border>
      <left/>
      <right style="thin">
        <color theme="0"/>
      </right>
      <top/>
      <bottom/>
      <diagonal/>
    </border>
    <border>
      <left/>
      <right style="thin">
        <color theme="0"/>
      </right>
      <top style="dotted">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style="thin">
        <color theme="0"/>
      </left>
      <right style="thin">
        <color theme="0"/>
      </right>
      <top style="thin">
        <color theme="0"/>
      </top>
      <bottom style="double">
        <color theme="8"/>
      </bottom>
      <diagonal/>
    </border>
    <border>
      <left/>
      <right style="thin">
        <color theme="0"/>
      </right>
      <top/>
      <bottom style="thin">
        <color theme="0"/>
      </bottom>
      <diagonal/>
    </border>
    <border>
      <left style="thin">
        <color theme="0"/>
      </left>
      <right style="thin">
        <color theme="0"/>
      </right>
      <top style="thin">
        <color theme="0"/>
      </top>
      <bottom style="double">
        <color theme="7" tint="0.79998168889431442"/>
      </bottom>
      <diagonal/>
    </border>
    <border>
      <left style="dotted">
        <color theme="0"/>
      </left>
      <right style="dotted">
        <color theme="0"/>
      </right>
      <top style="dotted">
        <color theme="0"/>
      </top>
      <bottom/>
      <diagonal/>
    </border>
    <border>
      <left/>
      <right style="thin">
        <color theme="0"/>
      </right>
      <top style="thin">
        <color theme="0"/>
      </top>
      <bottom/>
      <diagonal/>
    </border>
    <border>
      <left style="thin">
        <color theme="7" tint="0.79998168889431442"/>
      </left>
      <right style="thin">
        <color theme="7" tint="0.79998168889431442"/>
      </right>
      <top style="thin">
        <color theme="7" tint="0.79998168889431442"/>
      </top>
      <bottom/>
      <diagonal/>
    </border>
    <border>
      <left style="thin">
        <color theme="7" tint="0.79998168889431442"/>
      </left>
      <right style="thin">
        <color theme="7" tint="0.79998168889431442"/>
      </right>
      <top/>
      <bottom style="thin">
        <color theme="7" tint="0.79998168889431442"/>
      </bottom>
      <diagonal/>
    </border>
  </borders>
  <cellStyleXfs count="13">
    <xf numFmtId="0" fontId="0" fillId="0" borderId="0" applyNumberFormat="0" applyFill="0" applyBorder="0" applyProtection="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1" applyNumberFormat="0" applyFill="0" applyBorder="0" applyProtection="0"/>
    <xf numFmtId="9" fontId="1" fillId="0" borderId="1" applyFont="0" applyFill="0" applyBorder="0" applyAlignment="0" applyProtection="0"/>
    <xf numFmtId="0" fontId="7" fillId="0" borderId="1"/>
    <xf numFmtId="43" fontId="1" fillId="0" borderId="1" applyFont="0" applyFill="0" applyBorder="0" applyAlignment="0" applyProtection="0"/>
    <xf numFmtId="44" fontId="7" fillId="0" borderId="1" applyFont="0" applyFill="0" applyBorder="0" applyAlignment="0" applyProtection="0"/>
    <xf numFmtId="44" fontId="1" fillId="0" borderId="1" applyFont="0" applyFill="0" applyBorder="0" applyAlignment="0" applyProtection="0"/>
    <xf numFmtId="9" fontId="7" fillId="0" borderId="1" applyFont="0" applyFill="0" applyBorder="0" applyAlignment="0" applyProtection="0"/>
    <xf numFmtId="0" fontId="30" fillId="0" borderId="1"/>
    <xf numFmtId="0" fontId="15" fillId="0" borderId="1" applyNumberFormat="0" applyFill="0" applyBorder="0" applyAlignment="0" applyProtection="0"/>
  </cellStyleXfs>
  <cellXfs count="297">
    <xf numFmtId="0" fontId="0" fillId="0" borderId="0" xfId="0"/>
    <xf numFmtId="0" fontId="8" fillId="2" borderId="1" xfId="4" applyFont="1" applyFill="1"/>
    <xf numFmtId="0" fontId="9" fillId="2" borderId="2" xfId="4" applyFont="1" applyFill="1" applyBorder="1" applyAlignment="1">
      <alignment horizontal="center"/>
    </xf>
    <xf numFmtId="0" fontId="9" fillId="2" borderId="2" xfId="6" applyFont="1" applyFill="1" applyBorder="1" applyAlignment="1">
      <alignment horizontal="center"/>
    </xf>
    <xf numFmtId="166" fontId="9" fillId="2" borderId="4" xfId="7" applyNumberFormat="1" applyFont="1" applyFill="1" applyBorder="1" applyAlignment="1">
      <alignment horizontal="center"/>
    </xf>
    <xf numFmtId="9" fontId="10" fillId="2" borderId="4" xfId="5" quotePrefix="1" applyFont="1" applyFill="1" applyBorder="1" applyAlignment="1">
      <alignment horizontal="center"/>
    </xf>
    <xf numFmtId="9" fontId="9" fillId="2" borderId="4" xfId="5" applyFont="1" applyFill="1" applyBorder="1" applyAlignment="1">
      <alignment horizontal="center"/>
    </xf>
    <xf numFmtId="9" fontId="9" fillId="2" borderId="2" xfId="5" applyFont="1" applyFill="1" applyBorder="1" applyAlignment="1">
      <alignment horizontal="center"/>
    </xf>
    <xf numFmtId="9" fontId="9" fillId="2" borderId="4" xfId="5" quotePrefix="1" applyFont="1" applyFill="1" applyBorder="1" applyAlignment="1">
      <alignment horizontal="left" indent="1"/>
    </xf>
    <xf numFmtId="10" fontId="9" fillId="2" borderId="2" xfId="5" applyNumberFormat="1" applyFont="1" applyFill="1" applyBorder="1" applyAlignment="1">
      <alignment horizontal="center"/>
    </xf>
    <xf numFmtId="165" fontId="9" fillId="2" borderId="2" xfId="5" applyNumberFormat="1" applyFont="1" applyFill="1" applyBorder="1" applyAlignment="1">
      <alignment horizontal="center"/>
    </xf>
    <xf numFmtId="170" fontId="9" fillId="2" borderId="2" xfId="4" quotePrefix="1" applyNumberFormat="1" applyFont="1" applyFill="1" applyBorder="1" applyAlignment="1">
      <alignment horizontal="center"/>
    </xf>
    <xf numFmtId="5" fontId="9" fillId="2" borderId="2" xfId="8" applyNumberFormat="1" applyFont="1" applyFill="1" applyBorder="1" applyAlignment="1">
      <alignment horizontal="center"/>
    </xf>
    <xf numFmtId="0" fontId="9" fillId="2" borderId="1" xfId="4" applyFont="1" applyFill="1"/>
    <xf numFmtId="0" fontId="9" fillId="2" borderId="5" xfId="4" applyNumberFormat="1" applyFont="1" applyFill="1" applyBorder="1" applyAlignment="1">
      <alignment horizontal="center"/>
    </xf>
    <xf numFmtId="166" fontId="9" fillId="2" borderId="5" xfId="9" applyNumberFormat="1" applyFont="1" applyFill="1" applyBorder="1" applyAlignment="1">
      <alignment horizontal="center"/>
    </xf>
    <xf numFmtId="166" fontId="9" fillId="2" borderId="5" xfId="9" applyNumberFormat="1" applyFont="1" applyFill="1" applyBorder="1" applyAlignment="1"/>
    <xf numFmtId="1" fontId="9" fillId="2" borderId="5" xfId="7" applyNumberFormat="1" applyFont="1" applyFill="1" applyBorder="1" applyAlignment="1">
      <alignment horizontal="center"/>
    </xf>
    <xf numFmtId="0" fontId="10" fillId="2" borderId="1" xfId="4" applyFont="1" applyFill="1"/>
    <xf numFmtId="0" fontId="9" fillId="2" borderId="4" xfId="6" applyFont="1" applyFill="1" applyBorder="1" applyAlignment="1">
      <alignment horizontal="center"/>
    </xf>
    <xf numFmtId="1" fontId="9" fillId="2" borderId="2" xfId="7" applyNumberFormat="1" applyFont="1" applyFill="1" applyBorder="1" applyAlignment="1">
      <alignment horizontal="center"/>
    </xf>
    <xf numFmtId="0" fontId="9" fillId="2" borderId="4" xfId="5" quotePrefix="1" applyNumberFormat="1" applyFont="1" applyFill="1" applyBorder="1" applyAlignment="1">
      <alignment horizontal="center"/>
    </xf>
    <xf numFmtId="0" fontId="9" fillId="2" borderId="4" xfId="5" quotePrefix="1" applyNumberFormat="1" applyFont="1" applyFill="1" applyBorder="1" applyAlignment="1">
      <alignment horizontal="left" indent="1"/>
    </xf>
    <xf numFmtId="1" fontId="9" fillId="2" borderId="4" xfId="7" applyNumberFormat="1" applyFont="1" applyFill="1" applyBorder="1" applyAlignment="1">
      <alignment horizontal="center"/>
    </xf>
    <xf numFmtId="170" fontId="9" fillId="2" borderId="2" xfId="4" applyNumberFormat="1" applyFont="1" applyFill="1" applyBorder="1" applyAlignment="1">
      <alignment horizontal="center"/>
    </xf>
    <xf numFmtId="0" fontId="12" fillId="3" borderId="5" xfId="4" applyNumberFormat="1" applyFont="1" applyFill="1" applyBorder="1" applyAlignment="1">
      <alignment horizontal="center"/>
    </xf>
    <xf numFmtId="1" fontId="12" fillId="3" borderId="5" xfId="4" applyNumberFormat="1" applyFont="1" applyFill="1" applyBorder="1" applyAlignment="1">
      <alignment horizontal="center"/>
    </xf>
    <xf numFmtId="0" fontId="12" fillId="3" borderId="5" xfId="4" applyNumberFormat="1" applyFont="1" applyFill="1" applyBorder="1"/>
    <xf numFmtId="0" fontId="10" fillId="2" borderId="1" xfId="4" applyFont="1" applyFill="1" applyBorder="1"/>
    <xf numFmtId="0" fontId="9" fillId="2" borderId="1" xfId="4" applyFont="1" applyFill="1" applyBorder="1"/>
    <xf numFmtId="0" fontId="9" fillId="2" borderId="4" xfId="5" applyNumberFormat="1" applyFont="1" applyFill="1" applyBorder="1" applyAlignment="1">
      <alignment horizontal="center"/>
    </xf>
    <xf numFmtId="0" fontId="9" fillId="2" borderId="4" xfId="5" applyNumberFormat="1" applyFont="1" applyFill="1" applyBorder="1" applyAlignment="1">
      <alignment horizontal="left" indent="1"/>
    </xf>
    <xf numFmtId="9" fontId="9" fillId="2" borderId="4" xfId="5" applyFont="1" applyFill="1" applyBorder="1" applyAlignment="1">
      <alignment horizontal="left" indent="1"/>
    </xf>
    <xf numFmtId="0" fontId="9" fillId="2" borderId="2" xfId="4" applyNumberFormat="1" applyFont="1" applyFill="1" applyBorder="1" applyAlignment="1">
      <alignment horizontal="center"/>
    </xf>
    <xf numFmtId="0" fontId="9" fillId="2" borderId="2" xfId="4" applyNumberFormat="1" applyFont="1" applyFill="1" applyBorder="1" applyAlignment="1">
      <alignment horizontal="left" indent="1"/>
    </xf>
    <xf numFmtId="0" fontId="9" fillId="2" borderId="2" xfId="4" applyFont="1" applyFill="1" applyBorder="1" applyAlignment="1">
      <alignment horizontal="left" indent="1"/>
    </xf>
    <xf numFmtId="170" fontId="9" fillId="2" borderId="2" xfId="4" applyNumberFormat="1" applyFont="1" applyFill="1" applyBorder="1" applyAlignment="1">
      <alignment horizontal="center" wrapText="1"/>
    </xf>
    <xf numFmtId="170" fontId="9" fillId="0" borderId="2" xfId="4" applyNumberFormat="1" applyFont="1" applyBorder="1" applyAlignment="1">
      <alignment horizontal="center" wrapText="1"/>
    </xf>
    <xf numFmtId="0" fontId="9" fillId="2" borderId="5" xfId="4" applyFont="1" applyFill="1" applyBorder="1" applyAlignment="1">
      <alignment horizontal="center"/>
    </xf>
    <xf numFmtId="1" fontId="9" fillId="2" borderId="1" xfId="4" applyNumberFormat="1" applyFont="1" applyFill="1"/>
    <xf numFmtId="0" fontId="24" fillId="0" borderId="1" xfId="6" applyFont="1"/>
    <xf numFmtId="4" fontId="25" fillId="0" borderId="1" xfId="6" applyNumberFormat="1" applyFont="1"/>
    <xf numFmtId="0" fontId="25" fillId="0" borderId="1" xfId="6" applyFont="1"/>
    <xf numFmtId="0" fontId="26" fillId="0" borderId="1" xfId="6" applyFont="1"/>
    <xf numFmtId="8" fontId="26" fillId="0" borderId="1" xfId="6" applyNumberFormat="1" applyFont="1"/>
    <xf numFmtId="4" fontId="26" fillId="0" borderId="1" xfId="6" applyNumberFormat="1" applyFont="1"/>
    <xf numFmtId="8" fontId="25" fillId="0" borderId="1" xfId="6" applyNumberFormat="1" applyFont="1"/>
    <xf numFmtId="0" fontId="24" fillId="0" borderId="1" xfId="6" applyFont="1" applyAlignment="1">
      <alignment horizontal="left"/>
    </xf>
    <xf numFmtId="0" fontId="24" fillId="0" borderId="1" xfId="6" applyFont="1" applyAlignment="1">
      <alignment horizontal="right"/>
    </xf>
    <xf numFmtId="8" fontId="27" fillId="0" borderId="1" xfId="6" applyNumberFormat="1" applyFont="1"/>
    <xf numFmtId="8" fontId="24" fillId="0" borderId="1" xfId="6" applyNumberFormat="1" applyFont="1"/>
    <xf numFmtId="9" fontId="24" fillId="0" borderId="1" xfId="10" applyFont="1"/>
    <xf numFmtId="0" fontId="6" fillId="9" borderId="2" xfId="4" applyFont="1" applyFill="1" applyBorder="1" applyAlignment="1">
      <alignment horizontal="center"/>
    </xf>
    <xf numFmtId="0" fontId="6" fillId="9" borderId="2" xfId="6" applyFont="1" applyFill="1" applyBorder="1" applyAlignment="1">
      <alignment horizontal="center"/>
    </xf>
    <xf numFmtId="10" fontId="16" fillId="7" borderId="6" xfId="0" applyNumberFormat="1" applyFont="1" applyFill="1" applyBorder="1" applyProtection="1">
      <protection locked="0"/>
    </xf>
    <xf numFmtId="9" fontId="16" fillId="7" borderId="6" xfId="0" applyNumberFormat="1" applyFont="1" applyFill="1" applyBorder="1" applyAlignment="1" applyProtection="1">
      <alignment horizontal="center"/>
      <protection locked="0"/>
    </xf>
    <xf numFmtId="170" fontId="16" fillId="7" borderId="6" xfId="2" applyNumberFormat="1" applyFont="1" applyFill="1" applyBorder="1" applyAlignment="1" applyProtection="1">
      <alignment horizontal="center"/>
      <protection locked="0"/>
    </xf>
    <xf numFmtId="9" fontId="16" fillId="7" borderId="6" xfId="2" applyFont="1" applyFill="1" applyBorder="1" applyAlignment="1" applyProtection="1">
      <alignment horizontal="center"/>
      <protection locked="0"/>
    </xf>
    <xf numFmtId="166" fontId="16" fillId="7" borderId="25" xfId="0" applyNumberFormat="1" applyFont="1" applyFill="1" applyBorder="1" applyAlignment="1" applyProtection="1">
      <alignment horizontal="center"/>
      <protection locked="0"/>
    </xf>
    <xf numFmtId="165" fontId="16" fillId="7" borderId="6" xfId="2" applyNumberFormat="1" applyFont="1" applyFill="1" applyBorder="1" applyAlignment="1" applyProtection="1">
      <alignment horizontal="right"/>
      <protection locked="0"/>
    </xf>
    <xf numFmtId="3" fontId="23" fillId="10" borderId="8" xfId="0" applyNumberFormat="1" applyFont="1" applyFill="1" applyBorder="1" applyAlignment="1" applyProtection="1">
      <alignment horizontal="center"/>
      <protection hidden="1"/>
    </xf>
    <xf numFmtId="171" fontId="16" fillId="7" borderId="7" xfId="0" applyNumberFormat="1" applyFont="1" applyFill="1" applyBorder="1" applyAlignment="1" applyProtection="1">
      <alignment horizontal="left"/>
      <protection locked="0"/>
    </xf>
    <xf numFmtId="10" fontId="16" fillId="7" borderId="6" xfId="5" applyNumberFormat="1" applyFont="1" applyFill="1" applyBorder="1" applyAlignment="1" applyProtection="1">
      <alignment horizontal="right"/>
      <protection locked="0"/>
    </xf>
    <xf numFmtId="171" fontId="16" fillId="7" borderId="23" xfId="0" applyNumberFormat="1" applyFont="1" applyFill="1" applyBorder="1" applyAlignment="1" applyProtection="1">
      <alignment horizontal="left"/>
      <protection locked="0"/>
    </xf>
    <xf numFmtId="10" fontId="16" fillId="7" borderId="23" xfId="5" applyNumberFormat="1" applyFont="1" applyFill="1" applyBorder="1" applyAlignment="1" applyProtection="1">
      <alignment horizontal="right"/>
      <protection locked="0"/>
    </xf>
    <xf numFmtId="0" fontId="16" fillId="7" borderId="6" xfId="0" applyFont="1" applyFill="1" applyBorder="1" applyAlignment="1" applyProtection="1">
      <alignment horizontal="right"/>
      <protection locked="0"/>
    </xf>
    <xf numFmtId="1" fontId="16" fillId="7" borderId="25" xfId="0" applyNumberFormat="1" applyFont="1" applyFill="1" applyBorder="1" applyAlignment="1" applyProtection="1">
      <alignment horizontal="center"/>
      <protection locked="0"/>
    </xf>
    <xf numFmtId="6" fontId="16" fillId="7" borderId="6" xfId="0" applyNumberFormat="1" applyFont="1" applyFill="1" applyBorder="1" applyProtection="1">
      <protection locked="0"/>
    </xf>
    <xf numFmtId="6" fontId="16" fillId="7" borderId="25" xfId="0" applyNumberFormat="1" applyFont="1" applyFill="1" applyBorder="1" applyProtection="1">
      <protection locked="0"/>
    </xf>
    <xf numFmtId="165" fontId="16" fillId="7" borderId="6" xfId="10" applyNumberFormat="1" applyFont="1" applyFill="1" applyBorder="1" applyAlignment="1" applyProtection="1">
      <alignment horizontal="right"/>
      <protection locked="0"/>
    </xf>
    <xf numFmtId="176" fontId="16" fillId="7" borderId="6" xfId="10" applyNumberFormat="1" applyFont="1" applyFill="1" applyBorder="1" applyAlignment="1" applyProtection="1">
      <alignment horizontal="left"/>
      <protection locked="0"/>
    </xf>
    <xf numFmtId="165" fontId="16" fillId="7" borderId="6" xfId="0" applyNumberFormat="1" applyFont="1" applyFill="1" applyBorder="1" applyAlignment="1" applyProtection="1">
      <alignment horizontal="center"/>
      <protection locked="0"/>
    </xf>
    <xf numFmtId="0" fontId="16" fillId="7" borderId="6" xfId="0" applyFont="1" applyFill="1" applyBorder="1" applyAlignment="1" applyProtection="1">
      <alignment horizontal="left"/>
      <protection locked="0"/>
    </xf>
    <xf numFmtId="3" fontId="16" fillId="7" borderId="6" xfId="0" applyNumberFormat="1" applyFont="1" applyFill="1" applyBorder="1" applyAlignment="1" applyProtection="1">
      <alignment horizontal="center"/>
      <protection locked="0"/>
    </xf>
    <xf numFmtId="0" fontId="16" fillId="7" borderId="25" xfId="0" applyFont="1" applyFill="1" applyBorder="1" applyAlignment="1" applyProtection="1">
      <alignment horizontal="left"/>
      <protection locked="0"/>
    </xf>
    <xf numFmtId="3" fontId="16" fillId="7" borderId="25" xfId="0" applyNumberFormat="1" applyFont="1" applyFill="1" applyBorder="1" applyAlignment="1" applyProtection="1">
      <alignment horizontal="center"/>
      <protection locked="0"/>
    </xf>
    <xf numFmtId="0" fontId="6" fillId="16" borderId="5" xfId="4" applyFont="1" applyFill="1" applyBorder="1" applyAlignment="1">
      <alignment horizontal="center"/>
    </xf>
    <xf numFmtId="0" fontId="6" fillId="16" borderId="5" xfId="4" applyNumberFormat="1" applyFont="1" applyFill="1" applyBorder="1" applyAlignment="1">
      <alignment horizontal="center"/>
    </xf>
    <xf numFmtId="1" fontId="6" fillId="16" borderId="5" xfId="4" applyNumberFormat="1" applyFont="1" applyFill="1" applyBorder="1" applyAlignment="1">
      <alignment horizontal="center"/>
    </xf>
    <xf numFmtId="171" fontId="16" fillId="7" borderId="22" xfId="0" applyNumberFormat="1" applyFont="1" applyFill="1" applyBorder="1" applyAlignment="1" applyProtection="1">
      <alignment horizontal="left"/>
      <protection locked="0"/>
    </xf>
    <xf numFmtId="0" fontId="57" fillId="0" borderId="0" xfId="0" applyFont="1"/>
    <xf numFmtId="0" fontId="58" fillId="0" borderId="0" xfId="0" applyFont="1"/>
    <xf numFmtId="0" fontId="59" fillId="0" borderId="0" xfId="0" applyFont="1"/>
    <xf numFmtId="0" fontId="2" fillId="0" borderId="0" xfId="3"/>
    <xf numFmtId="0" fontId="61" fillId="0" borderId="0" xfId="0" applyFont="1"/>
    <xf numFmtId="10" fontId="60" fillId="0" borderId="0" xfId="2" applyNumberFormat="1" applyFont="1"/>
    <xf numFmtId="173" fontId="16" fillId="7" borderId="6" xfId="1" applyNumberFormat="1" applyFont="1" applyFill="1" applyBorder="1" applyAlignment="1" applyProtection="1">
      <alignment horizontal="right"/>
      <protection locked="0"/>
    </xf>
    <xf numFmtId="6" fontId="44" fillId="7" borderId="6" xfId="0" applyNumberFormat="1" applyFont="1" applyFill="1" applyBorder="1" applyAlignment="1" applyProtection="1">
      <alignment horizontal="left"/>
      <protection hidden="1"/>
    </xf>
    <xf numFmtId="5" fontId="44" fillId="7" borderId="6" xfId="0" applyNumberFormat="1" applyFont="1" applyFill="1" applyBorder="1" applyAlignment="1" applyProtection="1">
      <alignment horizontal="left"/>
      <protection hidden="1"/>
    </xf>
    <xf numFmtId="165" fontId="44" fillId="7" borderId="6" xfId="0" applyNumberFormat="1" applyFont="1" applyFill="1" applyBorder="1" applyAlignment="1" applyProtection="1">
      <alignment horizontal="left"/>
      <protection hidden="1"/>
    </xf>
    <xf numFmtId="0" fontId="20" fillId="9" borderId="10" xfId="6" applyFont="1" applyFill="1" applyBorder="1" applyProtection="1">
      <protection hidden="1"/>
    </xf>
    <xf numFmtId="0" fontId="20" fillId="9" borderId="7" xfId="6" applyFont="1" applyFill="1" applyBorder="1" applyProtection="1">
      <protection hidden="1"/>
    </xf>
    <xf numFmtId="0" fontId="20" fillId="9" borderId="11" xfId="6" applyFont="1" applyFill="1" applyBorder="1" applyProtection="1">
      <protection hidden="1"/>
    </xf>
    <xf numFmtId="0" fontId="20" fillId="9" borderId="9" xfId="6" applyFont="1" applyFill="1" applyBorder="1" applyProtection="1">
      <protection hidden="1"/>
    </xf>
    <xf numFmtId="0" fontId="20" fillId="2" borderId="1" xfId="6" applyFont="1" applyFill="1" applyProtection="1">
      <protection hidden="1"/>
    </xf>
    <xf numFmtId="0" fontId="20" fillId="9" borderId="21" xfId="6" applyFont="1" applyFill="1" applyBorder="1" applyProtection="1">
      <protection hidden="1"/>
    </xf>
    <xf numFmtId="0" fontId="20" fillId="2" borderId="7" xfId="6" applyFont="1" applyFill="1" applyBorder="1" applyAlignment="1" applyProtection="1">
      <alignment horizontal="center" vertical="top"/>
      <protection hidden="1"/>
    </xf>
    <xf numFmtId="0" fontId="20" fillId="2" borderId="11" xfId="6" applyFont="1" applyFill="1" applyBorder="1" applyAlignment="1" applyProtection="1">
      <alignment horizontal="center" vertical="top"/>
      <protection hidden="1"/>
    </xf>
    <xf numFmtId="0" fontId="20" fillId="2" borderId="9" xfId="6" applyFont="1" applyFill="1" applyBorder="1" applyAlignment="1" applyProtection="1">
      <alignment horizontal="center" vertical="top"/>
      <protection hidden="1"/>
    </xf>
    <xf numFmtId="0" fontId="20" fillId="9" borderId="1" xfId="6" applyFont="1" applyFill="1" applyProtection="1">
      <protection hidden="1"/>
    </xf>
    <xf numFmtId="0" fontId="34" fillId="7" borderId="12" xfId="6" applyFont="1" applyFill="1" applyBorder="1" applyAlignment="1" applyProtection="1">
      <alignment horizontal="center" vertical="center"/>
      <protection hidden="1"/>
    </xf>
    <xf numFmtId="0" fontId="34" fillId="7" borderId="13" xfId="6" applyFont="1" applyFill="1" applyBorder="1" applyAlignment="1" applyProtection="1">
      <alignment horizontal="center" vertical="center"/>
      <protection hidden="1"/>
    </xf>
    <xf numFmtId="0" fontId="20" fillId="2" borderId="21" xfId="6" applyFont="1" applyFill="1" applyBorder="1" applyProtection="1">
      <protection hidden="1"/>
    </xf>
    <xf numFmtId="0" fontId="47" fillId="7" borderId="12" xfId="6" applyFont="1" applyFill="1" applyBorder="1" applyAlignment="1" applyProtection="1">
      <alignment horizontal="left" vertical="center" indent="3"/>
      <protection hidden="1"/>
    </xf>
    <xf numFmtId="0" fontId="47" fillId="7" borderId="13" xfId="6" applyFont="1" applyFill="1" applyBorder="1" applyAlignment="1" applyProtection="1">
      <alignment horizontal="left" vertical="center" indent="3"/>
      <protection hidden="1"/>
    </xf>
    <xf numFmtId="0" fontId="47" fillId="7" borderId="27" xfId="6" applyFont="1" applyFill="1" applyBorder="1" applyAlignment="1" applyProtection="1">
      <alignment horizontal="left" vertical="center" indent="3"/>
      <protection hidden="1"/>
    </xf>
    <xf numFmtId="0" fontId="34" fillId="7" borderId="14" xfId="6" applyFont="1" applyFill="1" applyBorder="1" applyAlignment="1" applyProtection="1">
      <alignment horizontal="center" vertical="center"/>
      <protection hidden="1"/>
    </xf>
    <xf numFmtId="0" fontId="34" fillId="7" borderId="1" xfId="6" applyFont="1" applyFill="1" applyAlignment="1" applyProtection="1">
      <alignment horizontal="center" vertical="center"/>
      <protection hidden="1"/>
    </xf>
    <xf numFmtId="0" fontId="20" fillId="2" borderId="8" xfId="6" applyFont="1" applyFill="1" applyBorder="1" applyProtection="1">
      <protection hidden="1"/>
    </xf>
    <xf numFmtId="0" fontId="47" fillId="7" borderId="22" xfId="6" applyFont="1" applyFill="1" applyBorder="1" applyAlignment="1" applyProtection="1">
      <alignment horizontal="left" vertical="center" indent="3"/>
      <protection hidden="1"/>
    </xf>
    <xf numFmtId="0" fontId="47" fillId="7" borderId="15" xfId="6" applyFont="1" applyFill="1" applyBorder="1" applyAlignment="1" applyProtection="1">
      <alignment horizontal="left" vertical="center" indent="3"/>
      <protection hidden="1"/>
    </xf>
    <xf numFmtId="0" fontId="47" fillId="7" borderId="24" xfId="6" applyFont="1" applyFill="1" applyBorder="1" applyAlignment="1" applyProtection="1">
      <alignment horizontal="left" vertical="center" indent="3"/>
      <protection hidden="1"/>
    </xf>
    <xf numFmtId="0" fontId="35" fillId="2" borderId="11" xfId="6" applyFont="1" applyFill="1" applyBorder="1" applyAlignment="1" applyProtection="1">
      <alignment vertical="center"/>
      <protection hidden="1"/>
    </xf>
    <xf numFmtId="0" fontId="35" fillId="2" borderId="9" xfId="6" applyFont="1" applyFill="1" applyBorder="1" applyAlignment="1" applyProtection="1">
      <alignment vertical="center"/>
      <protection hidden="1"/>
    </xf>
    <xf numFmtId="0" fontId="20" fillId="9" borderId="21" xfId="6" applyFont="1" applyFill="1" applyBorder="1" applyAlignment="1" applyProtection="1">
      <alignment vertical="center"/>
      <protection hidden="1"/>
    </xf>
    <xf numFmtId="0" fontId="20" fillId="2" borderId="10" xfId="6" applyFont="1" applyFill="1" applyBorder="1" applyAlignment="1" applyProtection="1">
      <alignment horizontal="center" vertical="center"/>
      <protection hidden="1"/>
    </xf>
    <xf numFmtId="0" fontId="36" fillId="9" borderId="7" xfId="6" applyFont="1" applyFill="1" applyBorder="1" applyAlignment="1" applyProtection="1">
      <alignment horizontal="center" vertical="center"/>
      <protection hidden="1"/>
    </xf>
    <xf numFmtId="0" fontId="36" fillId="9" borderId="11" xfId="6" applyFont="1" applyFill="1" applyBorder="1" applyAlignment="1" applyProtection="1">
      <alignment horizontal="center" vertical="center"/>
      <protection hidden="1"/>
    </xf>
    <xf numFmtId="0" fontId="36" fillId="9" borderId="9" xfId="6" applyFont="1" applyFill="1" applyBorder="1" applyAlignment="1" applyProtection="1">
      <alignment horizontal="center" vertical="center"/>
      <protection hidden="1"/>
    </xf>
    <xf numFmtId="0" fontId="20" fillId="9" borderId="1" xfId="6" applyFont="1" applyFill="1" applyAlignment="1" applyProtection="1">
      <alignment vertical="center"/>
      <protection hidden="1"/>
    </xf>
    <xf numFmtId="0" fontId="20" fillId="2" borderId="1" xfId="6" applyFont="1" applyFill="1" applyAlignment="1" applyProtection="1">
      <alignment vertical="center"/>
      <protection hidden="1"/>
    </xf>
    <xf numFmtId="0" fontId="20" fillId="2" borderId="21" xfId="6" applyFont="1" applyFill="1" applyBorder="1" applyAlignment="1" applyProtection="1">
      <alignment horizontal="center" vertical="center"/>
      <protection hidden="1"/>
    </xf>
    <xf numFmtId="0" fontId="35" fillId="2" borderId="12" xfId="6" applyFont="1" applyFill="1" applyBorder="1" applyAlignment="1" applyProtection="1">
      <alignment horizontal="center" vertical="center"/>
      <protection hidden="1"/>
    </xf>
    <xf numFmtId="0" fontId="35" fillId="2" borderId="13" xfId="6" applyFont="1" applyFill="1" applyBorder="1" applyAlignment="1" applyProtection="1">
      <alignment horizontal="center" vertical="center"/>
      <protection hidden="1"/>
    </xf>
    <xf numFmtId="0" fontId="48" fillId="8" borderId="10" xfId="6" applyFont="1" applyFill="1" applyBorder="1" applyAlignment="1" applyProtection="1">
      <alignment horizontal="center" vertical="center"/>
      <protection hidden="1"/>
    </xf>
    <xf numFmtId="0" fontId="20" fillId="7" borderId="1" xfId="6" applyFont="1" applyFill="1" applyProtection="1">
      <protection hidden="1"/>
    </xf>
    <xf numFmtId="0" fontId="48" fillId="13" borderId="10" xfId="6" applyFont="1" applyFill="1" applyBorder="1" applyAlignment="1" applyProtection="1">
      <alignment horizontal="center" vertical="center"/>
      <protection hidden="1"/>
    </xf>
    <xf numFmtId="0" fontId="20" fillId="7" borderId="1" xfId="6" applyFont="1" applyFill="1" applyAlignment="1" applyProtection="1">
      <alignment horizontal="center"/>
      <protection hidden="1"/>
    </xf>
    <xf numFmtId="0" fontId="48" fillId="14" borderId="10" xfId="6" applyFont="1" applyFill="1" applyBorder="1" applyAlignment="1" applyProtection="1">
      <alignment horizontal="center" vertical="center"/>
      <protection hidden="1"/>
    </xf>
    <xf numFmtId="0" fontId="48" fillId="8" borderId="8" xfId="6" applyFont="1" applyFill="1" applyBorder="1" applyAlignment="1" applyProtection="1">
      <alignment horizontal="center" vertical="center"/>
      <protection hidden="1"/>
    </xf>
    <xf numFmtId="0" fontId="48" fillId="13" borderId="8" xfId="6" applyFont="1" applyFill="1" applyBorder="1" applyAlignment="1" applyProtection="1">
      <alignment horizontal="center" vertical="center"/>
      <protection hidden="1"/>
    </xf>
    <xf numFmtId="0" fontId="48" fillId="14" borderId="8" xfId="6" applyFont="1" applyFill="1" applyBorder="1" applyAlignment="1" applyProtection="1">
      <alignment horizontal="center" vertical="center"/>
      <protection hidden="1"/>
    </xf>
    <xf numFmtId="0" fontId="20" fillId="2" borderId="14" xfId="6" applyFont="1" applyFill="1" applyBorder="1" applyAlignment="1" applyProtection="1">
      <alignment horizontal="center" vertical="center"/>
      <protection hidden="1"/>
    </xf>
    <xf numFmtId="0" fontId="20" fillId="7" borderId="14" xfId="6" applyFont="1" applyFill="1" applyBorder="1" applyAlignment="1" applyProtection="1">
      <alignment horizontal="center"/>
      <protection hidden="1"/>
    </xf>
    <xf numFmtId="0" fontId="20" fillId="7" borderId="1" xfId="6" applyFont="1" applyFill="1" applyAlignment="1" applyProtection="1">
      <alignment horizontal="center"/>
      <protection hidden="1"/>
    </xf>
    <xf numFmtId="0" fontId="20" fillId="7" borderId="19" xfId="6" applyFont="1" applyFill="1" applyBorder="1" applyAlignment="1" applyProtection="1">
      <alignment horizontal="center"/>
      <protection hidden="1"/>
    </xf>
    <xf numFmtId="0" fontId="34" fillId="7" borderId="22" xfId="6" applyFont="1" applyFill="1" applyBorder="1" applyAlignment="1" applyProtection="1">
      <alignment horizontal="center" vertical="center"/>
      <protection hidden="1"/>
    </xf>
    <xf numFmtId="0" fontId="34" fillId="7" borderId="15" xfId="6" applyFont="1" applyFill="1" applyBorder="1" applyAlignment="1" applyProtection="1">
      <alignment horizontal="center" vertical="center"/>
      <protection hidden="1"/>
    </xf>
    <xf numFmtId="0" fontId="20" fillId="2" borderId="8" xfId="6" applyFont="1" applyFill="1" applyBorder="1" applyAlignment="1" applyProtection="1">
      <alignment horizontal="center" vertical="center"/>
      <protection hidden="1"/>
    </xf>
    <xf numFmtId="0" fontId="20" fillId="7" borderId="22" xfId="6" applyFont="1" applyFill="1" applyBorder="1" applyAlignment="1" applyProtection="1">
      <alignment horizontal="center"/>
      <protection hidden="1"/>
    </xf>
    <xf numFmtId="0" fontId="20" fillId="7" borderId="15" xfId="6" applyFont="1" applyFill="1" applyBorder="1" applyAlignment="1" applyProtection="1">
      <alignment horizontal="center"/>
      <protection hidden="1"/>
    </xf>
    <xf numFmtId="0" fontId="20" fillId="7" borderId="24" xfId="6" applyFont="1" applyFill="1" applyBorder="1" applyAlignment="1" applyProtection="1">
      <alignment horizontal="center"/>
      <protection hidden="1"/>
    </xf>
    <xf numFmtId="0" fontId="20" fillId="9" borderId="8" xfId="6" applyFont="1" applyFill="1" applyBorder="1" applyProtection="1">
      <protection hidden="1"/>
    </xf>
    <xf numFmtId="0" fontId="35" fillId="9" borderId="7" xfId="6" applyFont="1" applyFill="1" applyBorder="1" applyAlignment="1" applyProtection="1">
      <alignment horizontal="center" vertical="center"/>
      <protection hidden="1"/>
    </xf>
    <xf numFmtId="0" fontId="35" fillId="9" borderId="11" xfId="6" applyFont="1" applyFill="1" applyBorder="1" applyAlignment="1" applyProtection="1">
      <alignment horizontal="center" vertical="center"/>
      <protection hidden="1"/>
    </xf>
    <xf numFmtId="0" fontId="37" fillId="10" borderId="10" xfId="3" applyFont="1" applyFill="1" applyBorder="1" applyAlignment="1" applyProtection="1">
      <alignment horizontal="center" vertical="center"/>
      <protection locked="0"/>
    </xf>
    <xf numFmtId="0" fontId="37" fillId="10" borderId="8" xfId="3" applyFont="1" applyFill="1" applyBorder="1" applyAlignment="1" applyProtection="1">
      <alignment horizontal="center" vertical="center"/>
      <protection locked="0"/>
    </xf>
    <xf numFmtId="0" fontId="37" fillId="12" borderId="10" xfId="3" applyFont="1" applyFill="1" applyBorder="1" applyAlignment="1" applyProtection="1">
      <alignment horizontal="center" vertical="center"/>
      <protection locked="0"/>
    </xf>
    <xf numFmtId="0" fontId="37" fillId="12" borderId="8" xfId="3" applyFont="1" applyFill="1" applyBorder="1" applyAlignment="1" applyProtection="1">
      <alignment horizontal="center" vertical="center"/>
      <protection locked="0"/>
    </xf>
    <xf numFmtId="0" fontId="37" fillId="15" borderId="10" xfId="3" applyFont="1" applyFill="1" applyBorder="1" applyAlignment="1" applyProtection="1">
      <alignment horizontal="center" vertical="center"/>
      <protection locked="0"/>
    </xf>
    <xf numFmtId="0" fontId="37" fillId="15" borderId="8" xfId="3" applyFont="1" applyFill="1" applyBorder="1" applyAlignment="1" applyProtection="1">
      <alignment horizontal="center" vertical="center"/>
      <protection locked="0"/>
    </xf>
    <xf numFmtId="0" fontId="3" fillId="2" borderId="1" xfId="11" applyFont="1" applyFill="1" applyAlignment="1" applyProtection="1">
      <alignment horizontal="left"/>
      <protection hidden="1"/>
    </xf>
    <xf numFmtId="0" fontId="20" fillId="2" borderId="1" xfId="11" applyFont="1" applyFill="1" applyProtection="1">
      <protection hidden="1"/>
    </xf>
    <xf numFmtId="0" fontId="20" fillId="2" borderId="1" xfId="11" applyFont="1" applyFill="1" applyAlignment="1" applyProtection="1">
      <alignment horizontal="left"/>
      <protection hidden="1"/>
    </xf>
    <xf numFmtId="0" fontId="56" fillId="9" borderId="28" xfId="11" applyFont="1" applyFill="1" applyBorder="1" applyAlignment="1" applyProtection="1">
      <alignment horizontal="center" vertical="center"/>
      <protection hidden="1"/>
    </xf>
    <xf numFmtId="0" fontId="56" fillId="9" borderId="29" xfId="11" applyFont="1" applyFill="1" applyBorder="1" applyAlignment="1" applyProtection="1">
      <alignment horizontal="center" vertical="center"/>
      <protection hidden="1"/>
    </xf>
    <xf numFmtId="0" fontId="3" fillId="2" borderId="1" xfId="11" applyFont="1" applyFill="1" applyAlignment="1" applyProtection="1">
      <alignment horizontal="left" vertical="center"/>
      <protection hidden="1"/>
    </xf>
    <xf numFmtId="0" fontId="49" fillId="2" borderId="3" xfId="12" applyFont="1" applyFill="1" applyBorder="1" applyAlignment="1" applyProtection="1">
      <alignment horizontal="left" vertical="center"/>
      <protection hidden="1"/>
    </xf>
    <xf numFmtId="0" fontId="31" fillId="2" borderId="1" xfId="12" applyFont="1" applyFill="1" applyBorder="1" applyAlignment="1" applyProtection="1">
      <alignment horizontal="left" vertical="center"/>
      <protection hidden="1"/>
    </xf>
    <xf numFmtId="0" fontId="52" fillId="2" borderId="1" xfId="12" applyFont="1" applyFill="1" applyBorder="1" applyAlignment="1" applyProtection="1">
      <alignment vertical="center"/>
      <protection hidden="1"/>
    </xf>
    <xf numFmtId="0" fontId="52" fillId="2" borderId="1" xfId="12" applyFont="1" applyFill="1" applyBorder="1" applyAlignment="1" applyProtection="1">
      <alignment horizontal="left" vertical="center"/>
      <protection hidden="1"/>
    </xf>
    <xf numFmtId="0" fontId="13" fillId="2" borderId="1" xfId="11" applyFont="1" applyFill="1" applyAlignment="1" applyProtection="1">
      <alignment horizontal="left" vertical="center"/>
      <protection hidden="1"/>
    </xf>
    <xf numFmtId="0" fontId="14" fillId="2" borderId="1" xfId="11" applyFont="1" applyFill="1" applyAlignment="1" applyProtection="1">
      <alignment horizontal="center" vertical="center"/>
      <protection hidden="1"/>
    </xf>
    <xf numFmtId="0" fontId="53" fillId="2" borderId="1" xfId="11" applyFont="1" applyFill="1" applyAlignment="1" applyProtection="1">
      <alignment vertical="center"/>
      <protection hidden="1"/>
    </xf>
    <xf numFmtId="0" fontId="53" fillId="2" borderId="1" xfId="11" applyFont="1" applyFill="1" applyAlignment="1" applyProtection="1">
      <alignment horizontal="center" vertical="center"/>
      <protection hidden="1"/>
    </xf>
    <xf numFmtId="0" fontId="4" fillId="2" borderId="1" xfId="11" applyFont="1" applyFill="1" applyAlignment="1" applyProtection="1">
      <alignment horizontal="left" vertical="center"/>
      <protection hidden="1"/>
    </xf>
    <xf numFmtId="0" fontId="50" fillId="2" borderId="3" xfId="11" applyFont="1" applyFill="1" applyBorder="1" applyAlignment="1" applyProtection="1">
      <alignment horizontal="left" vertical="center"/>
      <protection hidden="1"/>
    </xf>
    <xf numFmtId="0" fontId="32" fillId="2" borderId="1" xfId="11" applyFont="1" applyFill="1" applyAlignment="1" applyProtection="1">
      <alignment horizontal="left" vertical="center"/>
      <protection hidden="1"/>
    </xf>
    <xf numFmtId="0" fontId="54" fillId="2" borderId="1" xfId="11" applyFont="1" applyFill="1" applyProtection="1">
      <protection hidden="1"/>
    </xf>
    <xf numFmtId="0" fontId="54" fillId="2" borderId="1" xfId="11" applyFont="1" applyFill="1" applyAlignment="1" applyProtection="1">
      <alignment horizontal="left" vertical="center"/>
      <protection hidden="1"/>
    </xf>
    <xf numFmtId="0" fontId="51" fillId="2" borderId="1" xfId="11" applyFont="1" applyFill="1" applyAlignment="1" applyProtection="1">
      <alignment horizontal="left" vertical="center"/>
      <protection hidden="1"/>
    </xf>
    <xf numFmtId="16" fontId="53" fillId="2" borderId="1" xfId="11" quotePrefix="1" applyNumberFormat="1" applyFont="1" applyFill="1" applyAlignment="1" applyProtection="1">
      <alignment vertical="center"/>
      <protection hidden="1"/>
    </xf>
    <xf numFmtId="0" fontId="14" fillId="2" borderId="1" xfId="11" applyFont="1" applyFill="1" applyAlignment="1" applyProtection="1">
      <alignment horizontal="left" vertical="center"/>
      <protection hidden="1"/>
    </xf>
    <xf numFmtId="0" fontId="33" fillId="2" borderId="1" xfId="11" applyFont="1" applyFill="1" applyAlignment="1" applyProtection="1">
      <alignment horizontal="left" vertical="center"/>
      <protection hidden="1"/>
    </xf>
    <xf numFmtId="0" fontId="39" fillId="2" borderId="1" xfId="11" applyFont="1" applyFill="1" applyAlignment="1" applyProtection="1">
      <alignment vertical="center"/>
      <protection hidden="1"/>
    </xf>
    <xf numFmtId="0" fontId="13" fillId="2" borderId="1" xfId="11" applyFont="1" applyFill="1" applyAlignment="1" applyProtection="1">
      <alignment vertical="center"/>
      <protection hidden="1"/>
    </xf>
    <xf numFmtId="0" fontId="5" fillId="2" borderId="1" xfId="11" applyFont="1" applyFill="1" applyAlignment="1" applyProtection="1">
      <alignment horizontal="center" vertical="center"/>
      <protection hidden="1"/>
    </xf>
    <xf numFmtId="0" fontId="55" fillId="2" borderId="1" xfId="11" applyFont="1" applyFill="1" applyAlignment="1" applyProtection="1">
      <alignment vertical="center"/>
      <protection hidden="1"/>
    </xf>
    <xf numFmtId="0" fontId="55" fillId="2" borderId="1" xfId="11" applyFont="1" applyFill="1" applyAlignment="1" applyProtection="1">
      <alignment horizontal="center" vertical="center"/>
      <protection hidden="1"/>
    </xf>
    <xf numFmtId="0" fontId="19" fillId="2" borderId="1" xfId="11" applyFont="1" applyFill="1" applyAlignment="1" applyProtection="1">
      <alignment horizontal="left" vertical="center"/>
      <protection hidden="1"/>
    </xf>
    <xf numFmtId="43" fontId="16" fillId="7" borderId="6" xfId="1" applyFont="1" applyFill="1" applyBorder="1" applyAlignment="1" applyProtection="1">
      <alignment horizontal="right"/>
      <protection locked="0"/>
    </xf>
    <xf numFmtId="0" fontId="45" fillId="9" borderId="6" xfId="3" applyNumberFormat="1" applyFont="1" applyFill="1" applyBorder="1" applyAlignment="1" applyProtection="1">
      <alignment vertical="center"/>
      <protection locked="0"/>
    </xf>
    <xf numFmtId="0" fontId="13" fillId="0" borderId="1" xfId="0" applyNumberFormat="1" applyFont="1" applyBorder="1" applyAlignment="1" applyProtection="1">
      <alignment vertical="center"/>
      <protection hidden="1"/>
    </xf>
    <xf numFmtId="0" fontId="13" fillId="0" borderId="0" xfId="0" applyNumberFormat="1" applyFont="1" applyAlignment="1" applyProtection="1">
      <alignment vertical="center"/>
      <protection hidden="1"/>
    </xf>
    <xf numFmtId="0" fontId="13" fillId="2" borderId="1" xfId="0" applyNumberFormat="1" applyFont="1" applyFill="1" applyBorder="1" applyAlignment="1" applyProtection="1">
      <alignment vertical="center"/>
      <protection hidden="1"/>
    </xf>
    <xf numFmtId="0" fontId="13" fillId="2" borderId="0" xfId="0" applyNumberFormat="1" applyFont="1" applyFill="1" applyAlignment="1" applyProtection="1">
      <alignment vertical="center"/>
      <protection hidden="1"/>
    </xf>
    <xf numFmtId="0" fontId="13" fillId="0" borderId="0" xfId="0" applyNumberFormat="1" applyFont="1" applyAlignment="1" applyProtection="1">
      <alignment horizontal="center" vertical="center"/>
      <protection hidden="1"/>
    </xf>
    <xf numFmtId="0" fontId="13" fillId="4" borderId="0" xfId="0" applyNumberFormat="1" applyFont="1" applyFill="1" applyAlignment="1" applyProtection="1">
      <alignment vertical="center"/>
      <protection hidden="1"/>
    </xf>
    <xf numFmtId="14" fontId="46" fillId="9" borderId="6" xfId="0" applyNumberFormat="1" applyFont="1" applyFill="1" applyBorder="1" applyAlignment="1" applyProtection="1">
      <alignment vertical="center"/>
      <protection hidden="1"/>
    </xf>
    <xf numFmtId="0" fontId="13" fillId="5" borderId="1" xfId="0" applyNumberFormat="1" applyFont="1" applyFill="1" applyBorder="1" applyAlignment="1" applyProtection="1">
      <alignment vertical="center"/>
      <protection hidden="1"/>
    </xf>
    <xf numFmtId="0" fontId="13" fillId="0" borderId="1" xfId="0" applyNumberFormat="1" applyFont="1" applyBorder="1" applyAlignment="1" applyProtection="1">
      <alignment horizontal="center" vertical="center"/>
      <protection hidden="1"/>
    </xf>
    <xf numFmtId="0" fontId="29" fillId="2" borderId="1" xfId="3" applyNumberFormat="1" applyFont="1" applyFill="1" applyBorder="1" applyAlignment="1" applyProtection="1">
      <alignment horizontal="center" vertical="top"/>
      <protection hidden="1"/>
    </xf>
    <xf numFmtId="0" fontId="29" fillId="2" borderId="15" xfId="3" applyNumberFormat="1" applyFont="1" applyFill="1" applyBorder="1" applyAlignment="1" applyProtection="1">
      <alignment horizontal="center" vertical="top"/>
      <protection hidden="1"/>
    </xf>
    <xf numFmtId="0" fontId="41" fillId="9" borderId="6" xfId="0" applyFont="1" applyFill="1" applyBorder="1" applyAlignment="1" applyProtection="1">
      <alignment horizontal="left"/>
      <protection hidden="1"/>
    </xf>
    <xf numFmtId="0" fontId="41" fillId="9" borderId="16" xfId="0" applyFont="1" applyFill="1" applyBorder="1" applyAlignment="1" applyProtection="1">
      <alignment horizontal="left"/>
      <protection hidden="1"/>
    </xf>
    <xf numFmtId="0" fontId="41" fillId="9" borderId="20" xfId="0" applyFont="1" applyFill="1" applyBorder="1" applyAlignment="1" applyProtection="1">
      <alignment horizontal="left"/>
      <protection hidden="1"/>
    </xf>
    <xf numFmtId="0" fontId="41" fillId="9" borderId="17" xfId="0" applyFont="1" applyFill="1" applyBorder="1" applyAlignment="1" applyProtection="1">
      <alignment horizontal="left"/>
      <protection hidden="1"/>
    </xf>
    <xf numFmtId="0" fontId="41" fillId="9" borderId="18" xfId="0" applyFont="1" applyFill="1" applyBorder="1" applyAlignment="1" applyProtection="1">
      <alignment horizontal="left"/>
      <protection hidden="1"/>
    </xf>
    <xf numFmtId="0" fontId="44" fillId="2" borderId="6" xfId="0" applyFont="1" applyFill="1" applyBorder="1" applyProtection="1">
      <protection hidden="1"/>
    </xf>
    <xf numFmtId="0" fontId="19" fillId="2" borderId="6" xfId="0" applyFont="1" applyFill="1" applyBorder="1" applyProtection="1">
      <protection hidden="1"/>
    </xf>
    <xf numFmtId="0" fontId="20" fillId="2" borderId="6" xfId="0" applyFont="1" applyFill="1" applyBorder="1" applyProtection="1">
      <protection hidden="1"/>
    </xf>
    <xf numFmtId="0" fontId="43" fillId="11" borderId="6" xfId="0" applyFont="1" applyFill="1" applyBorder="1" applyAlignment="1" applyProtection="1">
      <alignment horizontal="left"/>
      <protection hidden="1"/>
    </xf>
    <xf numFmtId="3" fontId="43" fillId="11" borderId="6" xfId="0" applyNumberFormat="1" applyFont="1" applyFill="1" applyBorder="1" applyAlignment="1" applyProtection="1">
      <alignment horizontal="center"/>
      <protection hidden="1"/>
    </xf>
    <xf numFmtId="0" fontId="43" fillId="11" borderId="6" xfId="0" applyFont="1" applyFill="1" applyBorder="1" applyAlignment="1" applyProtection="1">
      <alignment horizontal="center"/>
      <protection hidden="1"/>
    </xf>
    <xf numFmtId="0" fontId="44" fillId="2" borderId="25" xfId="0" applyFont="1" applyFill="1" applyBorder="1" applyProtection="1">
      <protection hidden="1"/>
    </xf>
    <xf numFmtId="0" fontId="19" fillId="2" borderId="25" xfId="0" applyFont="1" applyFill="1" applyBorder="1" applyProtection="1">
      <protection hidden="1"/>
    </xf>
    <xf numFmtId="172" fontId="21" fillId="2" borderId="25" xfId="0" applyNumberFormat="1" applyFont="1" applyFill="1" applyBorder="1" applyAlignment="1" applyProtection="1">
      <alignment horizontal="right"/>
      <protection hidden="1"/>
    </xf>
    <xf numFmtId="0" fontId="42" fillId="10" borderId="22" xfId="0" applyFont="1" applyFill="1" applyBorder="1" applyProtection="1">
      <protection hidden="1"/>
    </xf>
    <xf numFmtId="0" fontId="17" fillId="10" borderId="15" xfId="0" applyFont="1" applyFill="1" applyBorder="1" applyProtection="1">
      <protection hidden="1"/>
    </xf>
    <xf numFmtId="0" fontId="23" fillId="10" borderId="24" xfId="0" applyFont="1" applyFill="1" applyBorder="1" applyProtection="1">
      <protection hidden="1"/>
    </xf>
    <xf numFmtId="167" fontId="23" fillId="10" borderId="8" xfId="0" applyNumberFormat="1" applyFont="1" applyFill="1" applyBorder="1" applyAlignment="1" applyProtection="1">
      <alignment horizontal="right"/>
      <protection hidden="1"/>
    </xf>
    <xf numFmtId="0" fontId="42" fillId="10" borderId="8" xfId="0" applyFont="1" applyFill="1" applyBorder="1" applyProtection="1">
      <protection hidden="1"/>
    </xf>
    <xf numFmtId="37" fontId="23" fillId="10" borderId="8" xfId="1" applyNumberFormat="1" applyFont="1" applyFill="1" applyBorder="1" applyAlignment="1" applyProtection="1">
      <alignment horizontal="center"/>
      <protection hidden="1"/>
    </xf>
    <xf numFmtId="6" fontId="23" fillId="10" borderId="8" xfId="0" applyNumberFormat="1" applyFont="1" applyFill="1" applyBorder="1" applyProtection="1">
      <protection hidden="1"/>
    </xf>
    <xf numFmtId="0" fontId="41" fillId="9" borderId="7" xfId="0" applyFont="1" applyFill="1" applyBorder="1" applyAlignment="1" applyProtection="1">
      <alignment horizontal="left"/>
      <protection hidden="1"/>
    </xf>
    <xf numFmtId="0" fontId="13" fillId="9" borderId="11" xfId="0" applyFont="1" applyFill="1" applyBorder="1" applyAlignment="1" applyProtection="1">
      <alignment vertical="center"/>
      <protection hidden="1"/>
    </xf>
    <xf numFmtId="0" fontId="43" fillId="9" borderId="9" xfId="0" applyFont="1" applyFill="1" applyBorder="1" applyAlignment="1" applyProtection="1">
      <alignment horizontal="center"/>
      <protection hidden="1"/>
    </xf>
    <xf numFmtId="0" fontId="44" fillId="2" borderId="6" xfId="0" applyFont="1" applyFill="1" applyBorder="1" applyAlignment="1" applyProtection="1">
      <alignment horizontal="left" wrapText="1"/>
      <protection hidden="1"/>
    </xf>
    <xf numFmtId="0" fontId="19" fillId="2" borderId="6" xfId="0" applyFont="1" applyFill="1" applyBorder="1" applyAlignment="1" applyProtection="1">
      <alignment horizontal="left" wrapText="1"/>
      <protection hidden="1"/>
    </xf>
    <xf numFmtId="9" fontId="20" fillId="2" borderId="6" xfId="2" applyFont="1" applyFill="1" applyBorder="1" applyAlignment="1" applyProtection="1">
      <alignment horizontal="center"/>
      <protection hidden="1"/>
    </xf>
    <xf numFmtId="0" fontId="44" fillId="2" borderId="6" xfId="0" applyFont="1" applyFill="1" applyBorder="1" applyAlignment="1" applyProtection="1">
      <alignment horizontal="left"/>
      <protection hidden="1"/>
    </xf>
    <xf numFmtId="6" fontId="44" fillId="2" borderId="6" xfId="0" applyNumberFormat="1" applyFont="1" applyFill="1" applyBorder="1" applyProtection="1">
      <protection hidden="1"/>
    </xf>
    <xf numFmtId="6" fontId="21" fillId="2" borderId="6" xfId="0" applyNumberFormat="1" applyFont="1" applyFill="1" applyBorder="1" applyProtection="1">
      <protection hidden="1"/>
    </xf>
    <xf numFmtId="49" fontId="44" fillId="2" borderId="6" xfId="0" applyNumberFormat="1" applyFont="1" applyFill="1" applyBorder="1" applyProtection="1">
      <protection hidden="1"/>
    </xf>
    <xf numFmtId="0" fontId="13" fillId="2" borderId="6" xfId="0" applyNumberFormat="1" applyFont="1" applyFill="1" applyBorder="1" applyAlignment="1" applyProtection="1">
      <alignment vertical="center"/>
      <protection hidden="1"/>
    </xf>
    <xf numFmtId="5" fontId="44" fillId="2" borderId="6" xfId="0" applyNumberFormat="1" applyFont="1" applyFill="1" applyBorder="1" applyProtection="1">
      <protection hidden="1"/>
    </xf>
    <xf numFmtId="0" fontId="19" fillId="2" borderId="6" xfId="0" applyFont="1" applyFill="1" applyBorder="1" applyAlignment="1" applyProtection="1">
      <alignment horizontal="left"/>
      <protection hidden="1"/>
    </xf>
    <xf numFmtId="0" fontId="44" fillId="2" borderId="25" xfId="0" applyFont="1" applyFill="1" applyBorder="1" applyAlignment="1" applyProtection="1">
      <alignment horizontal="left"/>
      <protection hidden="1"/>
    </xf>
    <xf numFmtId="0" fontId="19" fillId="2" borderId="25" xfId="0" applyFont="1" applyFill="1" applyBorder="1" applyAlignment="1" applyProtection="1">
      <alignment horizontal="left"/>
      <protection hidden="1"/>
    </xf>
    <xf numFmtId="9" fontId="21" fillId="2" borderId="25" xfId="0" applyNumberFormat="1" applyFont="1" applyFill="1" applyBorder="1" applyAlignment="1" applyProtection="1">
      <alignment horizontal="center"/>
      <protection hidden="1"/>
    </xf>
    <xf numFmtId="49" fontId="44" fillId="2" borderId="25" xfId="0" applyNumberFormat="1" applyFont="1" applyFill="1" applyBorder="1" applyProtection="1">
      <protection hidden="1"/>
    </xf>
    <xf numFmtId="9" fontId="22" fillId="10" borderId="15" xfId="2" applyFont="1" applyFill="1" applyBorder="1" applyAlignment="1" applyProtection="1">
      <alignment horizontal="center"/>
      <protection hidden="1"/>
    </xf>
    <xf numFmtId="0" fontId="23" fillId="10" borderId="15" xfId="0" applyFont="1" applyFill="1" applyBorder="1" applyProtection="1">
      <protection hidden="1"/>
    </xf>
    <xf numFmtId="6" fontId="23" fillId="10" borderId="24" xfId="0" applyNumberFormat="1" applyFont="1" applyFill="1" applyBorder="1" applyProtection="1">
      <protection hidden="1"/>
    </xf>
    <xf numFmtId="0" fontId="13" fillId="2" borderId="1" xfId="0" applyFont="1" applyFill="1" applyBorder="1" applyAlignment="1" applyProtection="1">
      <alignment vertical="center"/>
      <protection hidden="1"/>
    </xf>
    <xf numFmtId="0" fontId="41" fillId="9" borderId="6" xfId="0" applyFont="1" applyFill="1" applyBorder="1" applyAlignment="1" applyProtection="1">
      <alignment horizontal="left"/>
      <protection hidden="1"/>
    </xf>
    <xf numFmtId="0" fontId="43" fillId="9" borderId="6" xfId="0" applyFont="1" applyFill="1" applyBorder="1" applyAlignment="1" applyProtection="1">
      <alignment horizontal="center"/>
      <protection hidden="1"/>
    </xf>
    <xf numFmtId="49" fontId="44" fillId="2" borderId="6" xfId="0" applyNumberFormat="1" applyFont="1" applyFill="1" applyBorder="1" applyAlignment="1" applyProtection="1">
      <alignment horizontal="left"/>
      <protection hidden="1"/>
    </xf>
    <xf numFmtId="49" fontId="19" fillId="2" borderId="6" xfId="0" applyNumberFormat="1" applyFont="1" applyFill="1" applyBorder="1" applyAlignment="1" applyProtection="1">
      <alignment horizontal="left"/>
      <protection hidden="1"/>
    </xf>
    <xf numFmtId="9" fontId="44" fillId="2" borderId="6" xfId="2" applyFont="1" applyFill="1" applyBorder="1" applyAlignment="1" applyProtection="1">
      <alignment horizontal="center"/>
      <protection hidden="1"/>
    </xf>
    <xf numFmtId="166" fontId="44" fillId="7" borderId="6" xfId="0" applyNumberFormat="1" applyFont="1" applyFill="1" applyBorder="1" applyProtection="1">
      <protection hidden="1"/>
    </xf>
    <xf numFmtId="0" fontId="44" fillId="7" borderId="6" xfId="0" applyFont="1" applyFill="1" applyBorder="1" applyAlignment="1" applyProtection="1">
      <alignment horizontal="left"/>
      <protection hidden="1"/>
    </xf>
    <xf numFmtId="165" fontId="44" fillId="7" borderId="6" xfId="0" applyNumberFormat="1" applyFont="1" applyFill="1" applyBorder="1" applyAlignment="1" applyProtection="1">
      <alignment horizontal="center"/>
      <protection hidden="1"/>
    </xf>
    <xf numFmtId="166" fontId="44" fillId="7" borderId="6" xfId="0" applyNumberFormat="1" applyFont="1" applyFill="1" applyBorder="1" applyAlignment="1" applyProtection="1">
      <alignment horizontal="center"/>
      <protection hidden="1"/>
    </xf>
    <xf numFmtId="6" fontId="20" fillId="7" borderId="6" xfId="0" applyNumberFormat="1" applyFont="1" applyFill="1" applyBorder="1" applyProtection="1">
      <protection hidden="1"/>
    </xf>
    <xf numFmtId="164" fontId="14" fillId="0" borderId="1" xfId="0" applyNumberFormat="1" applyFont="1" applyBorder="1" applyAlignment="1" applyProtection="1">
      <alignment horizontal="center" vertical="center"/>
      <protection hidden="1"/>
    </xf>
    <xf numFmtId="0" fontId="44" fillId="2" borderId="6" xfId="0" applyNumberFormat="1" applyFont="1" applyFill="1" applyBorder="1" applyAlignment="1" applyProtection="1">
      <alignment horizontal="left"/>
      <protection hidden="1"/>
    </xf>
    <xf numFmtId="0" fontId="19" fillId="2" borderId="6" xfId="0" applyNumberFormat="1" applyFont="1" applyFill="1" applyBorder="1" applyAlignment="1" applyProtection="1">
      <alignment horizontal="left"/>
      <protection hidden="1"/>
    </xf>
    <xf numFmtId="0" fontId="19" fillId="2" borderId="6" xfId="0" applyNumberFormat="1" applyFont="1" applyFill="1" applyBorder="1" applyProtection="1">
      <protection hidden="1"/>
    </xf>
    <xf numFmtId="10" fontId="44" fillId="7" borderId="6" xfId="2" applyNumberFormat="1" applyFont="1" applyFill="1" applyBorder="1" applyAlignment="1" applyProtection="1">
      <alignment horizontal="right"/>
      <protection hidden="1"/>
    </xf>
    <xf numFmtId="10" fontId="21" fillId="2" borderId="6" xfId="0" applyNumberFormat="1" applyFont="1" applyFill="1" applyBorder="1" applyAlignment="1" applyProtection="1">
      <alignment horizontal="right"/>
      <protection hidden="1"/>
    </xf>
    <xf numFmtId="165" fontId="44" fillId="7" borderId="6" xfId="2" applyNumberFormat="1" applyFont="1" applyFill="1" applyBorder="1" applyAlignment="1" applyProtection="1">
      <protection hidden="1"/>
    </xf>
    <xf numFmtId="6" fontId="44" fillId="7" borderId="6" xfId="0" applyNumberFormat="1" applyFont="1" applyFill="1" applyBorder="1" applyProtection="1">
      <protection hidden="1"/>
    </xf>
    <xf numFmtId="0" fontId="19" fillId="2" borderId="25" xfId="0" applyNumberFormat="1" applyFont="1" applyFill="1" applyBorder="1" applyProtection="1">
      <protection hidden="1"/>
    </xf>
    <xf numFmtId="165" fontId="44" fillId="7" borderId="25" xfId="2" applyNumberFormat="1" applyFont="1" applyFill="1" applyBorder="1" applyAlignment="1" applyProtection="1">
      <protection hidden="1"/>
    </xf>
    <xf numFmtId="0" fontId="44" fillId="7" borderId="25" xfId="0" applyFont="1" applyFill="1" applyBorder="1" applyAlignment="1" applyProtection="1">
      <alignment horizontal="left"/>
      <protection hidden="1"/>
    </xf>
    <xf numFmtId="165" fontId="19" fillId="7" borderId="25" xfId="0" applyNumberFormat="1" applyFont="1" applyFill="1" applyBorder="1" applyAlignment="1" applyProtection="1">
      <alignment horizontal="center"/>
      <protection hidden="1"/>
    </xf>
    <xf numFmtId="6" fontId="44" fillId="7" borderId="25" xfId="0" applyNumberFormat="1" applyFont="1" applyFill="1" applyBorder="1" applyProtection="1">
      <protection hidden="1"/>
    </xf>
    <xf numFmtId="0" fontId="17" fillId="10" borderId="24" xfId="0" applyFont="1" applyFill="1" applyBorder="1" applyProtection="1">
      <protection hidden="1"/>
    </xf>
    <xf numFmtId="168" fontId="23" fillId="10" borderId="8" xfId="0" applyNumberFormat="1" applyFont="1" applyFill="1" applyBorder="1" applyProtection="1">
      <protection hidden="1"/>
    </xf>
    <xf numFmtId="165" fontId="19" fillId="2" borderId="8" xfId="0" applyNumberFormat="1" applyFont="1" applyFill="1" applyBorder="1" applyAlignment="1" applyProtection="1">
      <alignment horizontal="center"/>
      <protection hidden="1"/>
    </xf>
    <xf numFmtId="166" fontId="23" fillId="10" borderId="8" xfId="1" applyNumberFormat="1" applyFont="1" applyFill="1" applyBorder="1" applyAlignment="1" applyProtection="1">
      <alignment horizontal="center"/>
      <protection hidden="1"/>
    </xf>
    <xf numFmtId="0" fontId="18" fillId="2" borderId="1" xfId="0" applyFont="1" applyFill="1" applyBorder="1" applyAlignment="1" applyProtection="1">
      <alignment horizontal="center" vertical="center"/>
      <protection hidden="1"/>
    </xf>
    <xf numFmtId="169" fontId="13" fillId="2" borderId="1" xfId="0" applyNumberFormat="1" applyFont="1" applyFill="1" applyBorder="1" applyAlignment="1" applyProtection="1">
      <alignment horizontal="right" vertical="center"/>
      <protection hidden="1"/>
    </xf>
    <xf numFmtId="0" fontId="44" fillId="7" borderId="7" xfId="0" applyFont="1" applyFill="1" applyBorder="1" applyProtection="1">
      <protection hidden="1"/>
    </xf>
    <xf numFmtId="0" fontId="28" fillId="7" borderId="11" xfId="0" applyFont="1" applyFill="1" applyBorder="1" applyProtection="1">
      <protection hidden="1"/>
    </xf>
    <xf numFmtId="0" fontId="13" fillId="7" borderId="9" xfId="0" applyNumberFormat="1" applyFont="1" applyFill="1" applyBorder="1" applyAlignment="1" applyProtection="1">
      <alignment vertical="center"/>
      <protection hidden="1"/>
    </xf>
    <xf numFmtId="49" fontId="44" fillId="7" borderId="6" xfId="0" applyNumberFormat="1" applyFont="1" applyFill="1" applyBorder="1" applyProtection="1">
      <protection hidden="1"/>
    </xf>
    <xf numFmtId="0" fontId="44" fillId="7" borderId="22" xfId="0" applyFont="1" applyFill="1" applyBorder="1" applyProtection="1">
      <protection hidden="1"/>
    </xf>
    <xf numFmtId="0" fontId="28" fillId="7" borderId="15" xfId="0" applyFont="1" applyFill="1" applyBorder="1" applyProtection="1">
      <protection hidden="1"/>
    </xf>
    <xf numFmtId="166" fontId="13" fillId="0" borderId="0" xfId="0" applyNumberFormat="1" applyFont="1" applyAlignment="1" applyProtection="1">
      <alignment vertical="center"/>
      <protection hidden="1"/>
    </xf>
    <xf numFmtId="0" fontId="41" fillId="9" borderId="9" xfId="0" applyFont="1" applyFill="1" applyBorder="1" applyAlignment="1" applyProtection="1">
      <alignment horizontal="left"/>
      <protection hidden="1"/>
    </xf>
    <xf numFmtId="0" fontId="41" fillId="9" borderId="26" xfId="0" applyFont="1" applyFill="1" applyBorder="1" applyAlignment="1" applyProtection="1">
      <alignment horizontal="left"/>
      <protection hidden="1"/>
    </xf>
    <xf numFmtId="0" fontId="19" fillId="7" borderId="11" xfId="0" applyFont="1" applyFill="1" applyBorder="1" applyProtection="1">
      <protection hidden="1"/>
    </xf>
    <xf numFmtId="0" fontId="20" fillId="0" borderId="6" xfId="0" applyFont="1" applyBorder="1" applyAlignment="1" applyProtection="1">
      <alignment horizontal="right"/>
      <protection hidden="1"/>
    </xf>
    <xf numFmtId="49" fontId="44" fillId="7" borderId="6" xfId="0" applyNumberFormat="1" applyFont="1" applyFill="1" applyBorder="1" applyAlignment="1" applyProtection="1">
      <alignment horizontal="left"/>
      <protection hidden="1"/>
    </xf>
    <xf numFmtId="164" fontId="13" fillId="0" borderId="0" xfId="0" applyNumberFormat="1" applyFont="1" applyAlignment="1" applyProtection="1">
      <alignment vertical="center"/>
      <protection hidden="1"/>
    </xf>
    <xf numFmtId="0" fontId="19" fillId="0" borderId="0" xfId="0" applyFont="1" applyProtection="1">
      <protection hidden="1"/>
    </xf>
    <xf numFmtId="0" fontId="40" fillId="6" borderId="0" xfId="0" applyFont="1" applyFill="1" applyAlignment="1" applyProtection="1">
      <alignment horizontal="right"/>
      <protection hidden="1"/>
    </xf>
    <xf numFmtId="0" fontId="40" fillId="6" borderId="0" xfId="0" applyFont="1" applyFill="1" applyAlignment="1" applyProtection="1">
      <alignment horizontal="left" indent="1"/>
      <protection hidden="1"/>
    </xf>
    <xf numFmtId="6" fontId="13" fillId="0" borderId="0" xfId="0" applyNumberFormat="1" applyFont="1" applyAlignment="1" applyProtection="1">
      <alignment vertical="center"/>
      <protection hidden="1"/>
    </xf>
    <xf numFmtId="6" fontId="19" fillId="0" borderId="0" xfId="0" applyNumberFormat="1" applyFont="1" applyAlignment="1" applyProtection="1">
      <alignment horizontal="center" vertical="center"/>
      <protection hidden="1"/>
    </xf>
    <xf numFmtId="6" fontId="19" fillId="0" borderId="0" xfId="0" applyNumberFormat="1" applyFont="1" applyAlignment="1" applyProtection="1">
      <alignment horizontal="left" vertical="center"/>
      <protection hidden="1"/>
    </xf>
    <xf numFmtId="174" fontId="44" fillId="7" borderId="6" xfId="0" applyNumberFormat="1" applyFont="1" applyFill="1" applyBorder="1" applyAlignment="1" applyProtection="1">
      <alignment horizontal="left"/>
      <protection hidden="1"/>
    </xf>
    <xf numFmtId="7" fontId="13" fillId="0" borderId="0" xfId="0" applyNumberFormat="1" applyFont="1" applyAlignment="1" applyProtection="1">
      <alignment vertical="center"/>
      <protection hidden="1"/>
    </xf>
    <xf numFmtId="0" fontId="20" fillId="0" borderId="0" xfId="0" applyFont="1" applyProtection="1">
      <protection hidden="1"/>
    </xf>
    <xf numFmtId="175" fontId="44" fillId="7" borderId="6" xfId="0" applyNumberFormat="1" applyFont="1" applyFill="1" applyBorder="1" applyAlignment="1" applyProtection="1">
      <alignment horizontal="left"/>
      <protection hidden="1"/>
    </xf>
    <xf numFmtId="177" fontId="44" fillId="7" borderId="6" xfId="0" applyNumberFormat="1" applyFont="1" applyFill="1" applyBorder="1" applyAlignment="1" applyProtection="1">
      <alignment horizontal="left"/>
      <protection hidden="1"/>
    </xf>
    <xf numFmtId="5" fontId="13" fillId="0" borderId="0" xfId="0" applyNumberFormat="1" applyFont="1" applyAlignment="1" applyProtection="1">
      <alignment vertical="center"/>
      <protection hidden="1"/>
    </xf>
    <xf numFmtId="0" fontId="38" fillId="10" borderId="0" xfId="0" applyFont="1" applyFill="1" applyAlignment="1" applyProtection="1">
      <alignment horizontal="left" indent="1"/>
      <protection hidden="1"/>
    </xf>
    <xf numFmtId="165" fontId="38" fillId="10" borderId="1" xfId="10" applyNumberFormat="1" applyFont="1" applyFill="1" applyAlignment="1" applyProtection="1">
      <alignment horizontal="left" indent="1"/>
      <protection hidden="1"/>
    </xf>
    <xf numFmtId="164" fontId="13" fillId="2" borderId="1" xfId="0" applyNumberFormat="1" applyFont="1" applyFill="1" applyBorder="1" applyAlignment="1" applyProtection="1">
      <alignment vertical="center"/>
      <protection hidden="1"/>
    </xf>
    <xf numFmtId="10" fontId="13" fillId="2" borderId="1" xfId="0" applyNumberFormat="1" applyFont="1" applyFill="1" applyBorder="1" applyAlignment="1" applyProtection="1">
      <alignment vertical="center"/>
      <protection hidden="1"/>
    </xf>
    <xf numFmtId="8" fontId="13" fillId="0" borderId="1" xfId="0" applyNumberFormat="1" applyFont="1" applyBorder="1" applyAlignment="1" applyProtection="1">
      <alignment vertical="center"/>
      <protection hidden="1"/>
    </xf>
    <xf numFmtId="0" fontId="19" fillId="0" borderId="0" xfId="0" applyNumberFormat="1" applyFont="1" applyAlignment="1" applyProtection="1">
      <alignment horizontal="left" vertical="center"/>
      <protection hidden="1"/>
    </xf>
    <xf numFmtId="0" fontId="19" fillId="2" borderId="0" xfId="0" applyNumberFormat="1" applyFont="1" applyFill="1" applyAlignment="1" applyProtection="1">
      <alignment horizontal="left" vertical="center"/>
      <protection hidden="1"/>
    </xf>
    <xf numFmtId="0" fontId="19" fillId="0" borderId="0" xfId="0" applyNumberFormat="1" applyFont="1" applyAlignment="1" applyProtection="1">
      <alignment horizontal="left" vertical="center" wrapText="1"/>
      <protection hidden="1"/>
    </xf>
  </cellXfs>
  <cellStyles count="13">
    <cellStyle name="Comma" xfId="1" builtinId="3"/>
    <cellStyle name="Comma 2" xfId="7" xr:uid="{D087956D-EA8C-7E4A-9525-C7E90B78BFB7}"/>
    <cellStyle name="Currency 2" xfId="8" xr:uid="{4750CD10-1EAF-784B-AEBF-0596E9475A31}"/>
    <cellStyle name="Currency 2 2" xfId="9" xr:uid="{97D3CF41-2140-6844-9638-9CBF67B235F6}"/>
    <cellStyle name="Hyperlink" xfId="3" builtinId="8"/>
    <cellStyle name="Hyperlink 2" xfId="12" xr:uid="{7F89AB22-B40B-B341-B0F3-40A724E20D21}"/>
    <cellStyle name="Normal" xfId="0" builtinId="0"/>
    <cellStyle name="Normal 2" xfId="6" xr:uid="{504A2B10-12FB-2248-8483-D91831F9649B}"/>
    <cellStyle name="Normal 3" xfId="4" xr:uid="{7B5B7189-C2C0-FC42-8C87-A013732204B5}"/>
    <cellStyle name="Normal 4" xfId="11" xr:uid="{8C9B54F1-CFB8-EC46-8CF6-59E50E96BC5D}"/>
    <cellStyle name="Percent" xfId="2" builtinId="5"/>
    <cellStyle name="Percent 2" xfId="5" xr:uid="{A38FFEF4-4813-144A-B46E-74421D95E7AC}"/>
    <cellStyle name="Percent 3" xfId="10" xr:uid="{0F12C6D1-F7E1-584C-A381-B748E3F7080A}"/>
  </cellStyles>
  <dxfs count="2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6A0000"/>
      </font>
      <fill>
        <patternFill>
          <bgColor rgb="FFFFD1DA"/>
        </patternFill>
      </fill>
    </dxf>
    <dxf>
      <font>
        <color rgb="FF6A0000"/>
      </font>
      <fill>
        <patternFill>
          <bgColor rgb="FFFFD1DA"/>
        </patternFill>
      </fill>
    </dxf>
    <dxf>
      <font>
        <color rgb="FF6A0000"/>
      </font>
      <fill>
        <patternFill>
          <bgColor rgb="FFFFD1DA"/>
        </patternFill>
      </fill>
    </dxf>
    <dxf>
      <font>
        <strike val="0"/>
        <color theme="0"/>
      </font>
      <fill>
        <patternFill>
          <bgColor rgb="FF819FA7"/>
        </patternFill>
      </fill>
    </dxf>
    <dxf>
      <font>
        <color rgb="FF6A0000"/>
      </font>
      <fill>
        <patternFill>
          <bgColor rgb="FFFFD1DA"/>
        </patternFill>
      </fill>
    </dxf>
    <dxf>
      <font>
        <color theme="0"/>
      </font>
      <fill>
        <patternFill>
          <bgColor rgb="FF819FA7"/>
        </patternFill>
      </fill>
    </dxf>
    <dxf>
      <font>
        <color rgb="FF470A46"/>
      </font>
      <fill>
        <patternFill>
          <bgColor rgb="FFFFC7CE"/>
        </patternFill>
      </fill>
    </dxf>
    <dxf>
      <font>
        <color rgb="FF470A46"/>
      </font>
      <fill>
        <patternFill>
          <bgColor rgb="FFFFC7CE"/>
        </patternFill>
      </fill>
    </dxf>
    <dxf>
      <font>
        <color rgb="FF0070C0"/>
      </font>
      <fill>
        <patternFill>
          <bgColor theme="0" tint="-4.9989318521683403E-2"/>
        </patternFill>
      </fill>
    </dxf>
  </dxfs>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FFDF7F"/>
      <rgbColor rgb="FFFF0000"/>
      <rgbColor rgb="FFA5A5A5"/>
      <rgbColor rgb="FF00A1FF"/>
      <rgbColor rgb="FF60D836"/>
      <rgbColor rgb="FFE489D4"/>
      <rgbColor rgb="FFF8BA00"/>
      <rgbColor rgb="FFFE2500"/>
      <rgbColor rgb="FFD31876"/>
      <rgbColor rgb="FFE897DA"/>
      <rgbColor rgb="FFB8B8B8"/>
      <rgbColor rgb="52856222"/>
      <rgbColor rgb="FF479FF7"/>
      <rgbColor rgb="FFC23175"/>
      <rgbColor rgb="FF81D653"/>
      <rgbColor rgb="FFADCDEA"/>
      <rgbColor rgb="FF3F3F3F"/>
      <rgbColor rgb="FFDBDBDB"/>
      <rgbColor rgb="FF525252"/>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B6E6D"/>
      <color rgb="FF6D9D9C"/>
      <color rgb="FF6A0000"/>
      <color rgb="FF819FA7"/>
      <color rgb="FF5A2853"/>
      <color rgb="FF302F2F"/>
      <color rgb="FF5A2846"/>
      <color rgb="FFFE72FA"/>
      <color rgb="FFFFD1DA"/>
      <color rgb="FF3542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hyperlink" Target="#TOC!A1"/><Relationship Id="rId1" Type="http://schemas.openxmlformats.org/officeDocument/2006/relationships/hyperlink" Target="#Directions!C5"/></Relationships>
</file>

<file path=xl/drawings/_rels/drawing3.xml.rels><?xml version="1.0" encoding="UTF-8" standalone="yes"?>
<Relationships xmlns="http://schemas.openxmlformats.org/package/2006/relationships"><Relationship Id="rId3" Type="http://schemas.openxmlformats.org/officeDocument/2006/relationships/hyperlink" Target="#Calculator!A9"/><Relationship Id="rId2" Type="http://schemas.openxmlformats.org/officeDocument/2006/relationships/hyperlink" Target="https://authenticcresolutions.com/" TargetMode="External"/><Relationship Id="rId1" Type="http://schemas.openxmlformats.org/officeDocument/2006/relationships/hyperlink" Target="mailto:niki@authenticcre.com?subject=Multifamily%20Acquisition%20Calcluator:%20Model%20Support%20Request" TargetMode="External"/><Relationship Id="rId5" Type="http://schemas.openxmlformats.org/officeDocument/2006/relationships/image" Target="../media/image3.png"/><Relationship Id="rId4" Type="http://schemas.openxmlformats.org/officeDocument/2006/relationships/hyperlink" Target="#Directions!A5"/></Relationships>
</file>

<file path=xl/drawings/_rels/drawing4.xml.rels><?xml version="1.0" encoding="UTF-8" standalone="yes"?>
<Relationships xmlns="http://schemas.openxmlformats.org/package/2006/relationships"><Relationship Id="rId2" Type="http://schemas.openxmlformats.org/officeDocument/2006/relationships/hyperlink" Target="#Calculator!A9"/><Relationship Id="rId1" Type="http://schemas.openxmlformats.org/officeDocument/2006/relationships/hyperlink" Target="#'Blank Sheet Playground'!A7"/></Relationships>
</file>

<file path=xl/drawings/drawing1.xml><?xml version="1.0" encoding="utf-8"?>
<xdr:wsDr xmlns:xdr="http://schemas.openxmlformats.org/drawingml/2006/spreadsheetDrawing" xmlns:a="http://schemas.openxmlformats.org/drawingml/2006/main">
  <xdr:twoCellAnchor editAs="oneCell">
    <xdr:from>
      <xdr:col>4</xdr:col>
      <xdr:colOff>1244600</xdr:colOff>
      <xdr:row>14</xdr:row>
      <xdr:rowOff>228600</xdr:rowOff>
    </xdr:from>
    <xdr:to>
      <xdr:col>8</xdr:col>
      <xdr:colOff>381000</xdr:colOff>
      <xdr:row>21</xdr:row>
      <xdr:rowOff>50800</xdr:rowOff>
    </xdr:to>
    <xdr:pic>
      <xdr:nvPicPr>
        <xdr:cNvPr id="9" name="Picture 8">
          <a:extLst>
            <a:ext uri="{FF2B5EF4-FFF2-40B4-BE49-F238E27FC236}">
              <a16:creationId xmlns:a16="http://schemas.microsoft.com/office/drawing/2014/main" id="{61D29604-6A23-E6D7-D926-85DFB2F2E565}"/>
            </a:ext>
          </a:extLst>
        </xdr:cNvPr>
        <xdr:cNvPicPr>
          <a:picLocks noChangeAspect="1"/>
        </xdr:cNvPicPr>
      </xdr:nvPicPr>
      <xdr:blipFill>
        <a:blip xmlns:r="http://schemas.openxmlformats.org/officeDocument/2006/relationships" r:embed="rId1"/>
        <a:stretch>
          <a:fillRect/>
        </a:stretch>
      </xdr:blipFill>
      <xdr:spPr>
        <a:xfrm>
          <a:off x="5283200" y="3810000"/>
          <a:ext cx="3200400" cy="1600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12395200</xdr:colOff>
      <xdr:row>3</xdr:row>
      <xdr:rowOff>88900</xdr:rowOff>
    </xdr:from>
    <xdr:to>
      <xdr:col>6</xdr:col>
      <xdr:colOff>13474700</xdr:colOff>
      <xdr:row>6</xdr:row>
      <xdr:rowOff>215900</xdr:rowOff>
    </xdr:to>
    <xdr:sp macro="" textlink="">
      <xdr:nvSpPr>
        <xdr:cNvPr id="2" name="Rectangle 1">
          <a:extLst>
            <a:ext uri="{FF2B5EF4-FFF2-40B4-BE49-F238E27FC236}">
              <a16:creationId xmlns:a16="http://schemas.microsoft.com/office/drawing/2014/main" id="{138494BA-D440-CA41-B268-1AEA949C5213}"/>
            </a:ext>
          </a:extLst>
        </xdr:cNvPr>
        <xdr:cNvSpPr/>
      </xdr:nvSpPr>
      <xdr:spPr>
        <a:xfrm>
          <a:off x="16090900" y="774700"/>
          <a:ext cx="1079500" cy="901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xdr:col>
      <xdr:colOff>25400</xdr:colOff>
      <xdr:row>0</xdr:row>
      <xdr:rowOff>101600</xdr:rowOff>
    </xdr:from>
    <xdr:to>
      <xdr:col>1</xdr:col>
      <xdr:colOff>1257300</xdr:colOff>
      <xdr:row>3</xdr:row>
      <xdr:rowOff>74168</xdr:rowOff>
    </xdr:to>
    <xdr:grpSp>
      <xdr:nvGrpSpPr>
        <xdr:cNvPr id="3" name="Group 2">
          <a:extLst>
            <a:ext uri="{FF2B5EF4-FFF2-40B4-BE49-F238E27FC236}">
              <a16:creationId xmlns:a16="http://schemas.microsoft.com/office/drawing/2014/main" id="{5ADCED57-3D5B-2C40-B07C-BECD0AAB6AB4}"/>
            </a:ext>
          </a:extLst>
        </xdr:cNvPr>
        <xdr:cNvGrpSpPr/>
      </xdr:nvGrpSpPr>
      <xdr:grpSpPr>
        <a:xfrm>
          <a:off x="469900" y="101600"/>
          <a:ext cx="1231900" cy="658368"/>
          <a:chOff x="127000" y="391583"/>
          <a:chExt cx="900000" cy="640409"/>
        </a:xfrm>
      </xdr:grpSpPr>
      <xdr:sp macro="" textlink="">
        <xdr:nvSpPr>
          <xdr:cNvPr id="4" name="Top">
            <a:hlinkClick xmlns:r="http://schemas.openxmlformats.org/officeDocument/2006/relationships" r:id="rId1"/>
            <a:extLst>
              <a:ext uri="{FF2B5EF4-FFF2-40B4-BE49-F238E27FC236}">
                <a16:creationId xmlns:a16="http://schemas.microsoft.com/office/drawing/2014/main" id="{6556AC91-69BA-DEEC-9391-E5462F9B1004}"/>
              </a:ext>
            </a:extLst>
          </xdr:cNvPr>
          <xdr:cNvSpPr/>
        </xdr:nvSpPr>
        <xdr:spPr>
          <a:xfrm>
            <a:off x="127000" y="391583"/>
            <a:ext cx="900000" cy="254949"/>
          </a:xfrm>
          <a:prstGeom prst="rect">
            <a:avLst/>
          </a:prstGeom>
          <a:solidFill>
            <a:schemeClr val="accent5"/>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100" b="1" kern="0" cap="none">
                <a:solidFill>
                  <a:schemeClr val="bg1"/>
                </a:solidFill>
                <a:latin typeface="Hiragino Mincho Pro W3" panose="02020300000000000000" pitchFamily="18" charset="-128"/>
                <a:ea typeface="Hiragino Mincho Pro W3" panose="02020300000000000000" pitchFamily="18" charset="-128"/>
                <a:cs typeface="Arial" panose="020B0604020202020204" pitchFamily="34" charset="0"/>
              </a:rPr>
              <a:t>TOP</a:t>
            </a:r>
          </a:p>
        </xdr:txBody>
      </xdr:sp>
      <xdr:sp macro="" textlink="">
        <xdr:nvSpPr>
          <xdr:cNvPr id="5" name="Home">
            <a:hlinkClick xmlns:r="http://schemas.openxmlformats.org/officeDocument/2006/relationships" r:id="rId2"/>
            <a:extLst>
              <a:ext uri="{FF2B5EF4-FFF2-40B4-BE49-F238E27FC236}">
                <a16:creationId xmlns:a16="http://schemas.microsoft.com/office/drawing/2014/main" id="{2A6BD15D-ACF6-56C4-7991-A2C9EF414B23}"/>
              </a:ext>
            </a:extLst>
          </xdr:cNvPr>
          <xdr:cNvSpPr/>
        </xdr:nvSpPr>
        <xdr:spPr>
          <a:xfrm>
            <a:off x="127000" y="777043"/>
            <a:ext cx="900000" cy="254949"/>
          </a:xfrm>
          <a:prstGeom prst="rect">
            <a:avLst/>
          </a:prstGeom>
          <a:solidFill>
            <a:schemeClr val="accent4"/>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100" b="1" kern="0" cap="none">
                <a:solidFill>
                  <a:schemeClr val="bg1"/>
                </a:solidFill>
                <a:latin typeface="Hiragino Mincho Pro W3" panose="02020300000000000000" pitchFamily="18" charset="-128"/>
                <a:ea typeface="Hiragino Mincho Pro W3" panose="02020300000000000000" pitchFamily="18" charset="-128"/>
                <a:cs typeface="Arial" panose="020B0604020202020204" pitchFamily="34" charset="0"/>
              </a:rPr>
              <a:t>HOME</a:t>
            </a:r>
          </a:p>
        </xdr:txBody>
      </xdr:sp>
    </xdr:grpSp>
    <xdr:clientData fLocksWithSheet="0"/>
  </xdr:twoCellAnchor>
  <xdr:oneCellAnchor>
    <xdr:from>
      <xdr:col>7</xdr:col>
      <xdr:colOff>12700</xdr:colOff>
      <xdr:row>8</xdr:row>
      <xdr:rowOff>215900</xdr:rowOff>
    </xdr:from>
    <xdr:ext cx="184731" cy="254429"/>
    <xdr:sp macro="" textlink="">
      <xdr:nvSpPr>
        <xdr:cNvPr id="6" name="TextBox 5">
          <a:extLst>
            <a:ext uri="{FF2B5EF4-FFF2-40B4-BE49-F238E27FC236}">
              <a16:creationId xmlns:a16="http://schemas.microsoft.com/office/drawing/2014/main" id="{FEF1B6FC-1106-744E-B8E1-320B2879A8F4}"/>
            </a:ext>
          </a:extLst>
        </xdr:cNvPr>
        <xdr:cNvSpPr txBox="1"/>
      </xdr:nvSpPr>
      <xdr:spPr>
        <a:xfrm>
          <a:off x="18199100" y="2133600"/>
          <a:ext cx="184731" cy="254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12700</xdr:colOff>
      <xdr:row>0</xdr:row>
      <xdr:rowOff>139700</xdr:rowOff>
    </xdr:from>
    <xdr:to>
      <xdr:col>10</xdr:col>
      <xdr:colOff>12700</xdr:colOff>
      <xdr:row>2</xdr:row>
      <xdr:rowOff>203200</xdr:rowOff>
    </xdr:to>
    <xdr:sp macro="" textlink="">
      <xdr:nvSpPr>
        <xdr:cNvPr id="8" name="Property Analysis">
          <a:extLst>
            <a:ext uri="{FF2B5EF4-FFF2-40B4-BE49-F238E27FC236}">
              <a16:creationId xmlns:a16="http://schemas.microsoft.com/office/drawing/2014/main" id="{00000000-0008-0000-0100-000008000000}"/>
            </a:ext>
          </a:extLst>
        </xdr:cNvPr>
        <xdr:cNvSpPr txBox="1"/>
      </xdr:nvSpPr>
      <xdr:spPr>
        <a:xfrm>
          <a:off x="279400" y="139700"/>
          <a:ext cx="11137900" cy="698500"/>
        </a:xfrm>
        <a:prstGeom prst="rect">
          <a:avLst/>
        </a:prstGeom>
        <a:solidFill>
          <a:schemeClr val="accent1"/>
        </a:solidFill>
        <a:ln w="12700" cap="flat" cmpd="sng">
          <a:solidFill>
            <a:schemeClr val="accent2"/>
          </a:solidFill>
          <a:prstDash val="solid"/>
          <a:miter lim="800000"/>
        </a:ln>
        <a:effectLst>
          <a:outerShdw blurRad="63500" dist="19050" dir="5400000" rotWithShape="0">
            <a:srgbClr val="000000">
              <a:alpha val="63000"/>
            </a:srgbClr>
          </a:outerShdw>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ctr">
          <a:noAutofit/>
        </a:bodyPr>
        <a:lstStyle/>
        <a:p>
          <a:pPr marL="0" marR="0" lvl="0" indent="0" algn="l" defTabSz="914400" latinLnBrk="0">
            <a:lnSpc>
              <a:spcPct val="100000"/>
            </a:lnSpc>
            <a:spcBef>
              <a:spcPts val="0"/>
            </a:spcBef>
            <a:spcAft>
              <a:spcPts val="0"/>
            </a:spcAft>
            <a:buClrTx/>
            <a:buSzTx/>
            <a:buFontTx/>
            <a:buNone/>
            <a:tabLst/>
            <a:defRPr sz="4000" b="0" i="0" u="none" strike="noStrike" cap="none" spc="0" baseline="0">
              <a:solidFill>
                <a:srgbClr val="FFFFFF"/>
              </a:solidFill>
              <a:uFillTx/>
              <a:latin typeface="Calibri"/>
              <a:ea typeface="Calibri"/>
              <a:cs typeface="Calibri"/>
              <a:sym typeface="Calibri"/>
            </a:defRPr>
          </a:pPr>
          <a:r>
            <a:rPr lang="en-US" sz="2000" b="1" i="0" u="none" strike="noStrike" cap="none" spc="0" baseline="0">
              <a:solidFill>
                <a:schemeClr val="accent2"/>
              </a:solidFill>
              <a:uFillTx/>
              <a:latin typeface="Hiragino Mincho Pro W3" panose="02020300000000000000" pitchFamily="18" charset="-128"/>
              <a:ea typeface="Hiragino Mincho Pro W3" panose="02020300000000000000" pitchFamily="18" charset="-128"/>
              <a:cs typeface="Calibri"/>
              <a:sym typeface="Calibri"/>
            </a:rPr>
            <a:t>Multifamily Acquisition Calculator</a:t>
          </a:r>
          <a:endParaRPr sz="2000" b="1" i="0" u="none" strike="noStrike" cap="none" spc="0" baseline="0">
            <a:solidFill>
              <a:schemeClr val="accent2"/>
            </a:solidFill>
            <a:uFillTx/>
            <a:latin typeface="Hiragino Mincho Pro W3" panose="02020300000000000000" pitchFamily="18" charset="-128"/>
            <a:ea typeface="Hiragino Mincho Pro W3" panose="02020300000000000000" pitchFamily="18" charset="-128"/>
            <a:cs typeface="Calibri"/>
            <a:sym typeface="Calibri"/>
          </a:endParaRPr>
        </a:p>
      </xdr:txBody>
    </xdr:sp>
    <xdr:clientData/>
  </xdr:twoCellAnchor>
  <xdr:oneCellAnchor>
    <xdr:from>
      <xdr:col>3</xdr:col>
      <xdr:colOff>50800</xdr:colOff>
      <xdr:row>3</xdr:row>
      <xdr:rowOff>12700</xdr:rowOff>
    </xdr:from>
    <xdr:ext cx="1302512" cy="1014984"/>
    <xdr:sp macro="" textlink="">
      <xdr:nvSpPr>
        <xdr:cNvPr id="2" name="TextBox 1">
          <a:extLst>
            <a:ext uri="{FF2B5EF4-FFF2-40B4-BE49-F238E27FC236}">
              <a16:creationId xmlns:a16="http://schemas.microsoft.com/office/drawing/2014/main" id="{978D9ED5-E4F1-8E40-BFA0-0557A2458AC7}"/>
            </a:ext>
          </a:extLst>
        </xdr:cNvPr>
        <xdr:cNvSpPr txBox="1"/>
      </xdr:nvSpPr>
      <xdr:spPr>
        <a:xfrm>
          <a:off x="3035300" y="901700"/>
          <a:ext cx="1302512" cy="1014984"/>
        </a:xfrm>
        <a:prstGeom prst="rect">
          <a:avLst/>
        </a:prstGeom>
        <a:solidFill>
          <a:schemeClr val="accent1"/>
        </a:solidFill>
        <a:ln w="127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spcAft>
              <a:spcPts val="600"/>
            </a:spcAft>
          </a:pPr>
          <a:r>
            <a:rPr lang="en-US" sz="800" b="1" u="none" baseline="0">
              <a:solidFill>
                <a:schemeClr val="accent2"/>
              </a:solidFill>
              <a:latin typeface="Hiragino Mincho Pro W3" panose="02020300000000000000" pitchFamily="18" charset="-128"/>
              <a:ea typeface="Hiragino Mincho Pro W3" panose="02020300000000000000" pitchFamily="18" charset="-128"/>
              <a:cs typeface="Open Sans" panose="020B0606030504020204" pitchFamily="34" charset="0"/>
            </a:rPr>
            <a:t>To return to the Guide, click the top right green button.</a:t>
          </a:r>
        </a:p>
        <a:p>
          <a:pPr algn="l">
            <a:spcAft>
              <a:spcPts val="600"/>
            </a:spcAft>
          </a:pPr>
          <a:r>
            <a:rPr lang="en-US" sz="800" b="0" baseline="0">
              <a:solidFill>
                <a:schemeClr val="accent2"/>
              </a:solidFill>
              <a:latin typeface="Hiragino Mincho Pro W3" panose="02020300000000000000" pitchFamily="18" charset="-128"/>
              <a:ea typeface="Hiragino Mincho Pro W3" panose="02020300000000000000" pitchFamily="18" charset="-128"/>
              <a:cs typeface="Open Sans" panose="020B0606030504020204" pitchFamily="34" charset="0"/>
            </a:rPr>
            <a:t>Shaded cells with </a:t>
          </a:r>
          <a:r>
            <a:rPr lang="en-US" sz="800" b="1" baseline="0">
              <a:solidFill>
                <a:srgbClr val="0070C0"/>
              </a:solidFill>
              <a:latin typeface="Hiragino Mincho Pro W3" panose="02020300000000000000" pitchFamily="18" charset="-128"/>
              <a:ea typeface="Hiragino Mincho Pro W3" panose="02020300000000000000" pitchFamily="18" charset="-128"/>
              <a:cs typeface="Open Sans" panose="020B0606030504020204" pitchFamily="34" charset="0"/>
            </a:rPr>
            <a:t>blue text </a:t>
          </a:r>
          <a:r>
            <a:rPr lang="en-US" sz="800" b="0" baseline="0">
              <a:solidFill>
                <a:schemeClr val="accent2"/>
              </a:solidFill>
              <a:latin typeface="Hiragino Mincho Pro W3" panose="02020300000000000000" pitchFamily="18" charset="-128"/>
              <a:ea typeface="Hiragino Mincho Pro W3" panose="02020300000000000000" pitchFamily="18" charset="-128"/>
              <a:cs typeface="Open Sans" panose="020B0606030504020204" pitchFamily="34" charset="0"/>
            </a:rPr>
            <a:t>are</a:t>
          </a:r>
          <a:r>
            <a:rPr lang="en-US" sz="800" b="1" baseline="0">
              <a:solidFill>
                <a:schemeClr val="accent2"/>
              </a:solidFill>
              <a:latin typeface="Hiragino Mincho Pro W3" panose="02020300000000000000" pitchFamily="18" charset="-128"/>
              <a:ea typeface="Hiragino Mincho Pro W3" panose="02020300000000000000" pitchFamily="18" charset="-128"/>
              <a:cs typeface="Open Sans" panose="020B0606030504020204" pitchFamily="34" charset="0"/>
            </a:rPr>
            <a:t> </a:t>
          </a:r>
          <a:r>
            <a:rPr lang="en-US" sz="800" b="0" baseline="0">
              <a:solidFill>
                <a:schemeClr val="accent2"/>
              </a:solidFill>
              <a:latin typeface="Hiragino Mincho Pro W3" panose="02020300000000000000" pitchFamily="18" charset="-128"/>
              <a:ea typeface="Hiragino Mincho Pro W3" panose="02020300000000000000" pitchFamily="18" charset="-128"/>
              <a:cs typeface="Open Sans" panose="020B0606030504020204" pitchFamily="34" charset="0"/>
            </a:rPr>
            <a:t>inputs.</a:t>
          </a:r>
        </a:p>
      </xdr:txBody>
    </xdr:sp>
    <xdr:clientData/>
  </xdr:oneCellAnchor>
  <xdr:oneCellAnchor>
    <xdr:from>
      <xdr:col>4</xdr:col>
      <xdr:colOff>38100</xdr:colOff>
      <xdr:row>3</xdr:row>
      <xdr:rowOff>12700</xdr:rowOff>
    </xdr:from>
    <xdr:ext cx="1308100" cy="1014984"/>
    <xdr:sp macro="" textlink="">
      <xdr:nvSpPr>
        <xdr:cNvPr id="4" name="TextBox 3">
          <a:hlinkClick xmlns:r="http://schemas.openxmlformats.org/officeDocument/2006/relationships" r:id="rId1"/>
          <a:extLst>
            <a:ext uri="{FF2B5EF4-FFF2-40B4-BE49-F238E27FC236}">
              <a16:creationId xmlns:a16="http://schemas.microsoft.com/office/drawing/2014/main" id="{F4B81345-EC91-A24F-B737-7D37F69D0B7E}"/>
            </a:ext>
          </a:extLst>
        </xdr:cNvPr>
        <xdr:cNvSpPr txBox="1"/>
      </xdr:nvSpPr>
      <xdr:spPr>
        <a:xfrm>
          <a:off x="4381500" y="901700"/>
          <a:ext cx="1308100" cy="1014984"/>
        </a:xfrm>
        <a:prstGeom prst="rect">
          <a:avLst/>
        </a:prstGeom>
        <a:solidFill>
          <a:schemeClr val="accent4">
            <a:lumMod val="60000"/>
            <a:lumOff val="40000"/>
          </a:schemeClr>
        </a:solidFill>
        <a:ln w="127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200" b="0" u="sng" baseline="0">
              <a:solidFill>
                <a:schemeClr val="bg1"/>
              </a:solidFill>
              <a:latin typeface="Hiragino Mincho Pro W3" panose="02020300000000000000" pitchFamily="18" charset="-128"/>
              <a:ea typeface="Hiragino Mincho Pro W3" panose="02020300000000000000" pitchFamily="18" charset="-128"/>
              <a:cs typeface="Baloo Bhaijaan" panose="03080902040302020200" pitchFamily="66" charset="-78"/>
            </a:rPr>
            <a:t>Email Support Desk</a:t>
          </a:r>
        </a:p>
      </xdr:txBody>
    </xdr:sp>
    <xdr:clientData/>
  </xdr:oneCellAnchor>
  <xdr:twoCellAnchor>
    <xdr:from>
      <xdr:col>1</xdr:col>
      <xdr:colOff>0</xdr:colOff>
      <xdr:row>48</xdr:row>
      <xdr:rowOff>127000</xdr:rowOff>
    </xdr:from>
    <xdr:to>
      <xdr:col>10</xdr:col>
      <xdr:colOff>0</xdr:colOff>
      <xdr:row>50</xdr:row>
      <xdr:rowOff>152400</xdr:rowOff>
    </xdr:to>
    <xdr:sp macro="" textlink="">
      <xdr:nvSpPr>
        <xdr:cNvPr id="27" name="Property Analysis">
          <a:extLst>
            <a:ext uri="{FF2B5EF4-FFF2-40B4-BE49-F238E27FC236}">
              <a16:creationId xmlns:a16="http://schemas.microsoft.com/office/drawing/2014/main" id="{B1971F47-6B01-B743-B158-D959A0AF262E}"/>
            </a:ext>
          </a:extLst>
        </xdr:cNvPr>
        <xdr:cNvSpPr txBox="1"/>
      </xdr:nvSpPr>
      <xdr:spPr>
        <a:xfrm>
          <a:off x="266700" y="13081000"/>
          <a:ext cx="9931400" cy="533400"/>
        </a:xfrm>
        <a:prstGeom prst="rect">
          <a:avLst/>
        </a:prstGeom>
        <a:solidFill>
          <a:schemeClr val="accent1"/>
        </a:solidFill>
        <a:ln w="12700" cap="flat" cmpd="sng">
          <a:solidFill>
            <a:schemeClr val="accent2"/>
          </a:solidFill>
          <a:prstDash val="solid"/>
          <a:miter lim="800000"/>
        </a:ln>
        <a:effectLst>
          <a:outerShdw blurRad="63500" dist="19050" dir="5400000" rotWithShape="0">
            <a:srgbClr val="000000">
              <a:alpha val="63000"/>
            </a:srgbClr>
          </a:outerShdw>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ctr">
          <a:noAutofit/>
        </a:bodyPr>
        <a:lstStyle/>
        <a:p>
          <a:pPr marL="0" marR="0" lvl="0" indent="0" algn="l" defTabSz="914400" latinLnBrk="0">
            <a:lnSpc>
              <a:spcPct val="100000"/>
            </a:lnSpc>
            <a:spcBef>
              <a:spcPts val="0"/>
            </a:spcBef>
            <a:spcAft>
              <a:spcPts val="0"/>
            </a:spcAft>
            <a:buClrTx/>
            <a:buSzTx/>
            <a:buFontTx/>
            <a:buNone/>
            <a:tabLst/>
            <a:defRPr sz="4000" b="0" i="0" u="none" strike="noStrike" cap="none" spc="0" baseline="0">
              <a:solidFill>
                <a:srgbClr val="FFFFFF"/>
              </a:solidFill>
              <a:uFillTx/>
              <a:latin typeface="Calibri"/>
              <a:ea typeface="Calibri"/>
              <a:cs typeface="Calibri"/>
              <a:sym typeface="Calibri"/>
            </a:defRPr>
          </a:pPr>
          <a:endParaRPr sz="2000" b="1" i="0" u="none" strike="noStrike" cap="none" spc="0" baseline="0">
            <a:solidFill>
              <a:srgbClr val="302F2F"/>
            </a:solidFill>
            <a:uFillTx/>
            <a:latin typeface="Eurostile" panose="020B0504020202050204" pitchFamily="34" charset="77"/>
            <a:ea typeface="Calibri"/>
            <a:cs typeface="Calibri"/>
            <a:sym typeface="Calibri"/>
          </a:endParaRPr>
        </a:p>
      </xdr:txBody>
    </xdr:sp>
    <xdr:clientData/>
  </xdr:twoCellAnchor>
  <xdr:oneCellAnchor>
    <xdr:from>
      <xdr:col>1</xdr:col>
      <xdr:colOff>546100</xdr:colOff>
      <xdr:row>48</xdr:row>
      <xdr:rowOff>152400</xdr:rowOff>
    </xdr:from>
    <xdr:ext cx="10045700" cy="444500"/>
    <xdr:sp macro="" textlink="">
      <xdr:nvSpPr>
        <xdr:cNvPr id="28" name="TextBox 27">
          <a:hlinkClick xmlns:r="http://schemas.openxmlformats.org/officeDocument/2006/relationships" r:id="rId2"/>
          <a:extLst>
            <a:ext uri="{FF2B5EF4-FFF2-40B4-BE49-F238E27FC236}">
              <a16:creationId xmlns:a16="http://schemas.microsoft.com/office/drawing/2014/main" id="{BA8BBD2C-C0C3-E047-8E39-CD330E5A5DB0}"/>
            </a:ext>
          </a:extLst>
        </xdr:cNvPr>
        <xdr:cNvSpPr txBox="1"/>
      </xdr:nvSpPr>
      <xdr:spPr>
        <a:xfrm>
          <a:off x="812800" y="12471400"/>
          <a:ext cx="10045700" cy="44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600" b="0" u="sng">
              <a:solidFill>
                <a:srgbClr val="4B6E6D"/>
              </a:solidFill>
              <a:latin typeface="Hiragino Mincho Pro W3" panose="02020300000000000000" pitchFamily="18" charset="-128"/>
              <a:ea typeface="Hiragino Mincho Pro W3" panose="02020300000000000000" pitchFamily="18" charset="-128"/>
            </a:rPr>
            <a:t>AuthenticCRESolutions.com</a:t>
          </a:r>
        </a:p>
      </xdr:txBody>
    </xdr:sp>
    <xdr:clientData/>
  </xdr:oneCellAnchor>
  <xdr:twoCellAnchor editAs="absolute">
    <xdr:from>
      <xdr:col>10</xdr:col>
      <xdr:colOff>114300</xdr:colOff>
      <xdr:row>0</xdr:row>
      <xdr:rowOff>165100</xdr:rowOff>
    </xdr:from>
    <xdr:to>
      <xdr:col>10</xdr:col>
      <xdr:colOff>1346200</xdr:colOff>
      <xdr:row>2</xdr:row>
      <xdr:rowOff>188468</xdr:rowOff>
    </xdr:to>
    <xdr:grpSp>
      <xdr:nvGrpSpPr>
        <xdr:cNvPr id="38" name="Group 37">
          <a:extLst>
            <a:ext uri="{FF2B5EF4-FFF2-40B4-BE49-F238E27FC236}">
              <a16:creationId xmlns:a16="http://schemas.microsoft.com/office/drawing/2014/main" id="{BDA85EB8-1C38-2549-B3E0-FCB8A6FD9FFE}"/>
            </a:ext>
          </a:extLst>
        </xdr:cNvPr>
        <xdr:cNvGrpSpPr/>
      </xdr:nvGrpSpPr>
      <xdr:grpSpPr>
        <a:xfrm>
          <a:off x="11585268" y="165100"/>
          <a:ext cx="1231900" cy="665196"/>
          <a:chOff x="127000" y="391583"/>
          <a:chExt cx="900000" cy="640409"/>
        </a:xfrm>
      </xdr:grpSpPr>
      <xdr:sp macro="" textlink="">
        <xdr:nvSpPr>
          <xdr:cNvPr id="39" name="Top">
            <a:hlinkClick xmlns:r="http://schemas.openxmlformats.org/officeDocument/2006/relationships" r:id="rId3"/>
            <a:extLst>
              <a:ext uri="{FF2B5EF4-FFF2-40B4-BE49-F238E27FC236}">
                <a16:creationId xmlns:a16="http://schemas.microsoft.com/office/drawing/2014/main" id="{914F818E-1400-2B40-DFC8-19B0EB14E85F}"/>
              </a:ext>
            </a:extLst>
          </xdr:cNvPr>
          <xdr:cNvSpPr/>
        </xdr:nvSpPr>
        <xdr:spPr>
          <a:xfrm>
            <a:off x="127000" y="391583"/>
            <a:ext cx="900000" cy="254949"/>
          </a:xfrm>
          <a:prstGeom prst="rect">
            <a:avLst/>
          </a:prstGeom>
          <a:solidFill>
            <a:schemeClr val="accent5"/>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100" b="1" kern="0" cap="none">
                <a:solidFill>
                  <a:schemeClr val="bg1"/>
                </a:solidFill>
                <a:latin typeface="Hiragino Mincho Pro W3" panose="02020300000000000000" pitchFamily="18" charset="-128"/>
                <a:ea typeface="Hiragino Mincho Pro W3" panose="02020300000000000000" pitchFamily="18" charset="-128"/>
                <a:cs typeface="Arial" panose="020B0604020202020204" pitchFamily="34" charset="0"/>
              </a:rPr>
              <a:t>TOP</a:t>
            </a:r>
          </a:p>
        </xdr:txBody>
      </xdr:sp>
      <xdr:sp macro="" textlink="">
        <xdr:nvSpPr>
          <xdr:cNvPr id="40" name="Home">
            <a:hlinkClick xmlns:r="http://schemas.openxmlformats.org/officeDocument/2006/relationships" r:id="rId4"/>
            <a:extLst>
              <a:ext uri="{FF2B5EF4-FFF2-40B4-BE49-F238E27FC236}">
                <a16:creationId xmlns:a16="http://schemas.microsoft.com/office/drawing/2014/main" id="{CEBCE0E6-322A-AC4F-D0B1-C95D4303DA52}"/>
              </a:ext>
            </a:extLst>
          </xdr:cNvPr>
          <xdr:cNvSpPr/>
        </xdr:nvSpPr>
        <xdr:spPr>
          <a:xfrm>
            <a:off x="127000" y="777043"/>
            <a:ext cx="900000" cy="254949"/>
          </a:xfrm>
          <a:prstGeom prst="rect">
            <a:avLst/>
          </a:prstGeom>
          <a:solidFill>
            <a:schemeClr val="accent4"/>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100" b="1" kern="0" cap="none">
                <a:solidFill>
                  <a:schemeClr val="bg1"/>
                </a:solidFill>
                <a:latin typeface="Hiragino Mincho Pro W3" panose="02020300000000000000" pitchFamily="18" charset="-128"/>
                <a:ea typeface="Hiragino Mincho Pro W3" panose="02020300000000000000" pitchFamily="18" charset="-128"/>
                <a:cs typeface="Arial" panose="020B0604020202020204" pitchFamily="34" charset="0"/>
              </a:rPr>
              <a:t>DIRECTIONS</a:t>
            </a:r>
          </a:p>
        </xdr:txBody>
      </xdr:sp>
    </xdr:grpSp>
    <xdr:clientData fLocksWithSheet="0"/>
  </xdr:twoCellAnchor>
  <xdr:twoCellAnchor>
    <xdr:from>
      <xdr:col>6</xdr:col>
      <xdr:colOff>0</xdr:colOff>
      <xdr:row>3</xdr:row>
      <xdr:rowOff>12700</xdr:rowOff>
    </xdr:from>
    <xdr:to>
      <xdr:col>10</xdr:col>
      <xdr:colOff>12700</xdr:colOff>
      <xdr:row>7</xdr:row>
      <xdr:rowOff>0</xdr:rowOff>
    </xdr:to>
    <xdr:sp macro="" textlink="">
      <xdr:nvSpPr>
        <xdr:cNvPr id="41" name="Property Analysis">
          <a:extLst>
            <a:ext uri="{FF2B5EF4-FFF2-40B4-BE49-F238E27FC236}">
              <a16:creationId xmlns:a16="http://schemas.microsoft.com/office/drawing/2014/main" id="{7E1E50B9-D78F-CC4B-A400-AB9C4E3AF294}"/>
            </a:ext>
          </a:extLst>
        </xdr:cNvPr>
        <xdr:cNvSpPr txBox="1"/>
      </xdr:nvSpPr>
      <xdr:spPr>
        <a:xfrm>
          <a:off x="5969000" y="901700"/>
          <a:ext cx="5448300" cy="1003300"/>
        </a:xfrm>
        <a:prstGeom prst="rect">
          <a:avLst/>
        </a:prstGeom>
        <a:solidFill>
          <a:schemeClr val="accent1"/>
        </a:solidFill>
        <a:ln w="12700" cap="flat" cmpd="sng">
          <a:solidFill>
            <a:schemeClr val="accent2"/>
          </a:solidFill>
          <a:prstDash val="solid"/>
          <a:miter lim="800000"/>
        </a:ln>
        <a:effectLst>
          <a:outerShdw blurRad="63500" dist="19050" dir="5400000" rotWithShape="0">
            <a:srgbClr val="000000">
              <a:alpha val="63000"/>
            </a:srgbClr>
          </a:outerShdw>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ctr">
          <a:noAutofit/>
        </a:bodyPr>
        <a:lstStyle/>
        <a:p>
          <a:pPr marL="0" marR="0" lvl="0" indent="0" algn="l" defTabSz="914400" latinLnBrk="0">
            <a:lnSpc>
              <a:spcPct val="100000"/>
            </a:lnSpc>
            <a:spcBef>
              <a:spcPts val="0"/>
            </a:spcBef>
            <a:spcAft>
              <a:spcPts val="0"/>
            </a:spcAft>
            <a:buClrTx/>
            <a:buSzTx/>
            <a:buFontTx/>
            <a:buNone/>
            <a:tabLst/>
            <a:defRPr sz="4000" b="0" i="0" u="none" strike="noStrike" cap="none" spc="0" baseline="0">
              <a:solidFill>
                <a:srgbClr val="FFFFFF"/>
              </a:solidFill>
              <a:uFillTx/>
              <a:latin typeface="Calibri"/>
              <a:ea typeface="Calibri"/>
              <a:cs typeface="Calibri"/>
              <a:sym typeface="Calibri"/>
            </a:defRPr>
          </a:pPr>
          <a:endParaRPr sz="2000" b="1" i="0" u="none" strike="noStrike" cap="none" spc="0" baseline="0">
            <a:solidFill>
              <a:srgbClr val="302F2F"/>
            </a:solidFill>
            <a:uFillTx/>
            <a:latin typeface="Eurostile" panose="020B0504020202050204" pitchFamily="34" charset="77"/>
            <a:ea typeface="Calibri"/>
            <a:cs typeface="Calibri"/>
            <a:sym typeface="Calibri"/>
          </a:endParaRPr>
        </a:p>
      </xdr:txBody>
    </xdr:sp>
    <xdr:clientData/>
  </xdr:twoCellAnchor>
  <xdr:twoCellAnchor editAs="oneCell">
    <xdr:from>
      <xdr:col>6</xdr:col>
      <xdr:colOff>1143000</xdr:colOff>
      <xdr:row>0</xdr:row>
      <xdr:rowOff>127000</xdr:rowOff>
    </xdr:from>
    <xdr:to>
      <xdr:col>9</xdr:col>
      <xdr:colOff>215900</xdr:colOff>
      <xdr:row>6</xdr:row>
      <xdr:rowOff>50800</xdr:rowOff>
    </xdr:to>
    <xdr:pic>
      <xdr:nvPicPr>
        <xdr:cNvPr id="3" name="Picture 2">
          <a:extLst>
            <a:ext uri="{FF2B5EF4-FFF2-40B4-BE49-F238E27FC236}">
              <a16:creationId xmlns:a16="http://schemas.microsoft.com/office/drawing/2014/main" id="{0F47297A-005A-EF44-8F09-B4366C2E176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112000" y="127000"/>
          <a:ext cx="3149600" cy="157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88900</xdr:colOff>
      <xdr:row>0</xdr:row>
      <xdr:rowOff>114300</xdr:rowOff>
    </xdr:from>
    <xdr:to>
      <xdr:col>0</xdr:col>
      <xdr:colOff>1320800</xdr:colOff>
      <xdr:row>4</xdr:row>
      <xdr:rowOff>61468</xdr:rowOff>
    </xdr:to>
    <xdr:grpSp>
      <xdr:nvGrpSpPr>
        <xdr:cNvPr id="5" name="Group 4">
          <a:extLst>
            <a:ext uri="{FF2B5EF4-FFF2-40B4-BE49-F238E27FC236}">
              <a16:creationId xmlns:a16="http://schemas.microsoft.com/office/drawing/2014/main" id="{D5866634-791C-DE4A-B550-D6519031B4D7}"/>
            </a:ext>
          </a:extLst>
        </xdr:cNvPr>
        <xdr:cNvGrpSpPr/>
      </xdr:nvGrpSpPr>
      <xdr:grpSpPr>
        <a:xfrm>
          <a:off x="88900" y="114300"/>
          <a:ext cx="1231900" cy="658368"/>
          <a:chOff x="127000" y="391583"/>
          <a:chExt cx="900000" cy="640409"/>
        </a:xfrm>
      </xdr:grpSpPr>
      <xdr:sp macro="" textlink="">
        <xdr:nvSpPr>
          <xdr:cNvPr id="6" name="Top">
            <a:hlinkClick xmlns:r="http://schemas.openxmlformats.org/officeDocument/2006/relationships" r:id="rId1"/>
            <a:extLst>
              <a:ext uri="{FF2B5EF4-FFF2-40B4-BE49-F238E27FC236}">
                <a16:creationId xmlns:a16="http://schemas.microsoft.com/office/drawing/2014/main" id="{BDE90E2E-5F6D-E690-C695-F7B6C14BB297}"/>
              </a:ext>
            </a:extLst>
          </xdr:cNvPr>
          <xdr:cNvSpPr/>
        </xdr:nvSpPr>
        <xdr:spPr>
          <a:xfrm>
            <a:off x="127000" y="391583"/>
            <a:ext cx="900000" cy="254949"/>
          </a:xfrm>
          <a:prstGeom prst="rect">
            <a:avLst/>
          </a:prstGeom>
          <a:solidFill>
            <a:schemeClr val="accent5"/>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100" b="1" kern="0" cap="none">
                <a:solidFill>
                  <a:schemeClr val="bg1"/>
                </a:solidFill>
                <a:latin typeface="Hiragino Mincho Pro W3" panose="02020300000000000000" pitchFamily="18" charset="-128"/>
                <a:ea typeface="Hiragino Mincho Pro W3" panose="02020300000000000000" pitchFamily="18" charset="-128"/>
                <a:cs typeface="Arial" panose="020B0604020202020204" pitchFamily="34" charset="0"/>
              </a:rPr>
              <a:t>TOP</a:t>
            </a:r>
          </a:p>
        </xdr:txBody>
      </xdr:sp>
      <xdr:sp macro="" textlink="">
        <xdr:nvSpPr>
          <xdr:cNvPr id="7" name="Home">
            <a:hlinkClick xmlns:r="http://schemas.openxmlformats.org/officeDocument/2006/relationships" r:id="rId2"/>
            <a:extLst>
              <a:ext uri="{FF2B5EF4-FFF2-40B4-BE49-F238E27FC236}">
                <a16:creationId xmlns:a16="http://schemas.microsoft.com/office/drawing/2014/main" id="{C741DCB1-02DD-9200-C11C-D46FD67BFF3D}"/>
              </a:ext>
            </a:extLst>
          </xdr:cNvPr>
          <xdr:cNvSpPr/>
        </xdr:nvSpPr>
        <xdr:spPr>
          <a:xfrm>
            <a:off x="127000" y="777043"/>
            <a:ext cx="900000" cy="254949"/>
          </a:xfrm>
          <a:prstGeom prst="rect">
            <a:avLst/>
          </a:prstGeom>
          <a:solidFill>
            <a:schemeClr val="accent4"/>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100" b="1" kern="0" cap="none">
                <a:solidFill>
                  <a:schemeClr val="bg1"/>
                </a:solidFill>
                <a:latin typeface="Hiragino Mincho Pro W3" panose="02020300000000000000" pitchFamily="18" charset="-128"/>
                <a:ea typeface="Hiragino Mincho Pro W3" panose="02020300000000000000" pitchFamily="18" charset="-128"/>
                <a:cs typeface="Arial" panose="020B0604020202020204" pitchFamily="34" charset="0"/>
              </a:rPr>
              <a:t>CALCULATOR</a:t>
            </a:r>
          </a:p>
        </xdr:txBody>
      </xdr:sp>
    </xdr:grpSp>
    <xdr:clientData fLocksWithSheet="0"/>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test 12">
      <a:dk1>
        <a:srgbClr val="2F2F2F"/>
      </a:dk1>
      <a:lt1>
        <a:srgbClr val="FFFFFF"/>
      </a:lt1>
      <a:dk2>
        <a:srgbClr val="2F2F2F"/>
      </a:dk2>
      <a:lt2>
        <a:srgbClr val="FFFFFF"/>
      </a:lt2>
      <a:accent1>
        <a:srgbClr val="F0EDED"/>
      </a:accent1>
      <a:accent2>
        <a:srgbClr val="2F2F2F"/>
      </a:accent2>
      <a:accent3>
        <a:srgbClr val="848484"/>
      </a:accent3>
      <a:accent4>
        <a:srgbClr val="838F82"/>
      </a:accent4>
      <a:accent5>
        <a:srgbClr val="232C33"/>
      </a:accent5>
      <a:accent6>
        <a:srgbClr val="DFE5D9"/>
      </a:accent6>
      <a:hlink>
        <a:srgbClr val="59ADC4"/>
      </a:hlink>
      <a:folHlink>
        <a:srgbClr val="9CC6AE"/>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 dockstate="right" visibility="0" width="35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5AA072FD-3DB8-A741-A5A6-64462F2DD7B6}">
  <we:reference id="wa200004063" version="1.1.0.0" store="en-US" storeType="OMEX"/>
  <we:alternateReferences>
    <we:reference id="WA200004063" version="1.1.0.0" store="WA200004063"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0839D729-061F-F34D-9A01-D9826482ECA8}">
  <we:reference id="wa104381701" version="1.0.0.4" store="en-US" storeType="OMEX"/>
  <we:alternateReferences>
    <we:reference id="WA104381701" version="1.0.0.4" store="WA104381701"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authenticcresolution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wsj.com/market-data/bond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wsj.com/market-data/quotes/bond/BX/TMUBMUSD01Y?mod=md_bond_overview_quote" TargetMode="External"/><Relationship Id="rId3" Type="http://schemas.openxmlformats.org/officeDocument/2006/relationships/hyperlink" Target="https://www.wsj.com/market-data/quotes/bond/BX/TMUBMUSD10Y?mod=md_bond_overview_quote" TargetMode="External"/><Relationship Id="rId7" Type="http://schemas.openxmlformats.org/officeDocument/2006/relationships/hyperlink" Target="https://www.wsj.com/market-data/quotes/bond/BX/TMUBMUSD02Y?mod=md_bond_overview_quote" TargetMode="External"/><Relationship Id="rId2" Type="http://schemas.openxmlformats.org/officeDocument/2006/relationships/hyperlink" Target="https://www.wsj.com/market-data/quotes/bond/BX/TMUBMUSD30Y?mod=md_bond_overview_quote" TargetMode="External"/><Relationship Id="rId1" Type="http://schemas.openxmlformats.org/officeDocument/2006/relationships/hyperlink" Target="https://www.wsj.com/market-data/quotes/company-list?mod=md_bond_hdr_view_all_companies" TargetMode="External"/><Relationship Id="rId6" Type="http://schemas.openxmlformats.org/officeDocument/2006/relationships/hyperlink" Target="https://www.wsj.com/market-data/quotes/bond/BX/TMUBMUSD03Y?mod=md_bond_overview_quote" TargetMode="External"/><Relationship Id="rId5" Type="http://schemas.openxmlformats.org/officeDocument/2006/relationships/hyperlink" Target="https://www.wsj.com/market-data/quotes/bond/BX/TMUBMUSD05Y?mod=md_bond_overview_quote" TargetMode="External"/><Relationship Id="rId4" Type="http://schemas.openxmlformats.org/officeDocument/2006/relationships/hyperlink" Target="https://www.wsj.com/market-data/quotes/bond/BX/TMUBMUSD07Y?mod=md_bond_overview_quote" TargetMode="Externa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63924-2205-6445-AB91-053112B8215B}">
  <sheetPr codeName="Sheet2">
    <tabColor theme="8"/>
    <pageSetUpPr fitToPage="1"/>
  </sheetPr>
  <dimension ref="A1:L25"/>
  <sheetViews>
    <sheetView showRowColHeaders="0" tabSelected="1" zoomScaleNormal="100" workbookViewId="0">
      <selection activeCell="E12" sqref="E12:E13"/>
    </sheetView>
  </sheetViews>
  <sheetFormatPr baseColWidth="10" defaultRowHeight="15"/>
  <cols>
    <col min="1" max="1" width="1.83203125" style="94" customWidth="1"/>
    <col min="2" max="3" width="24.6640625" style="94" customWidth="1"/>
    <col min="4" max="4" width="1.83203125" style="94" customWidth="1"/>
    <col min="5" max="5" width="20.83203125" style="94" customWidth="1"/>
    <col min="6" max="6" width="5.83203125" style="94" customWidth="1"/>
    <col min="7" max="7" width="20.83203125" style="94" customWidth="1"/>
    <col min="8" max="8" width="5.83203125" style="94" customWidth="1"/>
    <col min="9" max="9" width="20.83203125" style="94" customWidth="1"/>
    <col min="10" max="10" width="5.83203125" style="94" customWidth="1"/>
    <col min="11" max="13" width="1.83203125" style="94" customWidth="1"/>
    <col min="14" max="16384" width="10.83203125" style="94"/>
  </cols>
  <sheetData>
    <row r="1" spans="1:12" ht="10" customHeight="1">
      <c r="A1" s="90"/>
      <c r="B1" s="91"/>
      <c r="C1" s="92"/>
      <c r="D1" s="92"/>
      <c r="E1" s="92"/>
      <c r="F1" s="92"/>
      <c r="G1" s="92"/>
      <c r="H1" s="92"/>
      <c r="I1" s="92"/>
      <c r="J1" s="92"/>
      <c r="K1" s="92"/>
      <c r="L1" s="93"/>
    </row>
    <row r="2" spans="1:12" ht="12" customHeight="1">
      <c r="A2" s="95"/>
      <c r="B2" s="96"/>
      <c r="C2" s="97"/>
      <c r="D2" s="97"/>
      <c r="E2" s="97"/>
      <c r="F2" s="97"/>
      <c r="G2" s="97"/>
      <c r="H2" s="97"/>
      <c r="I2" s="97"/>
      <c r="J2" s="97"/>
      <c r="K2" s="98"/>
      <c r="L2" s="99"/>
    </row>
    <row r="3" spans="1:12" ht="35" customHeight="1">
      <c r="A3" s="95"/>
      <c r="B3" s="100" t="e" vm="1">
        <v>#VALUE!</v>
      </c>
      <c r="C3" s="101"/>
      <c r="D3" s="102"/>
      <c r="E3" s="103" t="s">
        <v>156</v>
      </c>
      <c r="F3" s="104"/>
      <c r="G3" s="104"/>
      <c r="H3" s="104"/>
      <c r="I3" s="104"/>
      <c r="J3" s="105"/>
      <c r="K3" s="102"/>
      <c r="L3" s="99"/>
    </row>
    <row r="4" spans="1:12" ht="35" customHeight="1">
      <c r="A4" s="95"/>
      <c r="B4" s="106"/>
      <c r="C4" s="107"/>
      <c r="D4" s="108"/>
      <c r="E4" s="109"/>
      <c r="F4" s="110"/>
      <c r="G4" s="110"/>
      <c r="H4" s="110"/>
      <c r="I4" s="110"/>
      <c r="J4" s="111"/>
      <c r="K4" s="102"/>
      <c r="L4" s="99"/>
    </row>
    <row r="5" spans="1:12" ht="10" customHeight="1">
      <c r="A5" s="95"/>
      <c r="B5" s="106"/>
      <c r="C5" s="107"/>
      <c r="D5" s="112"/>
      <c r="E5" s="112"/>
      <c r="F5" s="112"/>
      <c r="G5" s="112"/>
      <c r="H5" s="112"/>
      <c r="I5" s="112"/>
      <c r="J5" s="113"/>
      <c r="K5" s="102"/>
      <c r="L5" s="99"/>
    </row>
    <row r="6" spans="1:12" s="120" customFormat="1" ht="30" customHeight="1">
      <c r="A6" s="114"/>
      <c r="B6" s="106"/>
      <c r="C6" s="107"/>
      <c r="D6" s="115"/>
      <c r="E6" s="116" t="s">
        <v>150</v>
      </c>
      <c r="F6" s="117"/>
      <c r="G6" s="117"/>
      <c r="H6" s="117"/>
      <c r="I6" s="117"/>
      <c r="J6" s="118"/>
      <c r="K6" s="102"/>
      <c r="L6" s="119"/>
    </row>
    <row r="7" spans="1:12" ht="10" customHeight="1">
      <c r="A7" s="95"/>
      <c r="B7" s="106"/>
      <c r="C7" s="107"/>
      <c r="D7" s="121"/>
      <c r="E7" s="122"/>
      <c r="F7" s="123"/>
      <c r="G7" s="123"/>
      <c r="H7" s="123"/>
      <c r="I7" s="123"/>
      <c r="J7" s="123"/>
      <c r="K7" s="102"/>
      <c r="L7" s="99"/>
    </row>
    <row r="8" spans="1:12" ht="20" customHeight="1">
      <c r="A8" s="95"/>
      <c r="B8" s="106"/>
      <c r="C8" s="107"/>
      <c r="D8" s="121"/>
      <c r="E8" s="124" t="s">
        <v>151</v>
      </c>
      <c r="F8" s="125"/>
      <c r="G8" s="126" t="s">
        <v>157</v>
      </c>
      <c r="H8" s="127"/>
      <c r="I8" s="128" t="s">
        <v>152</v>
      </c>
      <c r="J8" s="127"/>
      <c r="K8" s="102"/>
      <c r="L8" s="99"/>
    </row>
    <row r="9" spans="1:12" ht="20" customHeight="1">
      <c r="A9" s="95"/>
      <c r="B9" s="106"/>
      <c r="C9" s="107"/>
      <c r="D9" s="121"/>
      <c r="E9" s="129"/>
      <c r="F9" s="125"/>
      <c r="G9" s="130"/>
      <c r="H9" s="127"/>
      <c r="I9" s="131"/>
      <c r="J9" s="127"/>
      <c r="K9" s="102"/>
      <c r="L9" s="99"/>
    </row>
    <row r="10" spans="1:12" ht="20" customHeight="1">
      <c r="A10" s="95"/>
      <c r="B10" s="106"/>
      <c r="C10" s="107"/>
      <c r="D10" s="121"/>
      <c r="E10" s="125"/>
      <c r="F10" s="125"/>
      <c r="G10" s="125"/>
      <c r="H10" s="125"/>
      <c r="I10" s="125"/>
      <c r="J10" s="125"/>
      <c r="K10" s="102"/>
      <c r="L10" s="99"/>
    </row>
    <row r="11" spans="1:12" ht="20" customHeight="1">
      <c r="A11" s="95"/>
      <c r="B11" s="106"/>
      <c r="C11" s="107"/>
      <c r="D11" s="121"/>
      <c r="E11" s="125"/>
      <c r="F11" s="125"/>
      <c r="G11" s="125"/>
      <c r="H11" s="125"/>
      <c r="I11" s="125"/>
      <c r="J11" s="125"/>
      <c r="K11" s="102"/>
      <c r="L11" s="99"/>
    </row>
    <row r="12" spans="1:12" ht="20" customHeight="1">
      <c r="A12" s="95"/>
      <c r="B12" s="106"/>
      <c r="C12" s="107"/>
      <c r="D12" s="132"/>
      <c r="E12" s="145" t="s">
        <v>153</v>
      </c>
      <c r="F12" s="125"/>
      <c r="G12" s="147" t="s">
        <v>155</v>
      </c>
      <c r="H12" s="125"/>
      <c r="I12" s="149" t="s">
        <v>154</v>
      </c>
      <c r="J12" s="125"/>
      <c r="K12" s="102"/>
      <c r="L12" s="99"/>
    </row>
    <row r="13" spans="1:12" ht="20" customHeight="1">
      <c r="A13" s="95"/>
      <c r="B13" s="106"/>
      <c r="C13" s="107"/>
      <c r="D13" s="132"/>
      <c r="E13" s="146"/>
      <c r="F13" s="125"/>
      <c r="G13" s="148"/>
      <c r="H13" s="125"/>
      <c r="I13" s="150"/>
      <c r="J13" s="125"/>
      <c r="K13" s="102"/>
      <c r="L13" s="99"/>
    </row>
    <row r="14" spans="1:12" ht="20" customHeight="1">
      <c r="A14" s="95"/>
      <c r="B14" s="106"/>
      <c r="C14" s="107"/>
      <c r="D14" s="121"/>
      <c r="E14" s="125"/>
      <c r="F14" s="125"/>
      <c r="G14" s="125"/>
      <c r="H14" s="125"/>
      <c r="I14" s="125"/>
      <c r="J14" s="125"/>
      <c r="K14" s="102"/>
      <c r="L14" s="99"/>
    </row>
    <row r="15" spans="1:12" ht="20" customHeight="1">
      <c r="A15" s="95"/>
      <c r="B15" s="106"/>
      <c r="C15" s="107"/>
      <c r="D15" s="121"/>
      <c r="E15" s="133"/>
      <c r="F15" s="134"/>
      <c r="G15" s="134"/>
      <c r="H15" s="134"/>
      <c r="I15" s="134"/>
      <c r="J15" s="135"/>
      <c r="K15" s="102"/>
      <c r="L15" s="99"/>
    </row>
    <row r="16" spans="1:12" ht="20" customHeight="1">
      <c r="A16" s="95"/>
      <c r="B16" s="106"/>
      <c r="C16" s="107"/>
      <c r="D16" s="121"/>
      <c r="E16" s="133"/>
      <c r="F16" s="134"/>
      <c r="G16" s="134"/>
      <c r="H16" s="134"/>
      <c r="I16" s="134"/>
      <c r="J16" s="135"/>
      <c r="K16" s="102"/>
      <c r="L16" s="99"/>
    </row>
    <row r="17" spans="1:12" ht="20" customHeight="1">
      <c r="A17" s="95"/>
      <c r="B17" s="106"/>
      <c r="C17" s="107"/>
      <c r="D17" s="121"/>
      <c r="E17" s="133"/>
      <c r="F17" s="134"/>
      <c r="G17" s="134"/>
      <c r="H17" s="134"/>
      <c r="I17" s="134"/>
      <c r="J17" s="135"/>
      <c r="K17" s="102"/>
      <c r="L17" s="99"/>
    </row>
    <row r="18" spans="1:12" ht="20" customHeight="1">
      <c r="A18" s="95"/>
      <c r="B18" s="106"/>
      <c r="C18" s="107"/>
      <c r="D18" s="121"/>
      <c r="E18" s="133"/>
      <c r="F18" s="134"/>
      <c r="G18" s="134"/>
      <c r="H18" s="134"/>
      <c r="I18" s="134"/>
      <c r="J18" s="135"/>
      <c r="K18" s="102"/>
      <c r="L18" s="99"/>
    </row>
    <row r="19" spans="1:12" ht="20" customHeight="1">
      <c r="A19" s="95"/>
      <c r="B19" s="106"/>
      <c r="C19" s="107"/>
      <c r="D19" s="121"/>
      <c r="E19" s="133"/>
      <c r="F19" s="134"/>
      <c r="G19" s="134"/>
      <c r="H19" s="134"/>
      <c r="I19" s="134"/>
      <c r="J19" s="135"/>
      <c r="K19" s="102"/>
      <c r="L19" s="99"/>
    </row>
    <row r="20" spans="1:12" ht="20" customHeight="1">
      <c r="A20" s="95"/>
      <c r="B20" s="106"/>
      <c r="C20" s="107"/>
      <c r="D20" s="121"/>
      <c r="E20" s="133"/>
      <c r="F20" s="134"/>
      <c r="G20" s="134"/>
      <c r="H20" s="134"/>
      <c r="I20" s="134"/>
      <c r="J20" s="135"/>
      <c r="K20" s="102"/>
      <c r="L20" s="99"/>
    </row>
    <row r="21" spans="1:12" ht="20" customHeight="1">
      <c r="A21" s="95"/>
      <c r="B21" s="106"/>
      <c r="C21" s="107"/>
      <c r="D21" s="121"/>
      <c r="E21" s="133"/>
      <c r="F21" s="134"/>
      <c r="G21" s="134"/>
      <c r="H21" s="134"/>
      <c r="I21" s="134"/>
      <c r="J21" s="135"/>
      <c r="K21" s="102"/>
      <c r="L21" s="99"/>
    </row>
    <row r="22" spans="1:12" ht="20" customHeight="1">
      <c r="A22" s="95"/>
      <c r="B22" s="106"/>
      <c r="C22" s="107"/>
      <c r="D22" s="121"/>
      <c r="E22" s="133"/>
      <c r="F22" s="134"/>
      <c r="G22" s="134"/>
      <c r="H22" s="134"/>
      <c r="I22" s="134"/>
      <c r="J22" s="135"/>
      <c r="K22" s="102"/>
      <c r="L22" s="99"/>
    </row>
    <row r="23" spans="1:12" ht="20" customHeight="1">
      <c r="A23" s="95"/>
      <c r="B23" s="136"/>
      <c r="C23" s="137"/>
      <c r="D23" s="138"/>
      <c r="E23" s="139"/>
      <c r="F23" s="140"/>
      <c r="G23" s="140"/>
      <c r="H23" s="140"/>
      <c r="I23" s="140"/>
      <c r="J23" s="141"/>
      <c r="K23" s="108"/>
      <c r="L23" s="99"/>
    </row>
    <row r="24" spans="1:12" ht="12" customHeight="1">
      <c r="A24" s="95"/>
      <c r="B24" s="96"/>
      <c r="C24" s="97"/>
      <c r="D24" s="97"/>
      <c r="E24" s="97"/>
      <c r="F24" s="97"/>
      <c r="G24" s="97"/>
      <c r="H24" s="97"/>
      <c r="I24" s="97"/>
      <c r="J24" s="97"/>
      <c r="K24" s="98"/>
      <c r="L24" s="99"/>
    </row>
    <row r="25" spans="1:12" ht="10" customHeight="1">
      <c r="A25" s="142"/>
      <c r="B25" s="143"/>
      <c r="C25" s="144"/>
      <c r="D25" s="92"/>
      <c r="E25" s="144"/>
      <c r="F25" s="144"/>
      <c r="G25" s="144"/>
      <c r="H25" s="144"/>
      <c r="I25" s="144"/>
      <c r="J25" s="144"/>
      <c r="K25" s="92"/>
      <c r="L25" s="93"/>
    </row>
  </sheetData>
  <sheetProtection algorithmName="SHA-512" hashValue="NxnJjbD/TobPdFXcJqiLnjRP3HA5fgwYIVTl9aELKKxBQY7ciXhCVfOG2/Wv+yrh7n1oT9BYa/FnPdHdFzHcvA==" saltValue="AGvHOkZMbDj/WdPeSz9b1A==" spinCount="100000" sheet="1" objects="1" scenarios="1" selectLockedCells="1"/>
  <mergeCells count="14">
    <mergeCell ref="B2:K2"/>
    <mergeCell ref="B3:C23"/>
    <mergeCell ref="E3:J4"/>
    <mergeCell ref="E6:J6"/>
    <mergeCell ref="E15:J23"/>
    <mergeCell ref="I12:I13"/>
    <mergeCell ref="B24:K24"/>
    <mergeCell ref="D6:D23"/>
    <mergeCell ref="E7:J7"/>
    <mergeCell ref="E8:E9"/>
    <mergeCell ref="G8:G9"/>
    <mergeCell ref="I8:I9"/>
    <mergeCell ref="E12:E13"/>
    <mergeCell ref="G12:G13"/>
  </mergeCells>
  <hyperlinks>
    <hyperlink ref="E12:E13" location="Directions!A1" display="Directions" xr:uid="{0C59188D-651C-0146-B072-DFE24983F12F}"/>
    <hyperlink ref="G12:G13" location="Calculator!A1" display="Calculator" xr:uid="{E88D3641-8081-FF4F-ABFF-63E82D3F1FB6}"/>
    <hyperlink ref="I12:I13" location="'Blank Sheet Playground'!A7" display="Blank Worksheet" xr:uid="{30898C92-B5D6-B040-B88B-9ADFB240FB2B}"/>
  </hyperlinks>
  <pageMargins left="0.7" right="0.7" top="0.75" bottom="0.75" header="0.3" footer="0.3"/>
  <pageSetup scale="84"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7CAEB-9FA9-2B4A-82C9-E138AA1D0419}">
  <sheetPr codeName="Sheet3">
    <tabColor theme="7" tint="0.39997558519241921"/>
  </sheetPr>
  <dimension ref="B2:G46"/>
  <sheetViews>
    <sheetView zoomScaleNormal="100" zoomScaleSheetLayoutView="100" workbookViewId="0">
      <selection activeCell="D4" sqref="D4"/>
    </sheetView>
  </sheetViews>
  <sheetFormatPr baseColWidth="10" defaultRowHeight="18" customHeight="1"/>
  <cols>
    <col min="1" max="1" width="5.83203125" style="151" customWidth="1"/>
    <col min="2" max="2" width="36.83203125" style="151" customWidth="1"/>
    <col min="3" max="3" width="8.33203125" style="151" customWidth="1"/>
    <col min="4" max="4" width="10.33203125" style="152" bestFit="1" customWidth="1"/>
    <col min="5" max="5" width="8.33203125" style="151" customWidth="1"/>
    <col min="6" max="6" width="5.83203125" style="153" customWidth="1"/>
    <col min="7" max="7" width="190.1640625" style="151" bestFit="1" customWidth="1"/>
    <col min="8" max="8" width="5.83203125" style="151" customWidth="1"/>
    <col min="9" max="16384" width="10.83203125" style="151"/>
  </cols>
  <sheetData>
    <row r="2" spans="2:7" ht="18" customHeight="1">
      <c r="G2" s="154" t="s">
        <v>132</v>
      </c>
    </row>
    <row r="3" spans="2:7" ht="18" customHeight="1">
      <c r="G3" s="155"/>
    </row>
    <row r="5" spans="2:7" s="156" customFormat="1" ht="25" customHeight="1">
      <c r="B5" s="157" t="s">
        <v>133</v>
      </c>
      <c r="C5" s="158"/>
      <c r="D5" s="159"/>
      <c r="E5" s="158"/>
      <c r="F5" s="160"/>
    </row>
    <row r="6" spans="2:7" s="161" customFormat="1" ht="18" customHeight="1">
      <c r="C6" s="162"/>
      <c r="D6" s="163"/>
      <c r="E6" s="162"/>
      <c r="F6" s="164" t="s">
        <v>134</v>
      </c>
      <c r="G6" s="161" t="s">
        <v>135</v>
      </c>
    </row>
    <row r="7" spans="2:7" s="161" customFormat="1" ht="18" customHeight="1">
      <c r="C7" s="162"/>
      <c r="D7" s="163"/>
      <c r="E7" s="162"/>
      <c r="F7" s="164" t="s">
        <v>136</v>
      </c>
      <c r="G7" s="161" t="s">
        <v>137</v>
      </c>
    </row>
    <row r="8" spans="2:7" s="161" customFormat="1" ht="18" customHeight="1">
      <c r="C8" s="162"/>
      <c r="D8" s="163"/>
      <c r="E8" s="162"/>
      <c r="F8" s="164" t="s">
        <v>138</v>
      </c>
      <c r="G8" s="161" t="s">
        <v>139</v>
      </c>
    </row>
    <row r="9" spans="2:7" s="161" customFormat="1" ht="18" customHeight="1">
      <c r="C9" s="162"/>
      <c r="D9" s="163"/>
      <c r="E9" s="162"/>
      <c r="F9" s="164" t="s">
        <v>140</v>
      </c>
      <c r="G9" s="161" t="s">
        <v>170</v>
      </c>
    </row>
    <row r="10" spans="2:7" s="161" customFormat="1" ht="18" customHeight="1">
      <c r="C10" s="162"/>
      <c r="D10" s="163"/>
      <c r="E10" s="162"/>
      <c r="F10" s="164" t="s">
        <v>141</v>
      </c>
      <c r="G10" s="161" t="s">
        <v>171</v>
      </c>
    </row>
    <row r="11" spans="2:7" s="161" customFormat="1" ht="18" customHeight="1">
      <c r="C11" s="162"/>
      <c r="D11" s="163"/>
      <c r="E11" s="162"/>
      <c r="F11" s="164" t="s">
        <v>142</v>
      </c>
      <c r="G11" s="161" t="s">
        <v>143</v>
      </c>
    </row>
    <row r="12" spans="2:7" s="161" customFormat="1" ht="18" customHeight="1">
      <c r="C12" s="162"/>
      <c r="D12" s="163"/>
      <c r="E12" s="162"/>
      <c r="F12" s="164" t="s">
        <v>144</v>
      </c>
      <c r="G12" s="161" t="s">
        <v>228</v>
      </c>
    </row>
    <row r="13" spans="2:7" ht="18" customHeight="1">
      <c r="G13" s="165" t="s">
        <v>145</v>
      </c>
    </row>
    <row r="14" spans="2:7" s="161" customFormat="1" ht="25" customHeight="1">
      <c r="B14" s="166" t="s">
        <v>146</v>
      </c>
      <c r="C14" s="167"/>
      <c r="D14" s="168" t="s">
        <v>190</v>
      </c>
      <c r="E14" s="167"/>
      <c r="F14" s="169"/>
    </row>
    <row r="15" spans="2:7" s="161" customFormat="1" ht="18" customHeight="1">
      <c r="B15" s="170" t="s">
        <v>172</v>
      </c>
      <c r="C15" s="162"/>
      <c r="D15" s="171" t="s">
        <v>191</v>
      </c>
      <c r="E15" s="162"/>
      <c r="F15" s="164" t="s">
        <v>134</v>
      </c>
      <c r="G15" s="161" t="s">
        <v>173</v>
      </c>
    </row>
    <row r="16" spans="2:7" s="161" customFormat="1" ht="18" customHeight="1">
      <c r="B16" s="170" t="s">
        <v>175</v>
      </c>
      <c r="C16" s="162"/>
      <c r="D16" s="163" t="s">
        <v>192</v>
      </c>
      <c r="E16" s="162"/>
      <c r="F16" s="164" t="s">
        <v>136</v>
      </c>
      <c r="G16" s="161" t="s">
        <v>230</v>
      </c>
    </row>
    <row r="17" spans="2:7" s="161" customFormat="1" ht="18" customHeight="1">
      <c r="B17" s="172"/>
      <c r="C17" s="162"/>
      <c r="D17" s="163"/>
      <c r="E17" s="162"/>
      <c r="F17" s="164"/>
      <c r="G17" s="173" t="s">
        <v>174</v>
      </c>
    </row>
    <row r="18" spans="2:7" s="161" customFormat="1" ht="18" customHeight="1">
      <c r="C18" s="162"/>
      <c r="D18" s="163"/>
      <c r="E18" s="162"/>
      <c r="F18" s="164" t="s">
        <v>138</v>
      </c>
      <c r="G18" s="161" t="s">
        <v>176</v>
      </c>
    </row>
    <row r="19" spans="2:7" s="161" customFormat="1" ht="18" customHeight="1">
      <c r="C19" s="162"/>
      <c r="D19" s="163" t="s">
        <v>193</v>
      </c>
      <c r="E19" s="162"/>
      <c r="F19" s="164"/>
      <c r="G19" s="174" t="s">
        <v>177</v>
      </c>
    </row>
    <row r="20" spans="2:7" s="161" customFormat="1" ht="18" customHeight="1">
      <c r="C20" s="162"/>
      <c r="D20" s="163" t="s">
        <v>194</v>
      </c>
      <c r="E20" s="162"/>
      <c r="F20" s="164"/>
      <c r="G20" s="175" t="s">
        <v>178</v>
      </c>
    </row>
    <row r="21" spans="2:7" s="161" customFormat="1" ht="18" customHeight="1">
      <c r="C21" s="162"/>
      <c r="D21" s="163" t="s">
        <v>196</v>
      </c>
      <c r="E21" s="162"/>
      <c r="F21" s="164"/>
      <c r="G21" s="175" t="s">
        <v>179</v>
      </c>
    </row>
    <row r="22" spans="2:7" s="161" customFormat="1" ht="18" customHeight="1">
      <c r="C22" s="162"/>
      <c r="D22" s="163" t="s">
        <v>195</v>
      </c>
      <c r="E22" s="162"/>
      <c r="F22" s="164"/>
      <c r="G22" s="161" t="s">
        <v>182</v>
      </c>
    </row>
    <row r="23" spans="2:7" s="156" customFormat="1" ht="18" customHeight="1">
      <c r="C23" s="176"/>
      <c r="D23" s="177"/>
      <c r="E23" s="176"/>
      <c r="F23" s="178"/>
      <c r="G23" s="173" t="s">
        <v>180</v>
      </c>
    </row>
    <row r="24" spans="2:7" s="156" customFormat="1" ht="18" customHeight="1">
      <c r="C24" s="176"/>
      <c r="D24" s="177"/>
      <c r="E24" s="176"/>
      <c r="F24" s="178"/>
      <c r="G24" s="173" t="s">
        <v>181</v>
      </c>
    </row>
    <row r="25" spans="2:7" s="161" customFormat="1" ht="18" customHeight="1">
      <c r="C25" s="162"/>
      <c r="D25" s="163" t="s">
        <v>197</v>
      </c>
      <c r="E25" s="162"/>
      <c r="F25" s="164"/>
      <c r="G25" s="161" t="s">
        <v>183</v>
      </c>
    </row>
    <row r="26" spans="2:7" s="161" customFormat="1" ht="18" customHeight="1">
      <c r="C26" s="162"/>
      <c r="D26" s="163" t="s">
        <v>198</v>
      </c>
      <c r="E26" s="162"/>
      <c r="F26" s="164"/>
      <c r="G26" s="161" t="s">
        <v>184</v>
      </c>
    </row>
    <row r="27" spans="2:7" s="161" customFormat="1" ht="18" customHeight="1">
      <c r="C27" s="162"/>
      <c r="D27" s="163" t="s">
        <v>199</v>
      </c>
      <c r="E27" s="162"/>
      <c r="F27" s="164" t="s">
        <v>140</v>
      </c>
      <c r="G27" s="161" t="s">
        <v>185</v>
      </c>
    </row>
    <row r="28" spans="2:7" s="161" customFormat="1" ht="18" customHeight="1">
      <c r="C28" s="162"/>
      <c r="D28" s="163"/>
      <c r="E28" s="162"/>
      <c r="F28" s="179"/>
    </row>
    <row r="29" spans="2:7" s="161" customFormat="1" ht="25" customHeight="1">
      <c r="B29" s="166" t="s">
        <v>147</v>
      </c>
      <c r="C29" s="167"/>
      <c r="D29" s="163"/>
      <c r="E29" s="167"/>
      <c r="F29" s="169"/>
    </row>
    <row r="30" spans="2:7" s="161" customFormat="1" ht="18" customHeight="1">
      <c r="B30" s="170" t="s">
        <v>148</v>
      </c>
      <c r="C30" s="162"/>
      <c r="D30" s="163"/>
      <c r="E30" s="162"/>
      <c r="F30" s="164" t="s">
        <v>134</v>
      </c>
      <c r="G30" s="161" t="s">
        <v>176</v>
      </c>
    </row>
    <row r="31" spans="2:7" s="161" customFormat="1" ht="18" customHeight="1">
      <c r="B31" s="170" t="s">
        <v>186</v>
      </c>
      <c r="C31" s="162"/>
      <c r="D31" s="163" t="s">
        <v>200</v>
      </c>
      <c r="E31" s="162"/>
      <c r="F31" s="164"/>
      <c r="G31" s="161" t="s">
        <v>214</v>
      </c>
    </row>
    <row r="32" spans="2:7" s="161" customFormat="1" ht="18" customHeight="1">
      <c r="C32" s="162"/>
      <c r="D32" s="163" t="s">
        <v>201</v>
      </c>
      <c r="E32" s="162"/>
      <c r="F32" s="164"/>
      <c r="G32" s="161" t="s">
        <v>187</v>
      </c>
    </row>
    <row r="33" spans="3:7" s="156" customFormat="1" ht="18" customHeight="1">
      <c r="C33" s="176"/>
      <c r="D33" s="163" t="s">
        <v>202</v>
      </c>
      <c r="E33" s="176"/>
      <c r="F33" s="178"/>
      <c r="G33" s="161" t="s">
        <v>188</v>
      </c>
    </row>
    <row r="34" spans="3:7" s="156" customFormat="1" ht="18" customHeight="1">
      <c r="C34" s="176"/>
      <c r="D34" s="163" t="s">
        <v>203</v>
      </c>
      <c r="E34" s="176"/>
      <c r="F34" s="178"/>
      <c r="G34" s="161" t="s">
        <v>189</v>
      </c>
    </row>
    <row r="35" spans="3:7" s="161" customFormat="1" ht="18" customHeight="1">
      <c r="C35" s="162"/>
      <c r="D35" s="163" t="s">
        <v>204</v>
      </c>
      <c r="E35" s="162"/>
      <c r="F35" s="164"/>
      <c r="G35" s="161" t="s">
        <v>229</v>
      </c>
    </row>
    <row r="36" spans="3:7" s="156" customFormat="1" ht="18" customHeight="1">
      <c r="C36" s="176"/>
      <c r="D36" s="177"/>
      <c r="E36" s="176"/>
      <c r="F36" s="178"/>
      <c r="G36" s="173" t="s">
        <v>205</v>
      </c>
    </row>
    <row r="37" spans="3:7" s="161" customFormat="1" ht="18" customHeight="1">
      <c r="C37" s="162"/>
      <c r="D37" s="163"/>
      <c r="E37" s="162"/>
      <c r="F37" s="164" t="s">
        <v>136</v>
      </c>
      <c r="G37" s="161" t="s">
        <v>208</v>
      </c>
    </row>
    <row r="38" spans="3:7" s="161" customFormat="1" ht="18" customHeight="1">
      <c r="C38" s="162"/>
      <c r="D38" s="163"/>
      <c r="E38" s="162"/>
      <c r="F38" s="164"/>
      <c r="G38" s="161" t="s">
        <v>209</v>
      </c>
    </row>
    <row r="39" spans="3:7" s="161" customFormat="1" ht="18" customHeight="1">
      <c r="C39" s="162"/>
      <c r="D39" s="163" t="s">
        <v>210</v>
      </c>
      <c r="E39" s="162"/>
      <c r="F39" s="164"/>
      <c r="G39" s="161" t="s">
        <v>149</v>
      </c>
    </row>
    <row r="40" spans="3:7" s="161" customFormat="1" ht="18" customHeight="1">
      <c r="C40" s="162"/>
      <c r="D40" s="163" t="s">
        <v>211</v>
      </c>
      <c r="E40" s="167"/>
      <c r="F40" s="169"/>
      <c r="G40" s="161" t="s">
        <v>212</v>
      </c>
    </row>
    <row r="41" spans="3:7" s="161" customFormat="1" ht="18" customHeight="1">
      <c r="C41" s="162"/>
      <c r="D41" s="163"/>
      <c r="E41" s="167"/>
      <c r="F41" s="164"/>
    </row>
    <row r="42" spans="3:7" s="161" customFormat="1" ht="18" customHeight="1">
      <c r="C42" s="162"/>
      <c r="D42" s="163"/>
      <c r="E42" s="167"/>
      <c r="F42" s="169"/>
      <c r="G42" s="165" t="s">
        <v>213</v>
      </c>
    </row>
    <row r="43" spans="3:7" s="161" customFormat="1" ht="18" customHeight="1">
      <c r="C43" s="162"/>
      <c r="D43" s="163"/>
      <c r="E43" s="167"/>
      <c r="F43" s="169"/>
    </row>
    <row r="44" spans="3:7" s="161" customFormat="1" ht="18" customHeight="1">
      <c r="C44" s="162"/>
      <c r="D44" s="163"/>
      <c r="E44" s="167"/>
      <c r="F44" s="169"/>
    </row>
    <row r="45" spans="3:7" s="161" customFormat="1" ht="18" customHeight="1">
      <c r="C45" s="162"/>
      <c r="D45" s="163"/>
      <c r="E45" s="167"/>
      <c r="F45" s="169"/>
    </row>
    <row r="46" spans="3:7" s="161" customFormat="1" ht="18" customHeight="1">
      <c r="C46" s="162"/>
      <c r="D46" s="163"/>
      <c r="E46" s="167"/>
      <c r="F46" s="169"/>
    </row>
  </sheetData>
  <sheetProtection algorithmName="SHA-512" hashValue="OYYeg2kZwOcqmP2DzzfGsOdJRrfipjLlYXYWQLip9GWM1G0ykz5V5KM2zELCclOt3k542f8pydgFePEKKG51gA==" saltValue="msk7jJsrOevGFzjtWCuyyw==" spinCount="100000" sheet="1" scenarios="1" selectLockedCells="1" selectUnlockedCells="1"/>
  <mergeCells count="1">
    <mergeCell ref="G2:G3"/>
  </mergeCells>
  <hyperlinks>
    <hyperlink ref="B5" r:id="rId1" xr:uid="{ABFEA725-CABC-3940-AAFC-F63CA7530E71}"/>
  </hyperlinks>
  <pageMargins left="0.7" right="0.7" top="0.75" bottom="0.75" header="0.3" footer="0.3"/>
  <pageSetup scale="42" fitToHeight="2" orientation="landscape" horizontalDpi="0" verticalDpi="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249977111117893"/>
    <pageSetUpPr fitToPage="1"/>
  </sheetPr>
  <dimension ref="A1:R60"/>
  <sheetViews>
    <sheetView showGridLines="0" zoomScale="93" zoomScaleNormal="93" workbookViewId="0">
      <selection activeCell="G13" sqref="G13"/>
    </sheetView>
  </sheetViews>
  <sheetFormatPr baseColWidth="10" defaultColWidth="10.83203125" defaultRowHeight="16" customHeight="1" outlineLevelCol="1"/>
  <cols>
    <col min="1" max="1" width="3.5" style="183" customWidth="1"/>
    <col min="2" max="5" width="17.83203125" style="183" customWidth="1"/>
    <col min="6" max="6" width="3.5" style="183" customWidth="1"/>
    <col min="7" max="7" width="17.83203125" style="183" customWidth="1"/>
    <col min="8" max="8" width="17.83203125" style="185" customWidth="1"/>
    <col min="9" max="11" width="17.83203125" style="183" customWidth="1"/>
    <col min="12" max="12" width="3.5" style="183" customWidth="1"/>
    <col min="13" max="13" width="17.83203125" style="183" hidden="1" customWidth="1" outlineLevel="1"/>
    <col min="14" max="14" width="55.5" style="186" hidden="1" customWidth="1" outlineLevel="1"/>
    <col min="15" max="15" width="17.83203125" style="183" hidden="1" customWidth="1" outlineLevel="1"/>
    <col min="16" max="16" width="18.6640625" style="183" hidden="1" customWidth="1" outlineLevel="1"/>
    <col min="17" max="17" width="15.83203125" style="183" hidden="1" customWidth="1" outlineLevel="1"/>
    <col min="18" max="18" width="15.83203125" style="183" customWidth="1" collapsed="1"/>
    <col min="19" max="22" width="15.83203125" style="183" customWidth="1"/>
    <col min="23" max="16384" width="10.83203125" style="183"/>
  </cols>
  <sheetData>
    <row r="1" spans="1:16" ht="20" customHeight="1">
      <c r="A1" s="182"/>
      <c r="F1" s="182"/>
      <c r="G1" s="182"/>
      <c r="H1" s="184"/>
      <c r="I1" s="182"/>
      <c r="J1" s="182"/>
      <c r="K1" s="182"/>
      <c r="L1" s="185"/>
      <c r="M1" s="182"/>
    </row>
    <row r="2" spans="1:16" ht="30" customHeight="1">
      <c r="G2" s="187"/>
      <c r="H2" s="187"/>
      <c r="I2" s="187"/>
      <c r="J2" s="187"/>
    </row>
    <row r="3" spans="1:16" ht="20" customHeight="1">
      <c r="A3" s="182"/>
      <c r="F3" s="182"/>
      <c r="G3" s="184"/>
      <c r="H3" s="184"/>
      <c r="I3" s="184"/>
      <c r="J3" s="184"/>
      <c r="K3" s="182"/>
      <c r="L3" s="185"/>
      <c r="M3" s="182"/>
    </row>
    <row r="4" spans="1:16" s="182" customFormat="1" ht="20" customHeight="1">
      <c r="B4" s="181" t="s">
        <v>32</v>
      </c>
      <c r="C4" s="188">
        <f ca="1">TODAY()</f>
        <v>45805</v>
      </c>
      <c r="G4" s="189"/>
      <c r="H4" s="189"/>
      <c r="I4" s="189"/>
      <c r="J4" s="189"/>
      <c r="N4" s="190"/>
    </row>
    <row r="5" spans="1:16" s="182" customFormat="1" ht="20" customHeight="1">
      <c r="B5" s="79">
        <v>3</v>
      </c>
      <c r="C5" s="62">
        <f>'Blank Sheet Playground'!C15</f>
        <v>4.0989999999999999E-2</v>
      </c>
      <c r="G5" s="189"/>
      <c r="H5" s="189"/>
      <c r="I5" s="189"/>
      <c r="J5" s="189"/>
      <c r="K5" s="183"/>
      <c r="M5" s="191"/>
      <c r="N5" s="191"/>
      <c r="O5" s="191"/>
      <c r="P5" s="191"/>
    </row>
    <row r="6" spans="1:16" s="182" customFormat="1" ht="20" customHeight="1">
      <c r="B6" s="61">
        <v>5</v>
      </c>
      <c r="C6" s="62">
        <f>'Blank Sheet Playground'!C14</f>
        <v>4.0599999999999997E-2</v>
      </c>
      <c r="G6" s="189"/>
      <c r="H6" s="189"/>
      <c r="I6" s="189"/>
      <c r="J6" s="189"/>
      <c r="K6" s="183"/>
      <c r="L6" s="183"/>
      <c r="M6" s="192"/>
      <c r="N6" s="192"/>
      <c r="O6" s="192"/>
      <c r="P6" s="192"/>
    </row>
    <row r="7" spans="1:16" s="182" customFormat="1" ht="20" customHeight="1" thickBot="1">
      <c r="B7" s="63">
        <v>7</v>
      </c>
      <c r="C7" s="64">
        <f>'Blank Sheet Playground'!C13</f>
        <v>4.0989999999999999E-2</v>
      </c>
      <c r="G7" s="189"/>
      <c r="H7" s="189"/>
      <c r="I7" s="189"/>
      <c r="J7" s="189"/>
      <c r="K7" s="183"/>
    </row>
    <row r="8" spans="1:16" ht="20" customHeight="1" thickTop="1">
      <c r="A8" s="182"/>
      <c r="F8" s="182"/>
      <c r="G8" s="182"/>
      <c r="H8" s="184"/>
      <c r="I8" s="182"/>
      <c r="J8" s="182"/>
      <c r="K8" s="182"/>
      <c r="L8" s="185"/>
      <c r="M8" s="182"/>
    </row>
    <row r="9" spans="1:16" s="182" customFormat="1" ht="20" customHeight="1">
      <c r="B9" s="193" t="s">
        <v>107</v>
      </c>
      <c r="C9" s="193"/>
      <c r="D9" s="193"/>
      <c r="E9" s="193"/>
      <c r="G9" s="194" t="s">
        <v>108</v>
      </c>
      <c r="H9" s="195"/>
      <c r="I9" s="196"/>
      <c r="J9" s="197" t="s">
        <v>42</v>
      </c>
      <c r="K9" s="183"/>
      <c r="L9" s="184"/>
      <c r="N9" s="190"/>
    </row>
    <row r="10" spans="1:16" s="182" customFormat="1" ht="20" customHeight="1">
      <c r="B10" s="198" t="s">
        <v>98</v>
      </c>
      <c r="C10" s="199"/>
      <c r="D10" s="200"/>
      <c r="E10" s="65" t="s">
        <v>99</v>
      </c>
      <c r="G10" s="201" t="s">
        <v>50</v>
      </c>
      <c r="H10" s="202" t="s">
        <v>3</v>
      </c>
      <c r="I10" s="203" t="s">
        <v>12</v>
      </c>
      <c r="J10" s="203" t="s">
        <v>41</v>
      </c>
      <c r="L10" s="184"/>
      <c r="N10" s="190"/>
    </row>
    <row r="11" spans="1:16" s="182" customFormat="1" ht="20" customHeight="1">
      <c r="B11" s="198" t="s">
        <v>100</v>
      </c>
      <c r="C11" s="199"/>
      <c r="D11" s="200"/>
      <c r="E11" s="65" t="s">
        <v>101</v>
      </c>
      <c r="G11" s="72" t="s">
        <v>52</v>
      </c>
      <c r="H11" s="73">
        <v>0</v>
      </c>
      <c r="I11" s="73">
        <v>0</v>
      </c>
      <c r="J11" s="67">
        <v>0</v>
      </c>
      <c r="L11" s="184"/>
      <c r="N11" s="190"/>
    </row>
    <row r="12" spans="1:16" ht="20" customHeight="1">
      <c r="A12" s="182"/>
      <c r="B12" s="198" t="s">
        <v>102</v>
      </c>
      <c r="C12" s="199"/>
      <c r="D12" s="200"/>
      <c r="E12" s="65">
        <v>12345</v>
      </c>
      <c r="F12" s="182"/>
      <c r="G12" s="72" t="s">
        <v>82</v>
      </c>
      <c r="H12" s="73">
        <v>0</v>
      </c>
      <c r="I12" s="73">
        <v>0</v>
      </c>
      <c r="J12" s="67">
        <v>0</v>
      </c>
      <c r="L12" s="185"/>
      <c r="M12" s="182"/>
    </row>
    <row r="13" spans="1:16" ht="20" customHeight="1">
      <c r="A13" s="182"/>
      <c r="B13" s="198" t="s">
        <v>103</v>
      </c>
      <c r="C13" s="199"/>
      <c r="D13" s="200"/>
      <c r="E13" s="65" t="s">
        <v>104</v>
      </c>
      <c r="F13" s="182"/>
      <c r="G13" s="72" t="s">
        <v>85</v>
      </c>
      <c r="H13" s="73">
        <v>0</v>
      </c>
      <c r="I13" s="73">
        <v>0</v>
      </c>
      <c r="J13" s="67">
        <v>0</v>
      </c>
      <c r="L13" s="185"/>
      <c r="M13" s="182"/>
    </row>
    <row r="14" spans="1:16" ht="20" customHeight="1" thickBot="1">
      <c r="A14" s="182"/>
      <c r="B14" s="204" t="s">
        <v>105</v>
      </c>
      <c r="C14" s="205"/>
      <c r="D14" s="66">
        <v>0</v>
      </c>
      <c r="E14" s="206">
        <f>IFERROR($D$14/$H$15,0)</f>
        <v>0</v>
      </c>
      <c r="F14" s="182"/>
      <c r="G14" s="74" t="s">
        <v>87</v>
      </c>
      <c r="H14" s="75">
        <v>0</v>
      </c>
      <c r="I14" s="75">
        <v>0</v>
      </c>
      <c r="J14" s="68">
        <v>0</v>
      </c>
      <c r="L14" s="185"/>
      <c r="M14" s="182"/>
    </row>
    <row r="15" spans="1:16" ht="20" customHeight="1" thickTop="1">
      <c r="A15" s="182"/>
      <c r="B15" s="207" t="s">
        <v>106</v>
      </c>
      <c r="C15" s="208"/>
      <c r="D15" s="209"/>
      <c r="E15" s="210">
        <f>IFERROR(H15*I15,0)</f>
        <v>0</v>
      </c>
      <c r="F15" s="182"/>
      <c r="G15" s="211" t="s">
        <v>109</v>
      </c>
      <c r="H15" s="60">
        <f>IFERROR(SUM(H11:H14),0)</f>
        <v>0</v>
      </c>
      <c r="I15" s="212">
        <f>IFERROR(SUMPRODUCT($I$11:$I$14,$H$11:$H$14)/$H$15,0)</f>
        <v>0</v>
      </c>
      <c r="J15" s="213">
        <f>IFERROR(SUMPRODUCT($J$11:$J$14,$H$11:$H$14)/$H$15,0)</f>
        <v>0</v>
      </c>
      <c r="L15" s="185"/>
      <c r="M15" s="182"/>
    </row>
    <row r="16" spans="1:16" ht="20" customHeight="1">
      <c r="A16" s="182"/>
      <c r="F16" s="182"/>
      <c r="G16" s="182"/>
      <c r="H16" s="184"/>
      <c r="I16" s="182"/>
      <c r="J16" s="182"/>
      <c r="K16" s="182"/>
      <c r="L16" s="185"/>
      <c r="M16" s="182"/>
    </row>
    <row r="17" spans="1:14" ht="20" customHeight="1">
      <c r="A17" s="182"/>
      <c r="B17" s="193" t="s">
        <v>92</v>
      </c>
      <c r="C17" s="193"/>
      <c r="D17" s="193"/>
      <c r="E17" s="193"/>
      <c r="F17" s="182"/>
      <c r="G17" s="214" t="s">
        <v>110</v>
      </c>
      <c r="H17" s="215"/>
      <c r="I17" s="215"/>
      <c r="J17" s="216" t="s">
        <v>118</v>
      </c>
      <c r="L17" s="185"/>
    </row>
    <row r="18" spans="1:14" ht="20" customHeight="1">
      <c r="A18" s="182"/>
      <c r="B18" s="217" t="s">
        <v>1</v>
      </c>
      <c r="C18" s="218"/>
      <c r="D18" s="219"/>
      <c r="E18" s="67">
        <v>0</v>
      </c>
      <c r="F18" s="182"/>
      <c r="G18" s="220" t="s">
        <v>111</v>
      </c>
      <c r="H18" s="199"/>
      <c r="I18" s="199"/>
      <c r="J18" s="221">
        <f>IFERROR($H$15*$J$15*12,0)</f>
        <v>0</v>
      </c>
      <c r="L18" s="185"/>
    </row>
    <row r="19" spans="1:14" ht="20" customHeight="1">
      <c r="A19" s="182"/>
      <c r="B19" s="217" t="s">
        <v>65</v>
      </c>
      <c r="C19" s="218"/>
      <c r="D19" s="55">
        <v>0</v>
      </c>
      <c r="E19" s="222">
        <f>IFERROR($E$18*$D$19,0)</f>
        <v>0</v>
      </c>
      <c r="F19" s="182"/>
      <c r="G19" s="223" t="s">
        <v>112</v>
      </c>
      <c r="H19" s="224"/>
      <c r="I19" s="55">
        <v>0</v>
      </c>
      <c r="J19" s="225">
        <f>IFERROR(-$J$18*$I$19,0)</f>
        <v>0</v>
      </c>
      <c r="L19" s="185"/>
    </row>
    <row r="20" spans="1:14" ht="20" customHeight="1">
      <c r="A20" s="182"/>
      <c r="B20" s="220" t="s">
        <v>56</v>
      </c>
      <c r="C20" s="226"/>
      <c r="D20" s="55">
        <v>0</v>
      </c>
      <c r="E20" s="222">
        <f>IFERROR($E$18*$D$20,0)</f>
        <v>0</v>
      </c>
      <c r="F20" s="182"/>
      <c r="G20" s="223" t="s">
        <v>113</v>
      </c>
      <c r="H20" s="224"/>
      <c r="I20" s="55">
        <v>0</v>
      </c>
      <c r="J20" s="225">
        <f>IFERROR(-$J$18*$I$20,0)</f>
        <v>0</v>
      </c>
      <c r="L20" s="185"/>
    </row>
    <row r="21" spans="1:14" ht="20" customHeight="1" thickBot="1">
      <c r="A21" s="182"/>
      <c r="B21" s="227" t="s">
        <v>97</v>
      </c>
      <c r="C21" s="228"/>
      <c r="D21" s="229">
        <f>IFERROR($E$21/($E$22+$E$25),0)</f>
        <v>0</v>
      </c>
      <c r="E21" s="68">
        <v>0</v>
      </c>
      <c r="F21" s="182"/>
      <c r="G21" s="230" t="s">
        <v>55</v>
      </c>
      <c r="H21" s="205"/>
      <c r="I21" s="205"/>
      <c r="J21" s="68">
        <v>0</v>
      </c>
      <c r="L21" s="185"/>
    </row>
    <row r="22" spans="1:14" ht="20" customHeight="1" thickTop="1">
      <c r="A22" s="182"/>
      <c r="B22" s="207" t="s">
        <v>93</v>
      </c>
      <c r="C22" s="208"/>
      <c r="D22" s="231">
        <f>IFERROR($E$22/(((1-$D$19)*$E$18)+$E$22),0)</f>
        <v>0</v>
      </c>
      <c r="E22" s="213">
        <f>IFERROR($E$19+$E$21+$E$20,0)</f>
        <v>0</v>
      </c>
      <c r="F22" s="182"/>
      <c r="G22" s="207" t="s">
        <v>11</v>
      </c>
      <c r="H22" s="232"/>
      <c r="I22" s="232"/>
      <c r="J22" s="233">
        <f>IFERROR(SUM(J18:J21),0)</f>
        <v>0</v>
      </c>
      <c r="L22" s="185"/>
    </row>
    <row r="23" spans="1:14" ht="20" customHeight="1">
      <c r="A23" s="182"/>
      <c r="F23" s="182"/>
      <c r="H23" s="234"/>
      <c r="L23" s="185"/>
    </row>
    <row r="24" spans="1:14" ht="20" customHeight="1">
      <c r="A24" s="182"/>
      <c r="B24" s="193" t="s">
        <v>94</v>
      </c>
      <c r="C24" s="193"/>
      <c r="D24" s="193"/>
      <c r="E24" s="193"/>
      <c r="F24" s="182"/>
      <c r="G24" s="235" t="s">
        <v>125</v>
      </c>
      <c r="H24" s="236" t="s">
        <v>130</v>
      </c>
      <c r="I24" s="236" t="s">
        <v>117</v>
      </c>
      <c r="J24" s="236" t="s">
        <v>118</v>
      </c>
      <c r="L24" s="185"/>
    </row>
    <row r="25" spans="1:14" ht="20" customHeight="1">
      <c r="A25" s="182"/>
      <c r="B25" s="237" t="s">
        <v>131</v>
      </c>
      <c r="C25" s="238"/>
      <c r="D25" s="239">
        <f>IFERROR(1-$D$22,0)</f>
        <v>1</v>
      </c>
      <c r="E25" s="240">
        <f>IFERROR($E$18-$E$19,0)</f>
        <v>0</v>
      </c>
      <c r="F25" s="182"/>
      <c r="G25" s="241" t="s">
        <v>114</v>
      </c>
      <c r="H25" s="242">
        <f t="shared" ref="H25:H32" si="0">IFERROR(J25/$J$22,0)</f>
        <v>0</v>
      </c>
      <c r="I25" s="243">
        <f>IFERROR($J$25/$H$15,0)</f>
        <v>0</v>
      </c>
      <c r="J25" s="244">
        <f>((((E18*J40)*J39/1000)))</f>
        <v>0</v>
      </c>
      <c r="L25" s="185"/>
      <c r="N25" s="245"/>
    </row>
    <row r="26" spans="1:14" ht="20" customHeight="1">
      <c r="A26" s="182"/>
      <c r="B26" s="246" t="s">
        <v>31</v>
      </c>
      <c r="C26" s="247"/>
      <c r="D26" s="248"/>
      <c r="E26" s="249">
        <f>IFERROR((IF(E29=B5,C5,IF(E29=B6,C6,IF(E29=B7,C7,0)))),0)</f>
        <v>0</v>
      </c>
      <c r="F26" s="182"/>
      <c r="G26" s="241" t="s">
        <v>0</v>
      </c>
      <c r="H26" s="242">
        <f t="shared" si="0"/>
        <v>0</v>
      </c>
      <c r="I26" s="243">
        <f>IFERROR(J26/$H$15,0)</f>
        <v>0</v>
      </c>
      <c r="J26" s="67">
        <f>1000*H15</f>
        <v>0</v>
      </c>
      <c r="L26" s="185"/>
    </row>
    <row r="27" spans="1:14" ht="20" customHeight="1">
      <c r="A27" s="182"/>
      <c r="B27" s="246" t="s">
        <v>33</v>
      </c>
      <c r="C27" s="247"/>
      <c r="D27" s="248"/>
      <c r="E27" s="54">
        <v>0</v>
      </c>
      <c r="F27" s="182"/>
      <c r="G27" s="241" t="s">
        <v>4</v>
      </c>
      <c r="H27" s="242">
        <f t="shared" si="0"/>
        <v>0</v>
      </c>
      <c r="I27" s="243">
        <f t="shared" ref="I27:I33" si="1">IFERROR(J27/$H$15,0)</f>
        <v>0</v>
      </c>
      <c r="J27" s="67">
        <f>400*H15</f>
        <v>0</v>
      </c>
      <c r="L27" s="185"/>
    </row>
    <row r="28" spans="1:14" ht="20" customHeight="1">
      <c r="A28" s="182"/>
      <c r="B28" s="237" t="s">
        <v>58</v>
      </c>
      <c r="C28" s="238"/>
      <c r="D28" s="248"/>
      <c r="E28" s="250">
        <f>IFERROR(+$E$27+$E$26,0)</f>
        <v>0</v>
      </c>
      <c r="F28" s="182"/>
      <c r="G28" s="241" t="s">
        <v>124</v>
      </c>
      <c r="H28" s="242">
        <f t="shared" si="0"/>
        <v>0</v>
      </c>
      <c r="I28" s="243">
        <f t="shared" si="1"/>
        <v>0</v>
      </c>
      <c r="J28" s="67">
        <f>300*H15</f>
        <v>0</v>
      </c>
    </row>
    <row r="29" spans="1:14" ht="20" customHeight="1">
      <c r="A29" s="182"/>
      <c r="B29" s="237" t="s">
        <v>43</v>
      </c>
      <c r="C29" s="238"/>
      <c r="D29" s="248"/>
      <c r="E29" s="86" t="s">
        <v>232</v>
      </c>
      <c r="F29" s="182"/>
      <c r="G29" s="241" t="s">
        <v>115</v>
      </c>
      <c r="H29" s="242">
        <f t="shared" si="0"/>
        <v>0</v>
      </c>
      <c r="I29" s="243">
        <f t="shared" si="1"/>
        <v>0</v>
      </c>
      <c r="J29" s="67">
        <f>300*H15</f>
        <v>0</v>
      </c>
    </row>
    <row r="30" spans="1:14" ht="20" customHeight="1">
      <c r="A30" s="182"/>
      <c r="B30" s="246" t="s">
        <v>57</v>
      </c>
      <c r="C30" s="247"/>
      <c r="D30" s="248"/>
      <c r="E30" s="86" t="s">
        <v>231</v>
      </c>
      <c r="F30" s="182"/>
      <c r="G30" s="241" t="s">
        <v>6</v>
      </c>
      <c r="H30" s="242">
        <f t="shared" si="0"/>
        <v>0</v>
      </c>
      <c r="I30" s="243">
        <f t="shared" si="1"/>
        <v>0</v>
      </c>
      <c r="J30" s="67">
        <f>500*H15</f>
        <v>0</v>
      </c>
    </row>
    <row r="31" spans="1:14" ht="20" customHeight="1">
      <c r="A31" s="182"/>
      <c r="B31" s="237" t="s">
        <v>2</v>
      </c>
      <c r="C31" s="238"/>
      <c r="D31" s="248"/>
      <c r="E31" s="240">
        <f>IFERROR($E$32*12,0)</f>
        <v>0</v>
      </c>
      <c r="F31" s="182"/>
      <c r="G31" s="241" t="s">
        <v>7</v>
      </c>
      <c r="H31" s="242">
        <f t="shared" si="0"/>
        <v>0</v>
      </c>
      <c r="I31" s="243">
        <f t="shared" si="1"/>
        <v>0</v>
      </c>
      <c r="J31" s="67">
        <f>200*H15</f>
        <v>0</v>
      </c>
    </row>
    <row r="32" spans="1:14" ht="20" customHeight="1">
      <c r="A32" s="182"/>
      <c r="B32" s="220" t="s">
        <v>9</v>
      </c>
      <c r="C32" s="226"/>
      <c r="D32" s="248"/>
      <c r="E32" s="240">
        <f>IFERROR(IF(E30="IO",$E$25*$E$28/12,-PMT($E$28/12,$E$30*12,$E$25)),0)</f>
        <v>0</v>
      </c>
      <c r="F32" s="182"/>
      <c r="G32" s="241" t="s">
        <v>116</v>
      </c>
      <c r="H32" s="242">
        <f t="shared" si="0"/>
        <v>0</v>
      </c>
      <c r="I32" s="243">
        <f t="shared" si="1"/>
        <v>0</v>
      </c>
      <c r="J32" s="67">
        <f>100*H15</f>
        <v>0</v>
      </c>
    </row>
    <row r="33" spans="1:17" ht="20" customHeight="1">
      <c r="A33" s="182"/>
      <c r="B33" s="220" t="s">
        <v>95</v>
      </c>
      <c r="C33" s="226"/>
      <c r="D33" s="248"/>
      <c r="E33" s="251">
        <f>IFERROR($H$43/$E$18,0)</f>
        <v>0</v>
      </c>
      <c r="F33" s="182"/>
      <c r="G33" s="241" t="s">
        <v>5</v>
      </c>
      <c r="H33" s="71">
        <v>0</v>
      </c>
      <c r="I33" s="243">
        <f t="shared" si="1"/>
        <v>0</v>
      </c>
      <c r="J33" s="252">
        <f>IFERROR($H$33*$J$22,0)</f>
        <v>0</v>
      </c>
    </row>
    <row r="34" spans="1:17" ht="20" customHeight="1" thickBot="1">
      <c r="A34" s="182"/>
      <c r="B34" s="227" t="s">
        <v>8</v>
      </c>
      <c r="C34" s="228"/>
      <c r="D34" s="253"/>
      <c r="E34" s="254">
        <f>IFERROR($H$43/$E$25,0)</f>
        <v>0</v>
      </c>
      <c r="F34" s="182"/>
      <c r="G34" s="255" t="s">
        <v>119</v>
      </c>
      <c r="H34" s="256">
        <f>IFERROR(J34/$J$22,0)</f>
        <v>0</v>
      </c>
      <c r="I34" s="58">
        <v>0</v>
      </c>
      <c r="J34" s="257">
        <f>IFERROR($I$34*$H$15,0)</f>
        <v>0</v>
      </c>
    </row>
    <row r="35" spans="1:17" ht="20" customHeight="1" thickTop="1">
      <c r="A35" s="182"/>
      <c r="B35" s="207" t="s">
        <v>10</v>
      </c>
      <c r="C35" s="208"/>
      <c r="D35" s="258"/>
      <c r="E35" s="259">
        <f>IFERROR($H$43/$E$31,0)</f>
        <v>0</v>
      </c>
      <c r="F35" s="182"/>
      <c r="G35" s="211" t="s">
        <v>122</v>
      </c>
      <c r="H35" s="260">
        <f>IFERROR(SUM($H$25:$H$34),0)</f>
        <v>0</v>
      </c>
      <c r="I35" s="261">
        <f>IFERROR($J$35/$H$15,0)</f>
        <v>0</v>
      </c>
      <c r="J35" s="213">
        <f>IFERROR(SUM($J$25:$J$34),0)</f>
        <v>0</v>
      </c>
      <c r="N35" s="262"/>
    </row>
    <row r="36" spans="1:17" ht="20" customHeight="1">
      <c r="A36" s="182"/>
      <c r="F36" s="182"/>
      <c r="H36" s="234"/>
      <c r="N36" s="263"/>
    </row>
    <row r="37" spans="1:17" ht="20" customHeight="1">
      <c r="A37" s="182"/>
      <c r="B37" s="193" t="s">
        <v>96</v>
      </c>
      <c r="C37" s="193"/>
      <c r="D37" s="193"/>
      <c r="E37" s="193"/>
      <c r="F37" s="182"/>
      <c r="G37" s="194" t="s">
        <v>121</v>
      </c>
      <c r="H37" s="195"/>
      <c r="I37" s="196"/>
      <c r="J37" s="197"/>
      <c r="N37" s="262"/>
    </row>
    <row r="38" spans="1:17" ht="20" customHeight="1">
      <c r="A38" s="182"/>
      <c r="B38" s="264" t="s">
        <v>14</v>
      </c>
      <c r="C38" s="265"/>
      <c r="D38" s="266"/>
      <c r="E38" s="65" t="s">
        <v>15</v>
      </c>
      <c r="F38" s="182"/>
      <c r="G38" s="267" t="s">
        <v>44</v>
      </c>
      <c r="H38" s="56" t="s">
        <v>79</v>
      </c>
      <c r="I38" s="267" t="s">
        <v>28</v>
      </c>
      <c r="J38" s="59">
        <v>0</v>
      </c>
      <c r="N38" s="183"/>
    </row>
    <row r="39" spans="1:17" ht="20" customHeight="1">
      <c r="A39" s="182"/>
      <c r="B39" s="268" t="s">
        <v>91</v>
      </c>
      <c r="C39" s="269"/>
      <c r="D39" s="266"/>
      <c r="E39" s="65" t="s">
        <v>16</v>
      </c>
      <c r="F39" s="182"/>
      <c r="G39" s="267" t="s">
        <v>129</v>
      </c>
      <c r="H39" s="57">
        <v>0</v>
      </c>
      <c r="I39" s="267" t="s">
        <v>127</v>
      </c>
      <c r="J39" s="180">
        <v>0</v>
      </c>
      <c r="N39" s="183"/>
    </row>
    <row r="40" spans="1:17" ht="20" customHeight="1">
      <c r="A40" s="182"/>
      <c r="B40" s="268" t="s">
        <v>26</v>
      </c>
      <c r="C40" s="269"/>
      <c r="D40" s="266"/>
      <c r="E40" s="65" t="s">
        <v>25</v>
      </c>
      <c r="F40" s="182"/>
      <c r="G40" s="267" t="s">
        <v>128</v>
      </c>
      <c r="H40" s="57">
        <v>0</v>
      </c>
      <c r="I40" s="267" t="s">
        <v>126</v>
      </c>
      <c r="J40" s="69">
        <v>0</v>
      </c>
      <c r="N40" s="183"/>
    </row>
    <row r="41" spans="1:17" ht="20" customHeight="1">
      <c r="A41" s="182"/>
      <c r="E41" s="270"/>
      <c r="F41" s="182"/>
      <c r="H41" s="183"/>
    </row>
    <row r="42" spans="1:17" ht="20" customHeight="1">
      <c r="A42" s="182"/>
      <c r="B42" s="193" t="s">
        <v>123</v>
      </c>
      <c r="C42" s="271"/>
      <c r="D42" s="193"/>
      <c r="E42" s="193"/>
      <c r="F42" s="182"/>
      <c r="G42" s="272" t="s">
        <v>168</v>
      </c>
      <c r="H42" s="272"/>
      <c r="I42" s="272"/>
      <c r="J42" s="272"/>
      <c r="N42" s="183"/>
    </row>
    <row r="43" spans="1:17" ht="20" customHeight="1">
      <c r="A43" s="182"/>
      <c r="B43" s="264" t="s">
        <v>36</v>
      </c>
      <c r="C43" s="273"/>
      <c r="D43" s="266"/>
      <c r="E43" s="274" t="str">
        <f>IF(Lists!$AK$3=Lists!$B$3,"Yes","No")</f>
        <v>No</v>
      </c>
      <c r="F43" s="182"/>
      <c r="G43" s="275" t="s">
        <v>29</v>
      </c>
      <c r="H43" s="87">
        <f>IFERROR($J$22-$J$35,0)</f>
        <v>0</v>
      </c>
      <c r="I43" s="275" t="s">
        <v>161</v>
      </c>
      <c r="J43" s="87">
        <f>IFERROR($H$46/$J$38,0)</f>
        <v>0</v>
      </c>
      <c r="P43" s="276"/>
    </row>
    <row r="44" spans="1:17" ht="20" customHeight="1">
      <c r="A44" s="182"/>
      <c r="B44" s="264" t="s">
        <v>81</v>
      </c>
      <c r="C44" s="273"/>
      <c r="D44" s="266"/>
      <c r="E44" s="274" t="str">
        <f>IF(Lists!$AK$5=Lists!$B$3,"Yes","No")</f>
        <v>No</v>
      </c>
      <c r="F44" s="182"/>
      <c r="G44" s="275" t="s">
        <v>120</v>
      </c>
      <c r="H44" s="88">
        <f>IFERROR($H$43-$E$31,0)</f>
        <v>0</v>
      </c>
      <c r="I44" s="70">
        <v>0</v>
      </c>
      <c r="J44" s="88">
        <f>IFERROR($J$43*$I$44,0)</f>
        <v>0</v>
      </c>
      <c r="M44" s="277" t="s">
        <v>158</v>
      </c>
      <c r="N44" s="278" t="s">
        <v>206</v>
      </c>
      <c r="O44" s="279" t="s">
        <v>164</v>
      </c>
      <c r="P44" s="279" t="s">
        <v>160</v>
      </c>
      <c r="Q44" s="279" t="s">
        <v>165</v>
      </c>
    </row>
    <row r="45" spans="1:17" ht="20" customHeight="1">
      <c r="A45" s="182"/>
      <c r="B45" s="264" t="s">
        <v>18</v>
      </c>
      <c r="C45" s="273"/>
      <c r="D45" s="266"/>
      <c r="E45" s="274" t="str">
        <f>IF(Lists!$AK$7=Lists!$B$3,"Yes","No")</f>
        <v>No</v>
      </c>
      <c r="F45" s="182"/>
      <c r="G45" s="275" t="s">
        <v>169</v>
      </c>
      <c r="H45" s="89">
        <f>IFERROR($H$44/$E$22,0)</f>
        <v>0</v>
      </c>
      <c r="I45" s="275" t="s">
        <v>162</v>
      </c>
      <c r="J45" s="88">
        <f>IF(E30="Select Amort ↓",0,IF(E30="IO",E25,IF(OR(E30=25,E30=30),$E$25+PMT($E$28/12,$E$30*12,$E$25+IPMT($E$28/12,$E$30*12,$E$25,0*($E$29+2))))))</f>
        <v>0</v>
      </c>
      <c r="K45" s="280"/>
      <c r="M45" s="277" t="s">
        <v>159</v>
      </c>
      <c r="N45" s="281">
        <f>E22</f>
        <v>0</v>
      </c>
      <c r="O45" s="282">
        <f>N45</f>
        <v>0</v>
      </c>
      <c r="P45" s="282">
        <f>N45</f>
        <v>0</v>
      </c>
      <c r="Q45" s="282">
        <f>N45</f>
        <v>0</v>
      </c>
    </row>
    <row r="46" spans="1:17" ht="20" customHeight="1">
      <c r="A46" s="182"/>
      <c r="B46" s="264" t="s">
        <v>17</v>
      </c>
      <c r="C46" s="273"/>
      <c r="D46" s="266"/>
      <c r="E46" s="274" t="str">
        <f>IF(Lists!$AK$9=Lists!$B$3,"Yes","No")</f>
        <v>No</v>
      </c>
      <c r="F46" s="182"/>
      <c r="G46" s="283" t="str">
        <f>H38</f>
        <v>Select Year ↓</v>
      </c>
      <c r="H46" s="87">
        <f>IFERROR(($J$22+($J$22*$H$39*($H$38-1))-($J$35+($J$35*$H$40*($H$38-1)))),0)</f>
        <v>0</v>
      </c>
      <c r="I46" s="275" t="s">
        <v>163</v>
      </c>
      <c r="J46" s="87">
        <f>IFERROR(+$H$46+$J$43-$J$44-$J$45,0)</f>
        <v>0</v>
      </c>
      <c r="K46" s="284"/>
      <c r="M46" s="285" t="s">
        <v>166</v>
      </c>
      <c r="N46" s="281">
        <f>$J$46</f>
        <v>0</v>
      </c>
      <c r="O46" s="282">
        <f>N46</f>
        <v>0</v>
      </c>
      <c r="P46" s="282" t="s">
        <v>167</v>
      </c>
      <c r="Q46" s="282">
        <f>N46</f>
        <v>0</v>
      </c>
    </row>
    <row r="47" spans="1:17" ht="20" customHeight="1">
      <c r="A47" s="182"/>
      <c r="B47" s="264" t="s">
        <v>37</v>
      </c>
      <c r="C47" s="273"/>
      <c r="D47" s="266"/>
      <c r="E47" s="274" t="str">
        <f>IF(Lists!$AK$11=Lists!$B$3,"Yes","No")</f>
        <v>No</v>
      </c>
      <c r="F47" s="182"/>
      <c r="G47" s="286" t="str">
        <f>H38</f>
        <v>Select Year ↓</v>
      </c>
      <c r="H47" s="87">
        <f>IFERROR(($J$22+($J$22*$H$39*($H$38-1))-($J$35+($J$35*$H$40*($H$38-1))))-$E$31,0)</f>
        <v>0</v>
      </c>
      <c r="I47" s="287" t="str">
        <f>O44</f>
        <v>Net Proceeds ROI</v>
      </c>
      <c r="J47" s="89">
        <f>O48</f>
        <v>0</v>
      </c>
      <c r="K47" s="288"/>
      <c r="M47" s="285" t="s">
        <v>30</v>
      </c>
      <c r="N47" s="281">
        <f>$J$43</f>
        <v>0</v>
      </c>
      <c r="O47" s="282" t="s">
        <v>167</v>
      </c>
      <c r="P47" s="282">
        <f>N47</f>
        <v>0</v>
      </c>
      <c r="Q47" s="282">
        <f>N47</f>
        <v>0</v>
      </c>
    </row>
    <row r="48" spans="1:17" ht="20" customHeight="1">
      <c r="A48" s="182"/>
      <c r="B48" s="264" t="s">
        <v>38</v>
      </c>
      <c r="C48" s="265"/>
      <c r="D48" s="266"/>
      <c r="E48" s="274" t="str">
        <f>IF(Lists!$AK$13=Lists!$B$3,"Yes","No")</f>
        <v>No</v>
      </c>
      <c r="F48" s="182"/>
      <c r="G48" s="287" t="str">
        <f>G47</f>
        <v>Select Year ↓</v>
      </c>
      <c r="H48" s="89">
        <f>IFERROR($H$47/$E$22,0)</f>
        <v>0</v>
      </c>
      <c r="I48" s="287" t="str">
        <f>Q44</f>
        <v>Leveraged ROI</v>
      </c>
      <c r="J48" s="89">
        <f>Q48</f>
        <v>0</v>
      </c>
      <c r="K48" s="280"/>
      <c r="M48" s="276"/>
      <c r="N48" s="289" t="s">
        <v>207</v>
      </c>
      <c r="O48" s="290">
        <f>IFERROR((O46/O45),0)</f>
        <v>0</v>
      </c>
      <c r="P48" s="290">
        <f>IFERROR(((P47-P45)/P45),0)</f>
        <v>0</v>
      </c>
      <c r="Q48" s="290">
        <f>IFERROR(((Q47+Q46-Q45)/Q45),0)</f>
        <v>0</v>
      </c>
    </row>
    <row r="49" spans="1:13" ht="20" customHeight="1">
      <c r="A49" s="182"/>
      <c r="F49" s="182"/>
      <c r="H49" s="183"/>
      <c r="L49" s="234"/>
      <c r="M49" s="291"/>
    </row>
    <row r="50" spans="1:13" ht="20" customHeight="1">
      <c r="A50" s="182"/>
      <c r="F50" s="182"/>
      <c r="H50" s="183"/>
      <c r="I50" s="234"/>
      <c r="L50" s="234"/>
      <c r="M50" s="292"/>
    </row>
    <row r="51" spans="1:13" ht="20" customHeight="1">
      <c r="A51" s="182"/>
      <c r="F51" s="182"/>
      <c r="H51" s="183"/>
      <c r="I51" s="234"/>
      <c r="L51" s="234"/>
      <c r="M51" s="292"/>
    </row>
    <row r="52" spans="1:13" ht="20" customHeight="1">
      <c r="A52" s="182"/>
      <c r="B52" s="296" t="s">
        <v>233</v>
      </c>
      <c r="C52" s="296"/>
      <c r="D52" s="296"/>
      <c r="E52" s="296"/>
      <c r="F52" s="296"/>
      <c r="G52" s="296"/>
      <c r="H52" s="296"/>
      <c r="I52" s="296"/>
      <c r="J52" s="296"/>
      <c r="K52" s="182"/>
      <c r="L52" s="185"/>
      <c r="M52" s="293"/>
    </row>
    <row r="53" spans="1:13" ht="16" customHeight="1">
      <c r="B53" s="296"/>
      <c r="C53" s="296"/>
      <c r="D53" s="296"/>
      <c r="E53" s="296"/>
      <c r="F53" s="296"/>
      <c r="G53" s="296"/>
      <c r="H53" s="296"/>
      <c r="I53" s="296"/>
      <c r="J53" s="296"/>
      <c r="M53" s="276"/>
    </row>
    <row r="54" spans="1:13" ht="16" customHeight="1">
      <c r="B54" s="296"/>
      <c r="C54" s="296"/>
      <c r="D54" s="296"/>
      <c r="E54" s="296"/>
      <c r="F54" s="296"/>
      <c r="G54" s="296"/>
      <c r="H54" s="296"/>
      <c r="I54" s="296"/>
      <c r="J54" s="296"/>
      <c r="M54" s="276"/>
    </row>
    <row r="55" spans="1:13" ht="16" customHeight="1">
      <c r="B55" s="296"/>
      <c r="C55" s="296"/>
      <c r="D55" s="296"/>
      <c r="E55" s="296"/>
      <c r="F55" s="296"/>
      <c r="G55" s="296"/>
      <c r="H55" s="296"/>
      <c r="I55" s="296"/>
      <c r="J55" s="296"/>
      <c r="M55" s="276"/>
    </row>
    <row r="56" spans="1:13" ht="16" customHeight="1">
      <c r="M56" s="276"/>
    </row>
    <row r="60" spans="1:13" ht="16" customHeight="1">
      <c r="G60" s="294"/>
      <c r="H60" s="295"/>
    </row>
  </sheetData>
  <sheetProtection algorithmName="SHA-512" hashValue="Lv5mam0iy16u2AM7kDfw9jGYLdSRQXtyKYeItuMeagfQci6JGsBjLJVMGYrOGK7phex+VuZyVY/MCtWFZPD3xw==" saltValue="jnQj2Z8IJBXWd5HKVcARpQ==" spinCount="100000" sheet="1" formatColumns="0" selectLockedCells="1"/>
  <mergeCells count="10">
    <mergeCell ref="B52:J55"/>
    <mergeCell ref="M5:P6"/>
    <mergeCell ref="G42:J42"/>
    <mergeCell ref="B17:E17"/>
    <mergeCell ref="B24:E24"/>
    <mergeCell ref="B9:E9"/>
    <mergeCell ref="B37:E37"/>
    <mergeCell ref="B42:E42"/>
    <mergeCell ref="G37:J37"/>
    <mergeCell ref="G9:J9"/>
  </mergeCells>
  <conditionalFormatting sqref="E28">
    <cfRule type="cellIs" dxfId="20" priority="13" stopIfTrue="1" operator="greaterThan">
      <formula>0</formula>
    </cfRule>
    <cfRule type="cellIs" dxfId="19" priority="14" operator="equal">
      <formula>0</formula>
    </cfRule>
  </conditionalFormatting>
  <conditionalFormatting sqref="E43:E48">
    <cfRule type="containsText" dxfId="18" priority="15" operator="containsText" text="No">
      <formula>NOT(ISERROR(SEARCH("No",E43)))</formula>
    </cfRule>
    <cfRule type="containsText" dxfId="17" priority="16" operator="containsText" text="Yes">
      <formula>NOT(ISERROR(SEARCH("Yes",E43)))</formula>
    </cfRule>
  </conditionalFormatting>
  <conditionalFormatting sqref="H35">
    <cfRule type="cellIs" dxfId="16" priority="10" operator="lessThan">
      <formula>0.36</formula>
    </cfRule>
    <cfRule type="cellIs" dxfId="15" priority="11" stopIfTrue="1" operator="between">
      <formula>0.36</formula>
      <formula>0.5</formula>
    </cfRule>
    <cfRule type="cellIs" dxfId="14" priority="12" operator="greaterThan">
      <formula>0.5</formula>
    </cfRule>
  </conditionalFormatting>
  <conditionalFormatting sqref="H45 H48">
    <cfRule type="cellIs" dxfId="13" priority="8" operator="lessThan">
      <formula>0</formula>
    </cfRule>
  </conditionalFormatting>
  <conditionalFormatting sqref="J47:J48">
    <cfRule type="cellIs" dxfId="12" priority="1" operator="lessThan">
      <formula>0</formula>
    </cfRule>
  </conditionalFormatting>
  <dataValidations count="2">
    <dataValidation showDropDown="1" showInputMessage="1" showErrorMessage="1" sqref="E27 G17:G22 G24 I19:I20 I34 D19:D20 H39:H40" xr:uid="{5C2E608B-A2D6-BC4F-83F9-53CE9295BCEF}"/>
    <dataValidation type="list" allowBlank="1" showInputMessage="1" showErrorMessage="1" sqref="G16" xr:uid="{E6DCD7C7-528E-1F4A-B227-07810B158277}">
      <formula1>#REF!</formula1>
    </dataValidation>
  </dataValidations>
  <hyperlinks>
    <hyperlink ref="B4" r:id="rId1" xr:uid="{6320D49D-6B60-ED4A-AF36-349C3E01C2BA}"/>
  </hyperlinks>
  <printOptions horizontalCentered="1" verticalCentered="1"/>
  <pageMargins left="0" right="0" top="0.75" bottom="0.75" header="0.3" footer="0.3"/>
  <pageSetup scale="67" orientation="portrait"/>
  <headerFooter alignWithMargins="0">
    <oddHeader xml:space="preserve">&amp;L&amp;K000000
&amp;C&amp;K000000
&amp;R&amp;K000000
</oddHeader>
  </headerFooter>
  <ignoredErrors>
    <ignoredError sqref="I27:I33"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E0FF297-A9A2-D441-BD7F-A5E645B9E5AF}">
          <x14:formula1>
            <xm:f>Lists!$W$3:$W$19</xm:f>
          </x14:formula1>
          <xm:sqref>H38</xm:sqref>
        </x14:dataValidation>
        <x14:dataValidation type="list" allowBlank="1" showInputMessage="1" showErrorMessage="1" xr:uid="{4794FA00-423C-D94E-BEF9-D3EC64BFA8BE}">
          <x14:formula1>
            <xm:f>Lists!$K$3:$K$8</xm:f>
          </x14:formula1>
          <xm:sqref>B5:B7</xm:sqref>
        </x14:dataValidation>
        <x14:dataValidation type="list" allowBlank="1" showInputMessage="1" showErrorMessage="1" xr:uid="{010BBBC8-EE05-2047-8938-0CAC9106BAD6}">
          <x14:formula1>
            <xm:f>Lists!$Q$3:$Q$12</xm:f>
          </x14:formula1>
          <xm:sqref>E29</xm:sqref>
        </x14:dataValidation>
        <x14:dataValidation type="list" allowBlank="1" showInputMessage="1" showErrorMessage="1" xr:uid="{DC72BB22-411E-8C44-9799-107FCD819300}">
          <x14:formula1>
            <xm:f>Lists!$H$3:$H$6</xm:f>
          </x14:formula1>
          <xm:sqref>E30</xm:sqref>
        </x14:dataValidation>
        <x14:dataValidation type="list" allowBlank="1" showInputMessage="1" showErrorMessage="1" xr:uid="{95BCBB5C-1E7E-7A41-B698-DE0A61676A04}">
          <x14:formula1>
            <xm:f>Lists!$B$3:$B$4</xm:f>
          </x14:formula1>
          <xm:sqref>E38:E39</xm:sqref>
        </x14:dataValidation>
        <x14:dataValidation type="list" allowBlank="1" showInputMessage="1" showErrorMessage="1" xr:uid="{A1942F15-83B1-A648-AD50-1F30D8CE8FBA}">
          <x14:formula1>
            <xm:f>Lists!$D$3:$D$5</xm:f>
          </x14:formula1>
          <xm:sqref>E40 E42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03A26-67EA-E143-82E7-D2232B778751}">
  <sheetPr codeName="Sheet5">
    <tabColor rgb="FF302F2F"/>
  </sheetPr>
  <dimension ref="B4:H31"/>
  <sheetViews>
    <sheetView workbookViewId="0">
      <pane ySplit="5" topLeftCell="A7" activePane="bottomLeft" state="frozenSplit"/>
      <selection pane="bottomLeft" activeCell="A7" sqref="A7"/>
    </sheetView>
  </sheetViews>
  <sheetFormatPr baseColWidth="10" defaultColWidth="18.33203125" defaultRowHeight="14"/>
  <cols>
    <col min="1" max="16384" width="18.33203125" style="40"/>
  </cols>
  <sheetData>
    <row r="4" spans="2:8">
      <c r="E4" s="41"/>
    </row>
    <row r="5" spans="2:8">
      <c r="E5" s="41"/>
    </row>
    <row r="6" spans="2:8">
      <c r="E6" s="41"/>
      <c r="F6" s="42"/>
    </row>
    <row r="7" spans="2:8" ht="16">
      <c r="B7" s="83" t="s">
        <v>224</v>
      </c>
      <c r="C7"/>
      <c r="D7"/>
      <c r="E7" s="41"/>
      <c r="F7" s="43"/>
      <c r="G7" s="44"/>
      <c r="H7" s="44"/>
    </row>
    <row r="8" spans="2:8" ht="18">
      <c r="B8" s="80" t="s">
        <v>216</v>
      </c>
      <c r="C8"/>
      <c r="D8"/>
      <c r="E8" s="41"/>
      <c r="F8" s="43"/>
      <c r="G8" s="44"/>
      <c r="H8" s="44"/>
    </row>
    <row r="9" spans="2:8" ht="18">
      <c r="B9" s="81" t="s">
        <v>217</v>
      </c>
      <c r="C9"/>
      <c r="D9"/>
      <c r="E9" s="41"/>
      <c r="F9" s="43"/>
      <c r="G9" s="44"/>
      <c r="H9" s="44"/>
    </row>
    <row r="10" spans="2:8" ht="16">
      <c r="B10" s="82"/>
      <c r="C10" s="82" t="s">
        <v>225</v>
      </c>
      <c r="D10" s="82" t="s">
        <v>226</v>
      </c>
      <c r="E10" s="41"/>
      <c r="F10" s="43"/>
      <c r="G10" s="44"/>
      <c r="H10" s="44"/>
    </row>
    <row r="11" spans="2:8" ht="16">
      <c r="B11" s="83" t="s">
        <v>218</v>
      </c>
      <c r="C11" s="85">
        <v>4.3619999999999999E-2</v>
      </c>
      <c r="D11" s="84">
        <v>-7.0999999999999994E-2</v>
      </c>
      <c r="E11" s="41"/>
      <c r="F11" s="43"/>
      <c r="G11" s="44"/>
      <c r="H11" s="44"/>
    </row>
    <row r="12" spans="2:8" ht="16">
      <c r="B12" s="83" t="s">
        <v>219</v>
      </c>
      <c r="C12" s="85">
        <v>4.1750000000000002E-2</v>
      </c>
      <c r="D12" s="84">
        <v>-8.8999999999999996E-2</v>
      </c>
      <c r="E12" s="45"/>
      <c r="F12" s="43"/>
      <c r="G12" s="44"/>
      <c r="H12" s="44"/>
    </row>
    <row r="13" spans="2:8" ht="16">
      <c r="B13" s="83" t="s">
        <v>220</v>
      </c>
      <c r="C13" s="85">
        <v>4.0989999999999999E-2</v>
      </c>
      <c r="D13" s="84">
        <v>-8.2000000000000003E-2</v>
      </c>
      <c r="E13" s="41"/>
      <c r="F13" s="43"/>
      <c r="G13" s="44"/>
      <c r="H13" s="44"/>
    </row>
    <row r="14" spans="2:8" ht="16">
      <c r="B14" s="83" t="s">
        <v>221</v>
      </c>
      <c r="C14" s="85">
        <v>4.0599999999999997E-2</v>
      </c>
      <c r="D14" s="84">
        <v>-8.7999999999999995E-2</v>
      </c>
      <c r="E14" s="45"/>
      <c r="F14" s="43"/>
      <c r="G14" s="44"/>
      <c r="H14" s="44"/>
    </row>
    <row r="15" spans="2:8" ht="16">
      <c r="B15" s="83" t="s">
        <v>222</v>
      </c>
      <c r="C15" s="85">
        <v>4.0989999999999999E-2</v>
      </c>
      <c r="D15" s="84">
        <v>-8.8999999999999996E-2</v>
      </c>
      <c r="E15" s="41"/>
      <c r="F15" s="42"/>
      <c r="G15" s="44"/>
      <c r="H15" s="44"/>
    </row>
    <row r="16" spans="2:8" ht="16">
      <c r="B16" s="83" t="s">
        <v>223</v>
      </c>
      <c r="C16" s="85">
        <v>4.1590000000000002E-2</v>
      </c>
      <c r="D16" s="84">
        <v>-7.8E-2</v>
      </c>
      <c r="E16" s="45"/>
      <c r="F16" s="43"/>
      <c r="G16" s="44"/>
      <c r="H16" s="44"/>
    </row>
    <row r="17" spans="2:8" ht="16">
      <c r="B17" s="83" t="s">
        <v>227</v>
      </c>
      <c r="C17" s="85">
        <v>4.2840000000000003E-2</v>
      </c>
      <c r="D17" s="84">
        <v>-0.05</v>
      </c>
      <c r="E17" s="41"/>
      <c r="F17" s="43"/>
      <c r="G17" s="44"/>
      <c r="H17" s="44"/>
    </row>
    <row r="18" spans="2:8">
      <c r="B18" s="43"/>
      <c r="C18" s="43"/>
      <c r="E18" s="45"/>
      <c r="F18" s="42"/>
      <c r="G18" s="44"/>
      <c r="H18" s="44"/>
    </row>
    <row r="19" spans="2:8">
      <c r="B19" s="43"/>
      <c r="C19" s="43"/>
      <c r="E19" s="45"/>
      <c r="F19" s="43"/>
      <c r="G19" s="44"/>
      <c r="H19" s="44"/>
    </row>
    <row r="20" spans="2:8">
      <c r="B20" s="43"/>
      <c r="C20" s="43"/>
      <c r="E20" s="45"/>
      <c r="F20" s="43"/>
      <c r="G20" s="44"/>
      <c r="H20" s="46"/>
    </row>
    <row r="21" spans="2:8">
      <c r="B21" s="43"/>
      <c r="C21" s="43"/>
      <c r="E21" s="45"/>
      <c r="F21" s="43"/>
      <c r="G21" s="44"/>
      <c r="H21" s="44"/>
    </row>
    <row r="22" spans="2:8">
      <c r="B22" s="43"/>
      <c r="C22" s="43"/>
      <c r="E22" s="41"/>
      <c r="F22" s="43"/>
      <c r="G22" s="44"/>
      <c r="H22" s="44"/>
    </row>
    <row r="23" spans="2:8">
      <c r="B23" s="43"/>
      <c r="C23" s="43"/>
      <c r="E23" s="41"/>
      <c r="F23" s="43"/>
      <c r="G23" s="44"/>
      <c r="H23" s="44"/>
    </row>
    <row r="24" spans="2:8">
      <c r="B24" s="43"/>
      <c r="C24" s="43"/>
      <c r="E24" s="41"/>
      <c r="F24" s="43"/>
      <c r="G24" s="44"/>
      <c r="H24" s="44"/>
    </row>
    <row r="25" spans="2:8">
      <c r="B25" s="43"/>
      <c r="C25" s="43"/>
      <c r="E25" s="45"/>
      <c r="F25" s="43"/>
    </row>
    <row r="26" spans="2:8">
      <c r="B26" s="43"/>
      <c r="C26" s="43"/>
      <c r="E26" s="41"/>
      <c r="F26" s="42"/>
      <c r="G26" s="44"/>
      <c r="H26" s="44"/>
    </row>
    <row r="27" spans="2:8">
      <c r="B27" s="43"/>
      <c r="C27" s="47"/>
      <c r="D27" s="48"/>
      <c r="E27" s="41"/>
      <c r="F27" s="49"/>
      <c r="H27" s="44"/>
    </row>
    <row r="28" spans="2:8">
      <c r="B28" s="43"/>
      <c r="C28" s="43"/>
      <c r="E28" s="45"/>
      <c r="F28" s="43"/>
      <c r="G28" s="44"/>
      <c r="H28" s="44"/>
    </row>
    <row r="29" spans="2:8">
      <c r="F29" s="50"/>
    </row>
    <row r="31" spans="2:8">
      <c r="D31" s="51"/>
    </row>
  </sheetData>
  <hyperlinks>
    <hyperlink ref="B7" r:id="rId1" display="https://www.wsj.com/market-data/quotes/company-list?mod=md_bond_hdr_view_all_companies" xr:uid="{3747C23B-3A82-1B41-9D34-B8A1D4901ACA}"/>
    <hyperlink ref="B11" r:id="rId2" display="https://www.wsj.com/market-data/quotes/bond/BX/TMUBMUSD30Y?mod=md_bond_overview_quote" xr:uid="{2B0B596B-2711-4F4E-85D0-E540CE8A98E8}"/>
    <hyperlink ref="B12" r:id="rId3" display="https://www.wsj.com/market-data/quotes/bond/BX/TMUBMUSD10Y?mod=md_bond_overview_quote" xr:uid="{D2C6AE30-4076-864E-8C79-CC4026ACDD53}"/>
    <hyperlink ref="B13" r:id="rId4" display="https://www.wsj.com/market-data/quotes/bond/BX/TMUBMUSD07Y?mod=md_bond_overview_quote" xr:uid="{BF75A4CE-D26C-6D47-A3A8-386C4EC92821}"/>
    <hyperlink ref="B14" r:id="rId5" display="https://www.wsj.com/market-data/quotes/bond/BX/TMUBMUSD05Y?mod=md_bond_overview_quote" xr:uid="{B86B5302-448A-0F4A-9ECD-53A023629229}"/>
    <hyperlink ref="B15" r:id="rId6" display="https://www.wsj.com/market-data/quotes/bond/BX/TMUBMUSD03Y?mod=md_bond_overview_quote" xr:uid="{F8B90B1C-A700-6941-AB27-B0652D03C30D}"/>
    <hyperlink ref="B16" r:id="rId7" display="https://www.wsj.com/market-data/quotes/bond/BX/TMUBMUSD02Y?mod=md_bond_overview_quote" xr:uid="{60AB68FC-B4E3-AC4C-868F-3A572013AE61}"/>
    <hyperlink ref="B17" r:id="rId8" display="https://www.wsj.com/market-data/quotes/bond/BX/TMUBMUSD01Y?mod=md_bond_overview_quote" xr:uid="{3B4C94B6-984A-6242-B3FC-6FA2EDDB28FD}"/>
  </hyperlinks>
  <pageMargins left="0.7" right="0.7" top="0.75" bottom="0.75" header="0.3" footer="0.3"/>
  <pageSetup orientation="portrait" horizontalDpi="0" verticalDpi="0"/>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7E113-74C1-F64A-89A7-D018ECBF8C63}">
  <sheetPr codeName="Sheet4"/>
  <dimension ref="B2:AL34"/>
  <sheetViews>
    <sheetView workbookViewId="0">
      <selection activeCell="AD6" sqref="AD6"/>
    </sheetView>
  </sheetViews>
  <sheetFormatPr baseColWidth="10" defaultRowHeight="13"/>
  <cols>
    <col min="1" max="5" width="10.83203125" style="13"/>
    <col min="6" max="6" width="12.6640625" style="13" bestFit="1" customWidth="1"/>
    <col min="7" max="11" width="10.83203125" style="13"/>
    <col min="12" max="13" width="14.83203125" style="13" bestFit="1" customWidth="1"/>
    <col min="14" max="19" width="10.83203125" style="13"/>
    <col min="20" max="20" width="12.1640625" style="13" bestFit="1" customWidth="1"/>
    <col min="21" max="25" width="10.83203125" style="13"/>
    <col min="26" max="26" width="16" style="13" customWidth="1"/>
    <col min="27" max="27" width="11.1640625" style="13" customWidth="1"/>
    <col min="28" max="28" width="10.1640625" style="13" customWidth="1"/>
    <col min="29" max="33" width="9.1640625" style="39" customWidth="1"/>
    <col min="34" max="34" width="8.6640625" style="13" customWidth="1"/>
    <col min="35" max="35" width="10.6640625" style="13" customWidth="1"/>
    <col min="36" max="36" width="10.1640625" style="13" customWidth="1"/>
    <col min="37" max="37" width="6.83203125" style="13" customWidth="1"/>
    <col min="38" max="16384" width="10.83203125" style="13"/>
  </cols>
  <sheetData>
    <row r="2" spans="2:38" s="1" customFormat="1">
      <c r="B2" s="52" t="s">
        <v>45</v>
      </c>
      <c r="C2" s="53" t="s">
        <v>60</v>
      </c>
      <c r="D2" s="53" t="s">
        <v>35</v>
      </c>
      <c r="E2" s="52" t="s">
        <v>48</v>
      </c>
      <c r="F2" s="53" t="s">
        <v>66</v>
      </c>
      <c r="G2" s="52" t="s">
        <v>23</v>
      </c>
      <c r="H2" s="52" t="s">
        <v>23</v>
      </c>
      <c r="I2" s="52" t="s">
        <v>47</v>
      </c>
      <c r="J2" s="52" t="s">
        <v>67</v>
      </c>
      <c r="K2" s="52" t="s">
        <v>68</v>
      </c>
      <c r="L2" s="52" t="s">
        <v>50</v>
      </c>
      <c r="M2" s="52" t="s">
        <v>69</v>
      </c>
      <c r="N2" s="52" t="s">
        <v>46</v>
      </c>
      <c r="O2" s="52" t="s">
        <v>70</v>
      </c>
      <c r="P2" s="52" t="s">
        <v>43</v>
      </c>
      <c r="Q2" s="52" t="s">
        <v>43</v>
      </c>
      <c r="R2" s="52" t="s">
        <v>33</v>
      </c>
      <c r="S2" s="52" t="s">
        <v>65</v>
      </c>
      <c r="T2" s="52" t="s">
        <v>71</v>
      </c>
      <c r="U2" s="52" t="s">
        <v>72</v>
      </c>
      <c r="V2" s="52" t="s">
        <v>49</v>
      </c>
      <c r="W2" s="52" t="s">
        <v>44</v>
      </c>
      <c r="X2" s="52" t="s">
        <v>73</v>
      </c>
      <c r="Z2" s="76" t="s">
        <v>40</v>
      </c>
      <c r="AA2" s="76" t="s">
        <v>19</v>
      </c>
      <c r="AB2" s="77" t="s">
        <v>20</v>
      </c>
      <c r="AC2" s="78" t="s">
        <v>21</v>
      </c>
      <c r="AD2" s="78" t="s">
        <v>22</v>
      </c>
      <c r="AE2" s="78" t="s">
        <v>63</v>
      </c>
      <c r="AF2" s="78" t="s">
        <v>64</v>
      </c>
      <c r="AG2" s="78" t="s">
        <v>215</v>
      </c>
      <c r="AH2" s="77" t="s">
        <v>13</v>
      </c>
      <c r="AI2" s="77" t="s">
        <v>34</v>
      </c>
      <c r="AJ2" s="77" t="s">
        <v>35</v>
      </c>
      <c r="AK2" s="77" t="s">
        <v>24</v>
      </c>
    </row>
    <row r="3" spans="2:38" ht="14">
      <c r="B3" s="2" t="s">
        <v>16</v>
      </c>
      <c r="C3" s="3" t="s">
        <v>61</v>
      </c>
      <c r="D3" s="3" t="s">
        <v>59</v>
      </c>
      <c r="E3" s="4">
        <v>0</v>
      </c>
      <c r="F3" s="5" t="s">
        <v>74</v>
      </c>
      <c r="G3" s="5" t="s">
        <v>75</v>
      </c>
      <c r="H3" s="5" t="s">
        <v>75</v>
      </c>
      <c r="I3" s="6">
        <v>0.03</v>
      </c>
      <c r="J3" s="7">
        <v>0</v>
      </c>
      <c r="K3" s="3">
        <v>1</v>
      </c>
      <c r="L3" s="5" t="s">
        <v>76</v>
      </c>
      <c r="M3" s="5" t="s">
        <v>76</v>
      </c>
      <c r="N3" s="7">
        <v>0.01</v>
      </c>
      <c r="O3" s="8" t="s">
        <v>52</v>
      </c>
      <c r="P3" s="5" t="s">
        <v>77</v>
      </c>
      <c r="Q3" s="5" t="s">
        <v>77</v>
      </c>
      <c r="R3" s="9">
        <v>0</v>
      </c>
      <c r="S3" s="10">
        <v>0</v>
      </c>
      <c r="T3" s="11" t="s">
        <v>78</v>
      </c>
      <c r="U3" s="6">
        <v>0.3</v>
      </c>
      <c r="V3" s="7">
        <v>0.01</v>
      </c>
      <c r="W3" s="11" t="s">
        <v>79</v>
      </c>
      <c r="X3" s="12">
        <v>0</v>
      </c>
      <c r="Z3" s="14" t="s">
        <v>36</v>
      </c>
      <c r="AA3" s="15">
        <v>1000000</v>
      </c>
      <c r="AB3" s="16"/>
      <c r="AC3" s="17">
        <v>1</v>
      </c>
      <c r="AD3" s="17">
        <v>10</v>
      </c>
      <c r="AE3" s="17">
        <v>25</v>
      </c>
      <c r="AF3" s="17">
        <v>25</v>
      </c>
      <c r="AG3" s="17"/>
      <c r="AH3" s="14" t="s">
        <v>16</v>
      </c>
      <c r="AI3" s="14"/>
      <c r="AJ3" s="14"/>
      <c r="AK3" s="14" t="str" cm="1">
        <f t="array" ref="AK3">IF(AND(AA4:AJ4="Yes"),"Yes","No")</f>
        <v>No</v>
      </c>
      <c r="AL3" s="18">
        <f>COUNTIF(AA4:AJ4,"Yes")</f>
        <v>6</v>
      </c>
    </row>
    <row r="4" spans="2:38">
      <c r="B4" s="2" t="s">
        <v>15</v>
      </c>
      <c r="C4" s="3" t="s">
        <v>62</v>
      </c>
      <c r="D4" s="3" t="s">
        <v>25</v>
      </c>
      <c r="E4" s="4">
        <v>200</v>
      </c>
      <c r="F4" s="19"/>
      <c r="G4" s="20" t="s">
        <v>215</v>
      </c>
      <c r="H4" s="20" t="s">
        <v>215</v>
      </c>
      <c r="I4" s="6">
        <v>0.04</v>
      </c>
      <c r="J4" s="7">
        <v>0.01</v>
      </c>
      <c r="K4" s="3">
        <v>2</v>
      </c>
      <c r="L4" s="21"/>
      <c r="M4" s="22"/>
      <c r="N4" s="7">
        <v>0.02</v>
      </c>
      <c r="O4" s="8" t="s">
        <v>80</v>
      </c>
      <c r="P4" s="23"/>
      <c r="Q4" s="23"/>
      <c r="R4" s="9">
        <v>0.01</v>
      </c>
      <c r="S4" s="10">
        <f>S3+10%</f>
        <v>0.1</v>
      </c>
      <c r="T4" s="24"/>
      <c r="U4" s="6">
        <f>U3+5%</f>
        <v>0.35</v>
      </c>
      <c r="V4" s="7">
        <f>V3+1%</f>
        <v>0.02</v>
      </c>
      <c r="W4" s="24"/>
      <c r="X4" s="12">
        <v>50</v>
      </c>
      <c r="Z4" s="25" t="s">
        <v>39</v>
      </c>
      <c r="AA4" s="25" t="str">
        <f>IF(Calculator!$E$25&gt;=AA3,"Yes","No")</f>
        <v>No</v>
      </c>
      <c r="AB4" s="25" t="str">
        <f>IF(AB3=0,"Yes")</f>
        <v>Yes</v>
      </c>
      <c r="AC4" s="26" t="str">
        <f>IF(Calculator!$E$29&gt;=AC3,"Yes","No")</f>
        <v>Yes</v>
      </c>
      <c r="AD4" s="26" t="str">
        <f>IF(Calculator!$E$29&lt;=AD3,"Yes","No")</f>
        <v>No</v>
      </c>
      <c r="AE4" s="26" t="str">
        <f>IF(Calculator!$E$30=AE3,"Yes",IF(Calculator!$E$30=Lists!AF3,"Yes","No"))</f>
        <v>No</v>
      </c>
      <c r="AF4" s="26" t="str">
        <f>AE4</f>
        <v>No</v>
      </c>
      <c r="AG4" s="26" t="s">
        <v>16</v>
      </c>
      <c r="AH4" s="25" t="str">
        <f>IF(Calculator!$E$39=AH3,"Yes","No")</f>
        <v>Yes</v>
      </c>
      <c r="AI4" s="25" t="str">
        <f>IF(AI3=0,"Yes")</f>
        <v>Yes</v>
      </c>
      <c r="AJ4" s="25" t="str">
        <f>IF(Calculator!$E$40=$D$3,"Yes",IF(Calculator!$E$40=$D$4,"Yes",IF(Calculator!$E$40=Lists!$D$5,"Yes")))</f>
        <v>Yes</v>
      </c>
      <c r="AK4" s="27"/>
      <c r="AL4" s="18"/>
    </row>
    <row r="5" spans="2:38" s="18" customFormat="1">
      <c r="B5" s="28"/>
      <c r="C5" s="28"/>
      <c r="D5" s="3" t="s">
        <v>27</v>
      </c>
      <c r="E5" s="4">
        <v>250</v>
      </c>
      <c r="F5" s="2" t="s">
        <v>16</v>
      </c>
      <c r="G5" s="20">
        <v>300</v>
      </c>
      <c r="H5" s="20">
        <v>25</v>
      </c>
      <c r="I5" s="6">
        <v>0.05</v>
      </c>
      <c r="J5" s="7">
        <v>0.02</v>
      </c>
      <c r="K5" s="3">
        <v>3</v>
      </c>
      <c r="L5" s="21" t="s">
        <v>52</v>
      </c>
      <c r="M5" s="22" t="s">
        <v>80</v>
      </c>
      <c r="N5" s="7">
        <v>0.03</v>
      </c>
      <c r="O5" s="8" t="s">
        <v>51</v>
      </c>
      <c r="P5" s="23">
        <v>12</v>
      </c>
      <c r="Q5" s="23">
        <v>1</v>
      </c>
      <c r="R5" s="9">
        <v>1.4999999999999999E-2</v>
      </c>
      <c r="S5" s="10">
        <v>0.15</v>
      </c>
      <c r="T5" s="24">
        <v>1</v>
      </c>
      <c r="U5" s="6">
        <f t="shared" ref="U5:U17" si="0">U4+5%</f>
        <v>0.39999999999999997</v>
      </c>
      <c r="V5" s="7">
        <f t="shared" ref="V5:V17" si="1">V4+1%</f>
        <v>0.03</v>
      </c>
      <c r="W5" s="24">
        <v>1</v>
      </c>
      <c r="X5" s="12">
        <f>+X4+5</f>
        <v>55</v>
      </c>
      <c r="Z5" s="14" t="s">
        <v>81</v>
      </c>
      <c r="AA5" s="15">
        <v>1000000</v>
      </c>
      <c r="AB5" s="16"/>
      <c r="AC5" s="17">
        <v>1</v>
      </c>
      <c r="AD5" s="17">
        <v>7</v>
      </c>
      <c r="AE5" s="17">
        <v>25</v>
      </c>
      <c r="AF5" s="17">
        <v>30</v>
      </c>
      <c r="AG5" s="17" t="str">
        <f>AG2</f>
        <v>IO</v>
      </c>
      <c r="AH5" s="14"/>
      <c r="AI5" s="14"/>
      <c r="AJ5" s="14"/>
      <c r="AK5" s="14" t="str" cm="1">
        <f t="array" ref="AK5">IF(AND(AA6:AJ6="Yes"),"Yes","No")</f>
        <v>No</v>
      </c>
      <c r="AL5" s="18">
        <f>COUNTIF(AA8:AJ8,"Yes")</f>
        <v>5</v>
      </c>
    </row>
    <row r="6" spans="2:38">
      <c r="B6" s="29"/>
      <c r="C6" s="29"/>
      <c r="E6" s="4">
        <v>300</v>
      </c>
      <c r="F6" s="2" t="s">
        <v>15</v>
      </c>
      <c r="G6" s="20">
        <v>360</v>
      </c>
      <c r="H6" s="20">
        <v>30</v>
      </c>
      <c r="I6" s="6">
        <v>0.06</v>
      </c>
      <c r="J6" s="7">
        <v>0.03</v>
      </c>
      <c r="K6" s="3">
        <v>5</v>
      </c>
      <c r="L6" s="21" t="s">
        <v>82</v>
      </c>
      <c r="M6" s="22" t="s">
        <v>83</v>
      </c>
      <c r="N6" s="7">
        <v>0.04</v>
      </c>
      <c r="O6" s="8" t="s">
        <v>84</v>
      </c>
      <c r="P6" s="23">
        <v>24</v>
      </c>
      <c r="Q6" s="23">
        <v>2</v>
      </c>
      <c r="R6" s="9">
        <v>0.02</v>
      </c>
      <c r="S6" s="10">
        <v>0.2</v>
      </c>
      <c r="T6" s="24">
        <v>2</v>
      </c>
      <c r="U6" s="6">
        <f t="shared" si="0"/>
        <v>0.44999999999999996</v>
      </c>
      <c r="V6" s="7">
        <f t="shared" si="1"/>
        <v>0.04</v>
      </c>
      <c r="W6" s="24">
        <v>2</v>
      </c>
      <c r="X6" s="12">
        <f t="shared" ref="X6:X34" si="2">+X5+5</f>
        <v>60</v>
      </c>
      <c r="Z6" s="25" t="s">
        <v>39</v>
      </c>
      <c r="AA6" s="25" t="str">
        <f>IF(Calculator!$E$25&gt;=AA5,"Yes","No")</f>
        <v>No</v>
      </c>
      <c r="AB6" s="25" t="str">
        <f>IF(AB5=0,"Yes")</f>
        <v>Yes</v>
      </c>
      <c r="AC6" s="26" t="str">
        <f>IF(Calculator!$E$29&gt;=AC5,"Yes","No")</f>
        <v>Yes</v>
      </c>
      <c r="AD6" s="26" t="str">
        <f>IF(Calculator!$E$29&lt;=AD5,"Yes","No")</f>
        <v>No</v>
      </c>
      <c r="AE6" s="26" t="b">
        <f>IF(Calculator!$E$30=AE5,"Yes",IF(Calculator!$E$30=Lists!AF5,"Yes",IF(Calculator!$E$30=AG5,"Yes")))</f>
        <v>0</v>
      </c>
      <c r="AF6" s="26" t="b">
        <f>AE6</f>
        <v>0</v>
      </c>
      <c r="AG6" s="26" t="b">
        <f>AF6</f>
        <v>0</v>
      </c>
      <c r="AH6" s="25" t="str">
        <f>IF(AH5=0,"Yes")</f>
        <v>Yes</v>
      </c>
      <c r="AI6" s="25" t="str">
        <f>IF(AI5=0,"Yes")</f>
        <v>Yes</v>
      </c>
      <c r="AJ6" s="25" t="str">
        <f>IF(Calculator!$E$40=$D$3,"Yes",IF(Calculator!$E$40=$D$4,"Yes",IF(Calculator!$E$40=Lists!$D$5,"Yes")))</f>
        <v>Yes</v>
      </c>
      <c r="AK6" s="27"/>
      <c r="AL6" s="18"/>
    </row>
    <row r="7" spans="2:38" s="18" customFormat="1">
      <c r="B7" s="28"/>
      <c r="C7" s="28"/>
      <c r="E7" s="28"/>
      <c r="I7" s="6">
        <v>7.0000000000000007E-2</v>
      </c>
      <c r="J7" s="7">
        <v>0.04</v>
      </c>
      <c r="K7" s="3">
        <v>7</v>
      </c>
      <c r="L7" s="30" t="s">
        <v>85</v>
      </c>
      <c r="M7" s="31" t="s">
        <v>86</v>
      </c>
      <c r="N7" s="7">
        <v>0.05</v>
      </c>
      <c r="O7" s="32" t="s">
        <v>53</v>
      </c>
      <c r="P7" s="20">
        <v>36</v>
      </c>
      <c r="Q7" s="20">
        <v>3</v>
      </c>
      <c r="R7" s="9">
        <v>2.5000000000000001E-2</v>
      </c>
      <c r="S7" s="10">
        <v>0.25</v>
      </c>
      <c r="T7" s="24">
        <v>3</v>
      </c>
      <c r="U7" s="6">
        <f t="shared" si="0"/>
        <v>0.49999999999999994</v>
      </c>
      <c r="V7" s="7">
        <f t="shared" si="1"/>
        <v>0.05</v>
      </c>
      <c r="W7" s="24">
        <v>3</v>
      </c>
      <c r="X7" s="12">
        <f t="shared" si="2"/>
        <v>65</v>
      </c>
      <c r="Z7" s="14" t="s">
        <v>18</v>
      </c>
      <c r="AA7" s="15">
        <v>2000000</v>
      </c>
      <c r="AB7" s="16"/>
      <c r="AC7" s="17">
        <v>5</v>
      </c>
      <c r="AD7" s="17">
        <v>10</v>
      </c>
      <c r="AE7" s="17">
        <v>25</v>
      </c>
      <c r="AF7" s="17">
        <v>30</v>
      </c>
      <c r="AG7" s="17" t="str">
        <f>AG2</f>
        <v>IO</v>
      </c>
      <c r="AH7" s="14"/>
      <c r="AI7" s="14"/>
      <c r="AJ7" s="14"/>
      <c r="AK7" s="14" t="str" cm="1">
        <f t="array" ref="AK7">IF(AND(AA8:AJ8="Yes"),"Yes","No")</f>
        <v>No</v>
      </c>
      <c r="AL7" s="18">
        <f>COUNTIF(AA10:AJ10,"Yes")</f>
        <v>5</v>
      </c>
    </row>
    <row r="8" spans="2:38">
      <c r="B8" s="29"/>
      <c r="C8" s="29"/>
      <c r="J8" s="7">
        <v>0.05</v>
      </c>
      <c r="K8" s="3">
        <v>10</v>
      </c>
      <c r="L8" s="33" t="s">
        <v>87</v>
      </c>
      <c r="M8" s="34" t="s">
        <v>88</v>
      </c>
      <c r="N8" s="7">
        <v>0.06</v>
      </c>
      <c r="O8" s="32" t="s">
        <v>89</v>
      </c>
      <c r="P8" s="20">
        <v>60</v>
      </c>
      <c r="Q8" s="20">
        <v>5</v>
      </c>
      <c r="R8" s="9">
        <v>0.03</v>
      </c>
      <c r="S8" s="10">
        <v>0.3</v>
      </c>
      <c r="T8" s="24">
        <v>4</v>
      </c>
      <c r="U8" s="6">
        <f t="shared" si="0"/>
        <v>0.54999999999999993</v>
      </c>
      <c r="V8" s="7">
        <f t="shared" si="1"/>
        <v>6.0000000000000005E-2</v>
      </c>
      <c r="W8" s="24">
        <v>4</v>
      </c>
      <c r="X8" s="12">
        <f t="shared" si="2"/>
        <v>70</v>
      </c>
      <c r="Z8" s="25" t="s">
        <v>39</v>
      </c>
      <c r="AA8" s="25" t="str">
        <f>IF(Calculator!$E$25&gt;=AA7,"Yes","No")</f>
        <v>No</v>
      </c>
      <c r="AB8" s="25" t="str">
        <f>IF(AB7=0,"Yes")</f>
        <v>Yes</v>
      </c>
      <c r="AC8" s="26" t="str">
        <f>IF(Calculator!$E$29&gt;=AC7,"Yes","No")</f>
        <v>Yes</v>
      </c>
      <c r="AD8" s="26" t="str">
        <f>IF(Calculator!$E$29&lt;=AD7,"Yes","No")</f>
        <v>No</v>
      </c>
      <c r="AE8" s="26" t="b">
        <f>IF(Calculator!$E$30=AE7,"Yes",IF(Calculator!$E$30=Lists!AF7,"Yes",IF(Calculator!$E$30=AG7,"Yes")))</f>
        <v>0</v>
      </c>
      <c r="AF8" s="26" t="b">
        <f>AE8</f>
        <v>0</v>
      </c>
      <c r="AG8" s="26" t="b">
        <f>AF8</f>
        <v>0</v>
      </c>
      <c r="AH8" s="25" t="str">
        <f>IF(AH7=0,"Yes")</f>
        <v>Yes</v>
      </c>
      <c r="AI8" s="25" t="str">
        <f>IF(AI7=0,"Yes")</f>
        <v>Yes</v>
      </c>
      <c r="AJ8" s="25" t="str">
        <f>IF(Calculator!$E$40=$D$3,"Yes",IF(Calculator!$E$40=$D$4,"Yes",IF(Calculator!$E$40=Lists!$D$5,"Yes")))</f>
        <v>Yes</v>
      </c>
      <c r="AK8" s="27"/>
      <c r="AL8" s="18"/>
    </row>
    <row r="9" spans="2:38" s="18" customFormat="1">
      <c r="B9" s="28"/>
      <c r="C9" s="28"/>
      <c r="L9" s="13"/>
      <c r="M9" s="13"/>
      <c r="N9" s="7">
        <v>7.0000000000000007E-2</v>
      </c>
      <c r="O9" s="35" t="s">
        <v>54</v>
      </c>
      <c r="P9" s="20">
        <v>84</v>
      </c>
      <c r="Q9" s="20">
        <v>7</v>
      </c>
      <c r="R9" s="9">
        <v>3.5000000000000003E-2</v>
      </c>
      <c r="S9" s="10">
        <v>0.35</v>
      </c>
      <c r="T9" s="24">
        <v>5</v>
      </c>
      <c r="U9" s="6">
        <f t="shared" si="0"/>
        <v>0.6</v>
      </c>
      <c r="V9" s="7">
        <f t="shared" si="1"/>
        <v>7.0000000000000007E-2</v>
      </c>
      <c r="W9" s="24">
        <v>5</v>
      </c>
      <c r="X9" s="12">
        <f t="shared" si="2"/>
        <v>75</v>
      </c>
      <c r="Z9" s="14" t="s">
        <v>17</v>
      </c>
      <c r="AA9" s="15">
        <v>1000000</v>
      </c>
      <c r="AB9" s="16">
        <v>9000000</v>
      </c>
      <c r="AC9" s="17">
        <v>7</v>
      </c>
      <c r="AD9" s="17">
        <v>15</v>
      </c>
      <c r="AE9" s="17">
        <v>30</v>
      </c>
      <c r="AF9" s="17">
        <v>30</v>
      </c>
      <c r="AG9" s="17" t="str">
        <f>AG2</f>
        <v>IO</v>
      </c>
      <c r="AH9" s="14"/>
      <c r="AI9" s="14"/>
      <c r="AJ9" s="14"/>
      <c r="AK9" s="14" t="str" cm="1">
        <f t="array" ref="AK9">IF(AND(AA10:AJ10="Yes"),"Yes","No")</f>
        <v>No</v>
      </c>
      <c r="AL9" s="18">
        <f>COUNTIF(AA12:AJ12,"Yes")</f>
        <v>5</v>
      </c>
    </row>
    <row r="10" spans="2:38">
      <c r="B10" s="29"/>
      <c r="C10" s="29"/>
      <c r="O10" s="35" t="s">
        <v>90</v>
      </c>
      <c r="P10" s="20">
        <v>120</v>
      </c>
      <c r="Q10" s="20">
        <v>10</v>
      </c>
      <c r="R10" s="9">
        <v>0.04</v>
      </c>
      <c r="S10" s="10">
        <v>0.4</v>
      </c>
      <c r="T10" s="24">
        <v>6</v>
      </c>
      <c r="U10" s="6">
        <f t="shared" si="0"/>
        <v>0.65</v>
      </c>
      <c r="V10" s="7">
        <f t="shared" si="1"/>
        <v>0.08</v>
      </c>
      <c r="W10" s="24">
        <v>6</v>
      </c>
      <c r="X10" s="12">
        <f t="shared" si="2"/>
        <v>80</v>
      </c>
      <c r="Z10" s="25" t="s">
        <v>39</v>
      </c>
      <c r="AA10" s="25" t="str">
        <f>IF(Calculator!$E$25&gt;=AA9,"Yes","No")</f>
        <v>No</v>
      </c>
      <c r="AB10" s="25" t="str">
        <f>IF(Calculator!$E$25&lt;=AB9,"Yes","No")</f>
        <v>Yes</v>
      </c>
      <c r="AC10" s="26" t="str">
        <f>IF(Calculator!$E$29&gt;=AC9,"Yes","No")</f>
        <v>Yes</v>
      </c>
      <c r="AD10" s="26" t="str">
        <f>IF(Calculator!$E$29&lt;=AD9,"Yes","No")</f>
        <v>No</v>
      </c>
      <c r="AE10" s="26" t="str">
        <f>IF(Calculator!$E$30=AE9,"Yes",IF(Calculator!$E$30=Lists!AF9,"Yes",IF(Calculator!$E$30=AG9,"Yes","No")))</f>
        <v>No</v>
      </c>
      <c r="AF10" s="26" t="str">
        <f>AE10</f>
        <v>No</v>
      </c>
      <c r="AG10" s="26" t="str">
        <f>AF10</f>
        <v>No</v>
      </c>
      <c r="AH10" s="25" t="str">
        <f>IF(AH9=0,"Yes")</f>
        <v>Yes</v>
      </c>
      <c r="AI10" s="25" t="str">
        <f>IF(AI9=0,"Yes")</f>
        <v>Yes</v>
      </c>
      <c r="AJ10" s="25" t="str">
        <f>IF(Calculator!$E$40=$D$3,"Yes",IF(Calculator!$E$40=$D$4,"Yes",IF(Calculator!$E$40=Lists!$D$5,"Yes")))</f>
        <v>Yes</v>
      </c>
      <c r="AK10" s="27"/>
      <c r="AL10" s="18"/>
    </row>
    <row r="11" spans="2:38" s="18" customFormat="1">
      <c r="B11" s="28"/>
      <c r="C11" s="28"/>
      <c r="P11" s="20">
        <v>144</v>
      </c>
      <c r="Q11" s="20">
        <v>12</v>
      </c>
      <c r="R11" s="9">
        <v>4.4999999999999998E-2</v>
      </c>
      <c r="S11" s="10">
        <v>0.45</v>
      </c>
      <c r="T11" s="24">
        <v>7</v>
      </c>
      <c r="U11" s="6">
        <f t="shared" si="0"/>
        <v>0.70000000000000007</v>
      </c>
      <c r="V11" s="7">
        <f t="shared" si="1"/>
        <v>0.09</v>
      </c>
      <c r="W11" s="24">
        <v>7</v>
      </c>
      <c r="X11" s="12">
        <f t="shared" si="2"/>
        <v>85</v>
      </c>
      <c r="Z11" s="14" t="s">
        <v>37</v>
      </c>
      <c r="AA11" s="15">
        <v>1000000</v>
      </c>
      <c r="AB11" s="16">
        <v>7500000</v>
      </c>
      <c r="AC11" s="17">
        <v>7</v>
      </c>
      <c r="AD11" s="17">
        <v>15</v>
      </c>
      <c r="AE11" s="17">
        <v>30</v>
      </c>
      <c r="AF11" s="17">
        <v>30</v>
      </c>
      <c r="AG11" s="17" t="str">
        <f>AG2</f>
        <v>IO</v>
      </c>
      <c r="AH11" s="14"/>
      <c r="AI11" s="14"/>
      <c r="AJ11" s="14"/>
      <c r="AK11" s="14" t="str" cm="1">
        <f t="array" ref="AK11">IF(AND(AA12:AJ12="Yes"),"Yes","No")</f>
        <v>No</v>
      </c>
      <c r="AL11" s="18">
        <f>COUNTIF(AA14:AJ14,"Yes")</f>
        <v>3</v>
      </c>
    </row>
    <row r="12" spans="2:38">
      <c r="B12" s="29"/>
      <c r="C12" s="29"/>
      <c r="P12" s="20">
        <v>188</v>
      </c>
      <c r="Q12" s="20">
        <v>15</v>
      </c>
      <c r="R12" s="9">
        <v>0.05</v>
      </c>
      <c r="S12" s="10">
        <v>0.5</v>
      </c>
      <c r="T12" s="24">
        <v>8</v>
      </c>
      <c r="U12" s="6">
        <f t="shared" si="0"/>
        <v>0.75000000000000011</v>
      </c>
      <c r="V12" s="7">
        <f t="shared" si="1"/>
        <v>9.9999999999999992E-2</v>
      </c>
      <c r="W12" s="36">
        <v>8</v>
      </c>
      <c r="X12" s="12">
        <f t="shared" si="2"/>
        <v>90</v>
      </c>
      <c r="Z12" s="25" t="s">
        <v>39</v>
      </c>
      <c r="AA12" s="25" t="str">
        <f>IF(Calculator!$E$25&gt;=AA11,"Yes","No")</f>
        <v>No</v>
      </c>
      <c r="AB12" s="25" t="str">
        <f>IF(Calculator!$E$25&lt;=AB11,"Yes","No")</f>
        <v>Yes</v>
      </c>
      <c r="AC12" s="26" t="str">
        <f>IF(Calculator!$E$29&gt;=AC11,"Yes","No")</f>
        <v>Yes</v>
      </c>
      <c r="AD12" s="26" t="str">
        <f>IF(Calculator!$E$29&lt;=AD11,"Yes","No")</f>
        <v>No</v>
      </c>
      <c r="AE12" s="26" t="str">
        <f>IF(Calculator!$E$30=AE11,"Yes",IF(Calculator!$E$30=Lists!AF11,"Yes",IF(Calculator!$E$30=AG11,"Yes","No")))</f>
        <v>No</v>
      </c>
      <c r="AF12" s="26" t="str">
        <f>AE12</f>
        <v>No</v>
      </c>
      <c r="AG12" s="26" t="str">
        <f>AF12</f>
        <v>No</v>
      </c>
      <c r="AH12" s="25" t="str">
        <f>IF(AH11=0,"Yes")</f>
        <v>Yes</v>
      </c>
      <c r="AI12" s="25" t="str">
        <f>IF(AI11=0,"Yes")</f>
        <v>Yes</v>
      </c>
      <c r="AJ12" s="25" t="str">
        <f>IF(Calculator!$E$40=$D$3,"Yes",IF(Calculator!$E$40=$D$4,"Yes",IF(Calculator!$E$40=Lists!$D$5,"Yes")))</f>
        <v>Yes</v>
      </c>
      <c r="AK12" s="27"/>
      <c r="AL12" s="18"/>
    </row>
    <row r="13" spans="2:38" s="18" customFormat="1">
      <c r="B13" s="28"/>
      <c r="C13" s="28"/>
      <c r="R13" s="9">
        <v>5.5E-2</v>
      </c>
      <c r="S13" s="10">
        <v>0.55000000000000004</v>
      </c>
      <c r="T13" s="24">
        <v>9</v>
      </c>
      <c r="U13" s="6">
        <f t="shared" si="0"/>
        <v>0.80000000000000016</v>
      </c>
      <c r="V13" s="7">
        <f t="shared" si="1"/>
        <v>0.10999999999999999</v>
      </c>
      <c r="W13" s="37">
        <v>9</v>
      </c>
      <c r="X13" s="12">
        <f t="shared" si="2"/>
        <v>95</v>
      </c>
      <c r="Z13" s="38" t="s">
        <v>38</v>
      </c>
      <c r="AA13" s="15">
        <v>10000000</v>
      </c>
      <c r="AB13" s="16"/>
      <c r="AC13" s="17">
        <v>10</v>
      </c>
      <c r="AD13" s="17">
        <v>15</v>
      </c>
      <c r="AE13" s="17">
        <v>25</v>
      </c>
      <c r="AF13" s="17">
        <v>30</v>
      </c>
      <c r="AG13" s="17" t="str">
        <f>AG2</f>
        <v>IO</v>
      </c>
      <c r="AH13" s="14"/>
      <c r="AI13" s="14" t="s">
        <v>16</v>
      </c>
      <c r="AJ13" s="14"/>
      <c r="AK13" s="14" t="str" cm="1">
        <f t="array" ref="AK13">IF(AND(AA14:AJ14="Yes"),"Yes","No")</f>
        <v>No</v>
      </c>
      <c r="AL13" s="18">
        <f>COUNTIF(AA14:AJ14,"Yes")</f>
        <v>3</v>
      </c>
    </row>
    <row r="14" spans="2:38">
      <c r="B14" s="29"/>
      <c r="C14" s="29"/>
      <c r="S14" s="10">
        <v>0.6</v>
      </c>
      <c r="T14" s="24">
        <v>10</v>
      </c>
      <c r="U14" s="6">
        <f t="shared" si="0"/>
        <v>0.8500000000000002</v>
      </c>
      <c r="V14" s="7">
        <f t="shared" si="1"/>
        <v>0.11999999999999998</v>
      </c>
      <c r="W14" s="37">
        <v>10</v>
      </c>
      <c r="X14" s="12">
        <f t="shared" si="2"/>
        <v>100</v>
      </c>
      <c r="Z14" s="25" t="s">
        <v>39</v>
      </c>
      <c r="AA14" s="25" t="str">
        <f>IF(Calculator!$E$25&gt;=AA13,"Yes","No")</f>
        <v>No</v>
      </c>
      <c r="AB14" s="25" t="str">
        <f>IF(AB13=0,"Yes")</f>
        <v>Yes</v>
      </c>
      <c r="AC14" s="26" t="str">
        <f>IF(Calculator!$E$29&gt;=AC13,"Yes","No")</f>
        <v>Yes</v>
      </c>
      <c r="AD14" s="26" t="str">
        <f>IF(Calculator!$E$29&lt;=AD13,"Yes","No")</f>
        <v>No</v>
      </c>
      <c r="AE14" s="26" t="b">
        <f>IF(Calculator!$E$30=AE13,"Yes",IF(Calculator!$E$30=Lists!AF13,"Yes",IF(Calculator!$E$30=AG13,"Yes")))</f>
        <v>0</v>
      </c>
      <c r="AF14" s="26" t="b">
        <f>AE14</f>
        <v>0</v>
      </c>
      <c r="AG14" s="26" t="b">
        <f>AF14</f>
        <v>0</v>
      </c>
      <c r="AH14" s="25" t="str">
        <f>IF(AH13=0,"Yes")</f>
        <v>Yes</v>
      </c>
      <c r="AI14" s="25" t="str">
        <f>IF(Calculator!$E$38=AI13,"Yes","No")</f>
        <v>No</v>
      </c>
      <c r="AJ14" s="25" t="str">
        <f>IF(Calculator!$E$40=$D$3,"No",IF(Calculator!$E$40=$D$4,"No",IF(Calculator!$E$40=Lists!$D$5,"Yes")))</f>
        <v>No</v>
      </c>
      <c r="AK14" s="27"/>
    </row>
    <row r="15" spans="2:38">
      <c r="B15" s="29"/>
      <c r="C15" s="29"/>
      <c r="U15" s="6">
        <f t="shared" si="0"/>
        <v>0.90000000000000024</v>
      </c>
      <c r="V15" s="7">
        <f t="shared" si="1"/>
        <v>0.12999999999999998</v>
      </c>
      <c r="W15" s="37">
        <v>11</v>
      </c>
      <c r="X15" s="12">
        <f>+X14+5</f>
        <v>105</v>
      </c>
    </row>
    <row r="16" spans="2:38">
      <c r="B16" s="29"/>
      <c r="C16" s="29"/>
      <c r="U16" s="6">
        <f t="shared" si="0"/>
        <v>0.95000000000000029</v>
      </c>
      <c r="V16" s="7">
        <f t="shared" si="1"/>
        <v>0.13999999999999999</v>
      </c>
      <c r="W16" s="37">
        <v>12</v>
      </c>
      <c r="X16" s="12">
        <f t="shared" si="2"/>
        <v>110</v>
      </c>
    </row>
    <row r="17" spans="2:24">
      <c r="B17" s="29"/>
      <c r="C17" s="29"/>
      <c r="U17" s="6">
        <f t="shared" si="0"/>
        <v>1.0000000000000002</v>
      </c>
      <c r="V17" s="7">
        <f t="shared" si="1"/>
        <v>0.15</v>
      </c>
      <c r="W17" s="37">
        <v>13</v>
      </c>
      <c r="X17" s="12">
        <f t="shared" si="2"/>
        <v>115</v>
      </c>
    </row>
    <row r="18" spans="2:24">
      <c r="W18" s="37">
        <v>14</v>
      </c>
      <c r="X18" s="12">
        <f t="shared" si="2"/>
        <v>120</v>
      </c>
    </row>
    <row r="19" spans="2:24">
      <c r="W19" s="37">
        <v>15</v>
      </c>
      <c r="X19" s="12">
        <f t="shared" si="2"/>
        <v>125</v>
      </c>
    </row>
    <row r="20" spans="2:24">
      <c r="X20" s="12">
        <f t="shared" si="2"/>
        <v>130</v>
      </c>
    </row>
    <row r="21" spans="2:24">
      <c r="X21" s="12">
        <f t="shared" si="2"/>
        <v>135</v>
      </c>
    </row>
    <row r="22" spans="2:24">
      <c r="X22" s="12">
        <f t="shared" si="2"/>
        <v>140</v>
      </c>
    </row>
    <row r="23" spans="2:24">
      <c r="X23" s="12">
        <f t="shared" si="2"/>
        <v>145</v>
      </c>
    </row>
    <row r="24" spans="2:24">
      <c r="X24" s="12">
        <f t="shared" si="2"/>
        <v>150</v>
      </c>
    </row>
    <row r="25" spans="2:24">
      <c r="X25" s="12">
        <f t="shared" si="2"/>
        <v>155</v>
      </c>
    </row>
    <row r="26" spans="2:24">
      <c r="X26" s="12">
        <f t="shared" si="2"/>
        <v>160</v>
      </c>
    </row>
    <row r="27" spans="2:24">
      <c r="X27" s="12">
        <f t="shared" si="2"/>
        <v>165</v>
      </c>
    </row>
    <row r="28" spans="2:24">
      <c r="X28" s="12">
        <f t="shared" si="2"/>
        <v>170</v>
      </c>
    </row>
    <row r="29" spans="2:24">
      <c r="X29" s="12">
        <f t="shared" si="2"/>
        <v>175</v>
      </c>
    </row>
    <row r="30" spans="2:24">
      <c r="X30" s="12">
        <f t="shared" si="2"/>
        <v>180</v>
      </c>
    </row>
    <row r="31" spans="2:24">
      <c r="X31" s="12">
        <f t="shared" si="2"/>
        <v>185</v>
      </c>
    </row>
    <row r="32" spans="2:24">
      <c r="X32" s="12">
        <f t="shared" si="2"/>
        <v>190</v>
      </c>
    </row>
    <row r="33" spans="24:24">
      <c r="X33" s="12">
        <f t="shared" si="2"/>
        <v>195</v>
      </c>
    </row>
    <row r="34" spans="24:24">
      <c r="X34" s="12">
        <f t="shared" si="2"/>
        <v>200</v>
      </c>
    </row>
  </sheetData>
  <sheetProtection algorithmName="SHA-512" hashValue="WNSPcLtwiK9bXJRxGnW0uB3bIkIiwMn5T0riXqdmi19owxam2CnNXmX3G2lWt+747AsHGlWQm2TcMzJGhunUiA==" saltValue="reza4ZmbT98unQaN4clU2A==" spinCount="100000" sheet="1" objects="1" scenarios="1" selectLockedCells="1" selectUnlockedCells="1"/>
  <conditionalFormatting sqref="AK3">
    <cfRule type="containsText" dxfId="11" priority="3" operator="containsText" text="No">
      <formula>NOT(ISERROR(SEARCH("No",AK3)))</formula>
    </cfRule>
    <cfRule type="containsText" dxfId="10" priority="4" operator="containsText" text="Yes">
      <formula>NOT(ISERROR(SEARCH("Yes",AK3)))</formula>
    </cfRule>
  </conditionalFormatting>
  <conditionalFormatting sqref="AK5">
    <cfRule type="containsText" dxfId="9" priority="1" operator="containsText" text="No">
      <formula>NOT(ISERROR(SEARCH("No",AK5)))</formula>
    </cfRule>
    <cfRule type="containsText" dxfId="8" priority="2" operator="containsText" text="Yes">
      <formula>NOT(ISERROR(SEARCH("Yes",AK5)))</formula>
    </cfRule>
  </conditionalFormatting>
  <conditionalFormatting sqref="AK7">
    <cfRule type="containsText" dxfId="7" priority="11" operator="containsText" text="No">
      <formula>NOT(ISERROR(SEARCH("No",AK7)))</formula>
    </cfRule>
    <cfRule type="containsText" dxfId="6" priority="12" operator="containsText" text="Yes">
      <formula>NOT(ISERROR(SEARCH("Yes",AK7)))</formula>
    </cfRule>
  </conditionalFormatting>
  <conditionalFormatting sqref="AK9">
    <cfRule type="containsText" dxfId="5" priority="9" operator="containsText" text="No">
      <formula>NOT(ISERROR(SEARCH("No",AK9)))</formula>
    </cfRule>
    <cfRule type="containsText" dxfId="4" priority="10" operator="containsText" text="Yes">
      <formula>NOT(ISERROR(SEARCH("Yes",AK9)))</formula>
    </cfRule>
  </conditionalFormatting>
  <conditionalFormatting sqref="AK11">
    <cfRule type="containsText" dxfId="3" priority="7" operator="containsText" text="No">
      <formula>NOT(ISERROR(SEARCH("No",AK11)))</formula>
    </cfRule>
    <cfRule type="containsText" dxfId="2" priority="8" operator="containsText" text="Yes">
      <formula>NOT(ISERROR(SEARCH("Yes",AK11)))</formula>
    </cfRule>
  </conditionalFormatting>
  <conditionalFormatting sqref="AK13">
    <cfRule type="containsText" dxfId="1" priority="5" operator="containsText" text="No">
      <formula>NOT(ISERROR(SEARCH("No",AK13)))</formula>
    </cfRule>
    <cfRule type="containsText" dxfId="0" priority="6" operator="containsText" text="Yes">
      <formula>NOT(ISERROR(SEARCH("Yes",AK13)))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TOC</vt:lpstr>
      <vt:lpstr>Directions</vt:lpstr>
      <vt:lpstr>Calculator</vt:lpstr>
      <vt:lpstr>Blank Sheet Playground</vt:lpstr>
      <vt:lpstr>Lists</vt:lpstr>
      <vt:lpstr>Calculator!Print_Area</vt:lpstr>
      <vt:lpstr>Directions!Print_Area</vt:lpstr>
    </vt:vector>
  </TitlesOfParts>
  <Manager/>
  <Company>Authentic CRE Solutions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Acquisition Calculator</dc:title>
  <dc:subject>Revolt CRE</dc:subject>
  <dc:creator>Niki Perez</dc:creator>
  <cp:keywords/>
  <dc:description/>
  <cp:lastModifiedBy>Niki Perez</cp:lastModifiedBy>
  <cp:lastPrinted>2024-12-02T19:54:42Z</cp:lastPrinted>
  <dcterms:created xsi:type="dcterms:W3CDTF">2024-01-18T20:07:37Z</dcterms:created>
  <dcterms:modified xsi:type="dcterms:W3CDTF">2025-05-28T19:22:24Z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wner">
    <vt:lpwstr>Authentic CRE Solutions LLC</vt:lpwstr>
  </property>
  <property fmtid="{D5CDD505-2E9C-101B-9397-08002B2CF9AE}" pid="3" name="Project">
    <vt:lpwstr>Custom-Built Acquisition Calculator</vt:lpwstr>
  </property>
  <property fmtid="{D5CDD505-2E9C-101B-9397-08002B2CF9AE}" pid="4" name="Date completed">
    <vt:lpwstr>May 30, 2024</vt:lpwstr>
  </property>
  <property fmtid="{D5CDD505-2E9C-101B-9397-08002B2CF9AE}" pid="5" name="Client">
    <vt:lpwstr>Revolt CRE</vt:lpwstr>
  </property>
  <property fmtid="{D5CDD505-2E9C-101B-9397-08002B2CF9AE}" pid="6" name="Recorded date">
    <vt:lpwstr>May 30, 2024</vt:lpwstr>
  </property>
  <property fmtid="{D5CDD505-2E9C-101B-9397-08002B2CF9AE}" pid="7" name="Recorded by">
    <vt:lpwstr>Niki Perez c/o Authentic CRE Solutions LLC</vt:lpwstr>
  </property>
</Properties>
</file>