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keHejsak\Documents\02. VOXNUBE\01. DIY PROJECT\DOCUMENT CENTRE\01. Assessment &amp; Planning\"/>
    </mc:Choice>
  </mc:AlternateContent>
  <xr:revisionPtr revIDLastSave="0" documentId="8_{36BD8893-41E0-4C9F-BDDD-8C39FFBB03D2}" xr6:coauthVersionLast="47" xr6:coauthVersionMax="47" xr10:uidLastSave="{00000000-0000-0000-0000-000000000000}"/>
  <bookViews>
    <workbookView xWindow="-2928" yWindow="-26028" windowWidth="46296" windowHeight="25416" xr2:uid="{066D8829-C345-4C87-979C-CA0B5705F6CB}"/>
  </bookViews>
  <sheets>
    <sheet name="Version Control " sheetId="7" r:id="rId1"/>
    <sheet name="Existing PBX Cost Model" sheetId="4" r:id="rId2"/>
    <sheet name="Migration Costs " sheetId="5" r:id="rId3"/>
    <sheet name="ROI Calculation" sheetId="6" r:id="rId4"/>
  </sheets>
  <definedNames>
    <definedName name="Account_Type">#REF!</definedName>
    <definedName name="CALC_CustomerRegions">#REF!</definedName>
    <definedName name="CALC_Objectives">#REF!</definedName>
    <definedName name="CALC_ScopedSiteModels">#REF!</definedName>
    <definedName name="Countries_Codes">#REF!</definedName>
    <definedName name="CountryCodes_Country">#REF!</definedName>
    <definedName name="INTRO_CustomerTLA">#REF!</definedName>
    <definedName name="Lookup_CountryCodes_Countries">#REF!</definedName>
    <definedName name="Lookup_Languages">#REF!</definedName>
    <definedName name="Lookup_MoSCoW">#REF!</definedName>
    <definedName name="Lookup_Objectives">#REF!</definedName>
    <definedName name="Lookup_Product">#REF!</definedName>
    <definedName name="Lookup_Scope_InScope">#REF!</definedName>
    <definedName name="Lookup_Scoped">#REF!</definedName>
    <definedName name="Lookup_SiteCodeNotation">#REF!</definedName>
    <definedName name="Lookup_TimeZones">#REF!</definedName>
    <definedName name="Lookup_Topics">#REF!</definedName>
    <definedName name="Lookup_UCaaSRegions">#REF!</definedName>
    <definedName name="Lookup_YN">#REF!</definedName>
    <definedName name="Objectives_IDs">#REF!</definedName>
    <definedName name="Overview_CustomerTLA">#REF!</definedName>
    <definedName name="Overview_Product">#REF!</definedName>
    <definedName name="Overview_WorkShopDate">#REF!</definedName>
    <definedName name="Scope_SiteCode_DefaultValue">#REF!</definedName>
    <definedName name="Scope_SiteCode_FormatFinal">IF(Scope_SiteCode_SelectedFormat="",Scope_SiteCode_DefaultValue,Scope_SiteCode_SelectedFormat)</definedName>
    <definedName name="Scope_SiteCode_SelectedForma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6" l="1"/>
  <c r="C7" i="6"/>
  <c r="E7" i="6" s="1"/>
  <c r="C8" i="6"/>
  <c r="D24" i="4"/>
  <c r="D23" i="4"/>
  <c r="C9" i="4"/>
  <c r="D42" i="4"/>
  <c r="O13" i="5"/>
  <c r="J12" i="5" s="1"/>
  <c r="I14" i="5"/>
  <c r="H14" i="5"/>
  <c r="D41" i="4"/>
  <c r="D40" i="4"/>
  <c r="C39" i="4"/>
  <c r="C17" i="4"/>
  <c r="C7" i="4"/>
  <c r="D22" i="4"/>
  <c r="M8" i="6" l="1"/>
  <c r="K7" i="6"/>
  <c r="M7" i="6" s="1"/>
  <c r="L7" i="6"/>
  <c r="D7" i="6"/>
  <c r="F7" i="6"/>
  <c r="F8" i="6"/>
  <c r="K8" i="5"/>
  <c r="J10" i="5"/>
  <c r="J7" i="5"/>
  <c r="K9" i="5"/>
  <c r="J8" i="5"/>
  <c r="K10" i="5"/>
  <c r="J13" i="5"/>
  <c r="K7" i="5"/>
  <c r="K14" i="5" s="1"/>
  <c r="J9" i="5"/>
  <c r="J14" i="5" s="1"/>
  <c r="K15" i="5" s="1"/>
  <c r="K11" i="5"/>
  <c r="K12" i="5"/>
  <c r="J11" i="5"/>
  <c r="K13" i="5"/>
  <c r="D39" i="4"/>
  <c r="D26" i="4" s="1"/>
  <c r="C26" i="4"/>
  <c r="J9" i="6" l="1"/>
  <c r="C9" i="6"/>
  <c r="D27" i="4"/>
  <c r="D9" i="6" l="1"/>
  <c r="C10" i="6"/>
  <c r="K9" i="6"/>
  <c r="J10" i="6"/>
  <c r="J12" i="6" s="1"/>
  <c r="K10" i="6" l="1"/>
  <c r="K12" i="6" s="1"/>
  <c r="J16" i="6" s="1"/>
  <c r="L16" i="6" s="1"/>
  <c r="L9" i="6"/>
  <c r="C12" i="6"/>
  <c r="D10" i="6"/>
  <c r="D12" i="6" s="1"/>
  <c r="C16" i="6" s="1"/>
  <c r="E16" i="6" s="1"/>
  <c r="E9" i="6"/>
  <c r="F9" i="6" l="1"/>
  <c r="E10" i="6"/>
  <c r="E12" i="6" s="1"/>
  <c r="L10" i="6"/>
  <c r="M9" i="6"/>
  <c r="F10" i="6" l="1"/>
  <c r="F12" i="6" s="1"/>
  <c r="F14" i="6" s="1"/>
  <c r="M10" i="6"/>
  <c r="M12" i="6" s="1"/>
  <c r="M14" i="6" s="1"/>
  <c r="L12" i="6"/>
</calcChain>
</file>

<file path=xl/sharedStrings.xml><?xml version="1.0" encoding="utf-8"?>
<sst xmlns="http://schemas.openxmlformats.org/spreadsheetml/2006/main" count="192" uniqueCount="157">
  <si>
    <t>Cost Element</t>
  </si>
  <si>
    <t>Notes</t>
  </si>
  <si>
    <t>Call Charges</t>
  </si>
  <si>
    <t>Lowered by flat-rate or included call plans</t>
  </si>
  <si>
    <t>PBX Maintenance &amp; Support</t>
  </si>
  <si>
    <t>Optional – needed only with Direct Routing</t>
  </si>
  <si>
    <t>Total Annual Cost</t>
  </si>
  <si>
    <t>Total estimated annual cost</t>
  </si>
  <si>
    <t>PRI/BRI mix / site</t>
  </si>
  <si>
    <t>Domestic Monthly Cost</t>
  </si>
  <si>
    <t>Export Monthly Cost</t>
  </si>
  <si>
    <t>E3</t>
  </si>
  <si>
    <t>Monthly PRI cost  - GBP</t>
  </si>
  <si>
    <t>Call volume / user / month - min</t>
  </si>
  <si>
    <t>Call Mix Dom - %</t>
  </si>
  <si>
    <t>Average outbound minutes/ month/user - min</t>
  </si>
  <si>
    <t>Based on SIP trunk or Teams Calling Plan rates</t>
  </si>
  <si>
    <t>Teams Phone Licence / month/ user</t>
  </si>
  <si>
    <t>Maintenance cost / site/ month</t>
  </si>
  <si>
    <t>Key costs metrics : underlying assumptions</t>
  </si>
  <si>
    <t>Cost savings</t>
  </si>
  <si>
    <t>Metric</t>
  </si>
  <si>
    <t>Year 1</t>
  </si>
  <si>
    <t>Year 2</t>
  </si>
  <si>
    <t>Year 3</t>
  </si>
  <si>
    <t>Total (3 Years)</t>
  </si>
  <si>
    <t>One-Time Migration Cost</t>
  </si>
  <si>
    <t>Total Teams Cost</t>
  </si>
  <si>
    <t>Legacy ISDN Cost (baseline)</t>
  </si>
  <si>
    <t>Savings Over 3 Years</t>
  </si>
  <si>
    <t xml:space="preserve">ROI </t>
  </si>
  <si>
    <t>Net Savings / Investment</t>
  </si>
  <si>
    <t xml:space="preserve">3-Year Financial Snapshot </t>
  </si>
  <si>
    <t xml:space="preserve">Pay Back </t>
  </si>
  <si>
    <t>Year</t>
  </si>
  <si>
    <t>Phase</t>
  </si>
  <si>
    <t>Duration</t>
  </si>
  <si>
    <t>Key Activities</t>
  </si>
  <si>
    <t>1–2 weeks</t>
  </si>
  <si>
    <t>1 week</t>
  </si>
  <si>
    <t>2–3 weeks</t>
  </si>
  <si>
    <t>Configure Teams Phone, SBC, SIP trunks</t>
  </si>
  <si>
    <t>End-to-end testing, emergency services, queues</t>
  </si>
  <si>
    <t>Train admins and end users, pilot feedback</t>
  </si>
  <si>
    <t>Monitor quality, triage, optimize</t>
  </si>
  <si>
    <t>Estimated Effort (Days)</t>
  </si>
  <si>
    <t>Role(s) Involved</t>
  </si>
  <si>
    <t>Solution Architect, PM</t>
  </si>
  <si>
    <t>Voice Engineer, PM</t>
  </si>
  <si>
    <t>2 days</t>
  </si>
  <si>
    <t>Voice Engineer</t>
  </si>
  <si>
    <t>3 days</t>
  </si>
  <si>
    <t>Trainer, PM</t>
  </si>
  <si>
    <t>4 days</t>
  </si>
  <si>
    <t>Voice Engineer, Carrier Coord</t>
  </si>
  <si>
    <t>Support Engineer</t>
  </si>
  <si>
    <t>Min</t>
  </si>
  <si>
    <t>Max</t>
  </si>
  <si>
    <t>Days</t>
  </si>
  <si>
    <t>Costs</t>
  </si>
  <si>
    <t>Optional or Hidden Costs (Add-ons to Validate)</t>
  </si>
  <si>
    <t>Item</t>
  </si>
  <si>
    <t>Estimate</t>
  </si>
  <si>
    <t>SBC hardware or virtual instance</t>
  </si>
  <si>
    <t>Network readiness assessment</t>
  </si>
  <si>
    <t>Device replacement (headsets/phones)</t>
  </si>
  <si>
    <t>Calling Plan top-up or SIP bundles</t>
  </si>
  <si>
    <t>Variable</t>
  </si>
  <si>
    <t>8- 12 weeks</t>
  </si>
  <si>
    <t>Months</t>
  </si>
  <si>
    <t>N/A</t>
  </si>
  <si>
    <t>Existing PBX Cost Model</t>
  </si>
  <si>
    <t>SIP Trunk Charges</t>
  </si>
  <si>
    <t>ISDN Line Rental (For all sites)</t>
  </si>
  <si>
    <t>Example Costs</t>
  </si>
  <si>
    <t>SIP Channel Charges</t>
  </si>
  <si>
    <t>ISDN / PSTN</t>
  </si>
  <si>
    <t>SIP Call Charges</t>
  </si>
  <si>
    <t>PRI/BRI rental costs for voice services - total for all connected sites</t>
  </si>
  <si>
    <t>Comparison 
(GBP - Annual)</t>
  </si>
  <si>
    <t>ISDN 
(GBP - Annual)</t>
  </si>
  <si>
    <t>DDI Charges</t>
  </si>
  <si>
    <t xml:space="preserve">Comparison Voice UC Service </t>
  </si>
  <si>
    <t>Msft Teams Phone License (Y users)</t>
  </si>
  <si>
    <t>E.g. ~ £10/user/month × 12 months × 100 users</t>
  </si>
  <si>
    <t>Legacy PBX</t>
  </si>
  <si>
    <t>PBX Licenses</t>
  </si>
  <si>
    <t xml:space="preserve">PBX maintenace &amp; Support </t>
  </si>
  <si>
    <t>PBX Licenses (if required)</t>
  </si>
  <si>
    <t>Data Centre Costs (if applicable)</t>
  </si>
  <si>
    <t>Msft Teams Comparison</t>
  </si>
  <si>
    <t>Example Shows Msft Teams Only - but other UC solutions could be used</t>
  </si>
  <si>
    <t># sites / locations</t>
  </si>
  <si>
    <t>Number of sites where PBX's reside</t>
  </si>
  <si>
    <t>Monthly PRI/BRI Cost</t>
  </si>
  <si>
    <t># seats / telphony users</t>
  </si>
  <si>
    <t>License type</t>
  </si>
  <si>
    <t>Managed Costs</t>
  </si>
  <si>
    <t>Where 3rd party manages all changes for the telephony estate</t>
  </si>
  <si>
    <t>Types of call , local / national / mobile / international</t>
  </si>
  <si>
    <t>Maintenance and support costs</t>
  </si>
  <si>
    <t>local / national</t>
  </si>
  <si>
    <t>mobile</t>
  </si>
  <si>
    <r>
      <t xml:space="preserve">(A) The reduction from </t>
    </r>
    <r>
      <rPr>
        <b/>
        <sz val="12"/>
        <color theme="1"/>
        <rFont val="Calibri"/>
        <family val="2"/>
      </rPr>
      <t>~250 mins/user/month (ISDN)</t>
    </r>
    <r>
      <rPr>
        <sz val="12"/>
        <color theme="1"/>
        <rFont val="Calibri"/>
        <family val="2"/>
      </rPr>
      <t xml:space="preserve"> to </t>
    </r>
    <r>
      <rPr>
        <b/>
        <sz val="12"/>
        <color theme="1"/>
        <rFont val="Calibri"/>
        <family val="2"/>
      </rPr>
      <t>~100 mins/user/month (Teams)</t>
    </r>
    <r>
      <rPr>
        <sz val="12"/>
        <color theme="1"/>
        <rFont val="Calibri"/>
        <family val="2"/>
      </rPr>
      <t xml:space="preserve"> is based on </t>
    </r>
    <r>
      <rPr>
        <b/>
        <sz val="12"/>
        <color theme="1"/>
        <rFont val="Calibri"/>
        <family val="2"/>
      </rPr>
      <t>real-world usage patterns</t>
    </r>
    <r>
      <rPr>
        <sz val="12"/>
        <color theme="1"/>
        <rFont val="Calibri"/>
        <family val="2"/>
      </rPr>
      <t xml:space="preserve"> after cloud telephony adoption.</t>
    </r>
  </si>
  <si>
    <t>TYPICAL MIGRATION COSTS</t>
  </si>
  <si>
    <t>Training</t>
  </si>
  <si>
    <t>Post-Migration</t>
  </si>
  <si>
    <t>Support &amp; Hypercare</t>
  </si>
  <si>
    <t>Cutover &amp;  Number Porting</t>
  </si>
  <si>
    <t>Testing &amp; Validation</t>
  </si>
  <si>
    <t>Delivery Execution</t>
  </si>
  <si>
    <t xml:space="preserve">Solution Design </t>
  </si>
  <si>
    <t>Assessment &amp; Planning</t>
  </si>
  <si>
    <t>Sub-Phase</t>
  </si>
  <si>
    <t>Voice Engineer, System Admin</t>
  </si>
  <si>
    <t>Porting numbers, phased rollout</t>
  </si>
  <si>
    <t>Assess ISDN/PBX, define architecture, select SIP, validate licenses, Dial plan mapping, call flow analysis</t>
  </si>
  <si>
    <t>4 – 6 days</t>
  </si>
  <si>
    <t>Solution  licenses/SBCs, design call flow, porting plan, Onboard and configuration preparation</t>
  </si>
  <si>
    <t>2 – 3 days</t>
  </si>
  <si>
    <t>Solution Architect</t>
  </si>
  <si>
    <t>PM</t>
  </si>
  <si>
    <t>System Admin</t>
  </si>
  <si>
    <t>Trainer</t>
  </si>
  <si>
    <t>Blended Rate</t>
  </si>
  <si>
    <t>6 – 8 days</t>
  </si>
  <si>
    <t>3 – 4 days</t>
  </si>
  <si>
    <t>Blended Average</t>
  </si>
  <si>
    <t>£1,000 – £3,000</t>
  </si>
  <si>
    <t>£1,000 – £2,000</t>
  </si>
  <si>
    <t>£75 – £350 / user</t>
  </si>
  <si>
    <t>Depending on model and vendor (AudioCodes, Ribbon, virtualized) - may not be required if a UCaaS service is purchased</t>
  </si>
  <si>
    <t>If LAN/WAN needs review for UC capability &amp; quality - typical Msft customers can run these them selves</t>
  </si>
  <si>
    <t>Optional, depending on current hardware and compatibility</t>
  </si>
  <si>
    <t>Depends on usage; not a setup cost, but recurring. Internation call is not included and is priced on a rate card and consumption - to many different rates across the global.</t>
  </si>
  <si>
    <t>Role</t>
  </si>
  <si>
    <t>Day / Rate</t>
  </si>
  <si>
    <t>ROI Calculation</t>
  </si>
  <si>
    <t>Call Mix International Export - %</t>
  </si>
  <si>
    <t>Mobile / Minute Cost</t>
  </si>
  <si>
    <t>SIP Trunk or Direct Routing Service</t>
  </si>
  <si>
    <t>Call Plan</t>
  </si>
  <si>
    <t>Call Plan 100 minute with DDI charges</t>
  </si>
  <si>
    <t>Msft Teams Operating Cost</t>
  </si>
  <si>
    <t xml:space="preserve">Version Control </t>
  </si>
  <si>
    <t>Notes / Updates</t>
  </si>
  <si>
    <t>Customer Name</t>
  </si>
  <si>
    <t>Customer Contact/s</t>
  </si>
  <si>
    <t>Project Manager</t>
  </si>
  <si>
    <t>Version No.</t>
  </si>
  <si>
    <t>Last Updated</t>
  </si>
  <si>
    <t>Budget Planning &amp; ROI</t>
  </si>
  <si>
    <t>Should Organisations utliise the  DIY the Voice Migrations Packages</t>
  </si>
  <si>
    <t>Typical size of organisation is between 100 to 250 people.</t>
  </si>
  <si>
    <t>Document Name:</t>
  </si>
  <si>
    <t>AP-002 - Budget Planning &amp; ROI - ver1.1 - Oct 2025</t>
  </si>
  <si>
    <t>version 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</si>
</sst>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sz val="12"/>
      <color theme="0"/>
      <name val="Calibri"/>
      <family val="2"/>
    </font>
    <font>
      <sz val="12"/>
      <color theme="1"/>
      <name val="Calibri"/>
      <family val="2"/>
    </font>
    <font>
      <b/>
      <sz val="12"/>
      <color theme="0"/>
      <name val="Calibri"/>
      <family val="2"/>
    </font>
    <font>
      <b/>
      <sz val="12"/>
      <color theme="1"/>
      <name val="Calibri"/>
      <family val="2"/>
    </font>
    <font>
      <b/>
      <sz val="16"/>
      <color theme="0"/>
      <name val="Calibri"/>
      <family val="2"/>
    </font>
    <font>
      <b/>
      <sz val="18"/>
      <color theme="1"/>
      <name val="Calibri"/>
      <family val="2"/>
    </font>
    <font>
      <b/>
      <sz val="14"/>
      <color theme="1"/>
      <name val="Calibri"/>
      <family val="2"/>
    </font>
    <font>
      <b/>
      <sz val="16"/>
      <color theme="1"/>
      <name val="Calibri"/>
      <family val="2"/>
    </font>
    <font>
      <b/>
      <sz val="18"/>
      <color theme="0"/>
      <name val="Calibri"/>
      <family val="2"/>
    </font>
    <font>
      <b/>
      <sz val="20"/>
      <color theme="0"/>
      <name val="Aptos Narrow"/>
      <family val="2"/>
      <scheme val="minor"/>
    </font>
    <font>
      <b/>
      <sz val="11"/>
      <color theme="0"/>
      <name val="Aptos Display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1">
    <xf numFmtId="0" fontId="0" fillId="0" borderId="0" xfId="0"/>
    <xf numFmtId="0" fontId="0" fillId="2" borderId="0" xfId="0" applyFill="1"/>
    <xf numFmtId="0" fontId="0" fillId="3" borderId="0" xfId="0" applyFill="1"/>
    <xf numFmtId="0" fontId="4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5" fillId="3" borderId="0" xfId="0" applyFont="1" applyFill="1"/>
    <xf numFmtId="0" fontId="6" fillId="2" borderId="0" xfId="0" applyFont="1" applyFill="1"/>
    <xf numFmtId="0" fontId="9" fillId="3" borderId="0" xfId="0" applyFont="1" applyFill="1"/>
    <xf numFmtId="0" fontId="9" fillId="3" borderId="0" xfId="0" applyFont="1" applyFill="1" applyAlignment="1">
      <alignment horizontal="center"/>
    </xf>
    <xf numFmtId="0" fontId="10" fillId="2" borderId="0" xfId="0" applyFont="1" applyFill="1" applyAlignment="1">
      <alignment wrapText="1"/>
    </xf>
    <xf numFmtId="0" fontId="10" fillId="2" borderId="0" xfId="0" applyFont="1" applyFill="1"/>
    <xf numFmtId="0" fontId="9" fillId="3" borderId="0" xfId="0" applyFont="1" applyFill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/>
    </xf>
    <xf numFmtId="0" fontId="11" fillId="3" borderId="0" xfId="0" applyFont="1" applyFill="1"/>
    <xf numFmtId="0" fontId="11" fillId="3" borderId="1" xfId="0" applyFont="1" applyFill="1" applyBorder="1" applyAlignment="1">
      <alignment horizontal="center" vertical="top"/>
    </xf>
    <xf numFmtId="0" fontId="11" fillId="3" borderId="1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left" vertical="top"/>
    </xf>
    <xf numFmtId="0" fontId="12" fillId="2" borderId="0" xfId="0" applyFont="1" applyFill="1" applyAlignment="1">
      <alignment horizontal="center" vertical="top"/>
    </xf>
    <xf numFmtId="0" fontId="12" fillId="2" borderId="3" xfId="0" applyFont="1" applyFill="1" applyBorder="1" applyAlignment="1">
      <alignment horizontal="center" vertical="top"/>
    </xf>
    <xf numFmtId="0" fontId="10" fillId="2" borderId="2" xfId="0" applyFont="1" applyFill="1" applyBorder="1"/>
    <xf numFmtId="3" fontId="10" fillId="2" borderId="0" xfId="0" applyNumberFormat="1" applyFont="1" applyFill="1" applyAlignment="1">
      <alignment horizontal="center"/>
    </xf>
    <xf numFmtId="0" fontId="10" fillId="2" borderId="3" xfId="0" applyFont="1" applyFill="1" applyBorder="1"/>
    <xf numFmtId="0" fontId="12" fillId="2" borderId="3" xfId="0" applyFont="1" applyFill="1" applyBorder="1"/>
    <xf numFmtId="0" fontId="12" fillId="2" borderId="2" xfId="0" applyFont="1" applyFill="1" applyBorder="1"/>
    <xf numFmtId="0" fontId="10" fillId="2" borderId="2" xfId="0" applyFont="1" applyFill="1" applyBorder="1" applyAlignment="1">
      <alignment vertical="top"/>
    </xf>
    <xf numFmtId="0" fontId="12" fillId="2" borderId="7" xfId="0" applyFont="1" applyFill="1" applyBorder="1"/>
    <xf numFmtId="3" fontId="12" fillId="2" borderId="8" xfId="0" applyNumberFormat="1" applyFont="1" applyFill="1" applyBorder="1" applyAlignment="1">
      <alignment horizontal="center"/>
    </xf>
    <xf numFmtId="0" fontId="12" fillId="2" borderId="9" xfId="0" applyFont="1" applyFill="1" applyBorder="1"/>
    <xf numFmtId="0" fontId="11" fillId="3" borderId="7" xfId="0" applyFont="1" applyFill="1" applyBorder="1"/>
    <xf numFmtId="0" fontId="9" fillId="3" borderId="8" xfId="0" applyFont="1" applyFill="1" applyBorder="1" applyAlignment="1">
      <alignment horizontal="center"/>
    </xf>
    <xf numFmtId="0" fontId="9" fillId="3" borderId="8" xfId="0" applyFont="1" applyFill="1" applyBorder="1"/>
    <xf numFmtId="0" fontId="9" fillId="3" borderId="9" xfId="0" applyFont="1" applyFill="1" applyBorder="1"/>
    <xf numFmtId="0" fontId="12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1" fontId="10" fillId="2" borderId="0" xfId="0" applyNumberFormat="1" applyFont="1" applyFill="1" applyAlignment="1">
      <alignment horizontal="center"/>
    </xf>
    <xf numFmtId="0" fontId="10" fillId="2" borderId="3" xfId="0" applyFont="1" applyFill="1" applyBorder="1" applyAlignment="1">
      <alignment wrapText="1"/>
    </xf>
    <xf numFmtId="9" fontId="10" fillId="2" borderId="0" xfId="0" applyNumberFormat="1" applyFont="1" applyFill="1" applyAlignment="1">
      <alignment horizontal="center"/>
    </xf>
    <xf numFmtId="0" fontId="10" fillId="2" borderId="2" xfId="0" applyFont="1" applyFill="1" applyBorder="1" applyAlignment="1">
      <alignment horizontal="left" indent="3"/>
    </xf>
    <xf numFmtId="0" fontId="10" fillId="2" borderId="2" xfId="0" applyFont="1" applyFill="1" applyBorder="1" applyAlignment="1">
      <alignment horizontal="right"/>
    </xf>
    <xf numFmtId="2" fontId="10" fillId="2" borderId="0" xfId="0" applyNumberFormat="1" applyFont="1" applyFill="1" applyAlignment="1">
      <alignment horizontal="center"/>
    </xf>
    <xf numFmtId="9" fontId="10" fillId="2" borderId="0" xfId="1" applyFont="1" applyFill="1" applyBorder="1" applyAlignment="1">
      <alignment horizontal="center"/>
    </xf>
    <xf numFmtId="0" fontId="10" fillId="2" borderId="4" xfId="0" applyFont="1" applyFill="1" applyBorder="1"/>
    <xf numFmtId="2" fontId="10" fillId="2" borderId="5" xfId="0" applyNumberFormat="1" applyFont="1" applyFill="1" applyBorder="1" applyAlignment="1">
      <alignment horizontal="center"/>
    </xf>
    <xf numFmtId="164" fontId="10" fillId="2" borderId="5" xfId="0" applyNumberFormat="1" applyFont="1" applyFill="1" applyBorder="1" applyAlignment="1">
      <alignment horizontal="center"/>
    </xf>
    <xf numFmtId="0" fontId="10" fillId="2" borderId="6" xfId="0" applyFont="1" applyFill="1" applyBorder="1"/>
    <xf numFmtId="0" fontId="13" fillId="3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/>
    <xf numFmtId="0" fontId="12" fillId="2" borderId="0" xfId="0" applyFont="1" applyFill="1" applyAlignment="1">
      <alignment vertical="center"/>
    </xf>
    <xf numFmtId="0" fontId="10" fillId="2" borderId="1" xfId="0" applyFont="1" applyFill="1" applyBorder="1"/>
    <xf numFmtId="0" fontId="12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6" fillId="2" borderId="0" xfId="0" applyFont="1" applyFill="1" applyAlignment="1">
      <alignment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164" fontId="10" fillId="2" borderId="12" xfId="0" applyNumberFormat="1" applyFont="1" applyFill="1" applyBorder="1" applyAlignment="1">
      <alignment horizontal="center" vertical="center"/>
    </xf>
    <xf numFmtId="164" fontId="10" fillId="2" borderId="3" xfId="0" applyNumberFormat="1" applyFont="1" applyFill="1" applyBorder="1" applyAlignment="1">
      <alignment horizontal="center" vertical="center"/>
    </xf>
    <xf numFmtId="44" fontId="10" fillId="2" borderId="1" xfId="2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44" fontId="12" fillId="2" borderId="0" xfId="2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left" vertical="center"/>
    </xf>
    <xf numFmtId="0" fontId="10" fillId="2" borderId="15" xfId="0" applyFont="1" applyFill="1" applyBorder="1"/>
    <xf numFmtId="44" fontId="10" fillId="2" borderId="15" xfId="2" applyFont="1" applyFill="1" applyBorder="1"/>
    <xf numFmtId="44" fontId="12" fillId="2" borderId="16" xfId="2" applyFont="1" applyFill="1" applyBorder="1" applyAlignment="1">
      <alignment horizontal="center" vertical="center"/>
    </xf>
    <xf numFmtId="44" fontId="12" fillId="2" borderId="13" xfId="2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164" fontId="12" fillId="2" borderId="16" xfId="0" applyNumberFormat="1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vertical="center" wrapText="1"/>
    </xf>
    <xf numFmtId="3" fontId="6" fillId="2" borderId="11" xfId="0" applyNumberFormat="1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3" fontId="6" fillId="2" borderId="0" xfId="0" applyNumberFormat="1" applyFont="1" applyFill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3" fontId="6" fillId="2" borderId="8" xfId="0" applyNumberFormat="1" applyFont="1" applyFill="1" applyBorder="1" applyAlignment="1">
      <alignment vertical="center" wrapText="1"/>
    </xf>
    <xf numFmtId="3" fontId="6" fillId="2" borderId="9" xfId="0" applyNumberFormat="1" applyFont="1" applyFill="1" applyBorder="1" applyAlignment="1">
      <alignment vertical="center" wrapText="1"/>
    </xf>
    <xf numFmtId="0" fontId="8" fillId="2" borderId="7" xfId="0" applyFont="1" applyFill="1" applyBorder="1" applyAlignment="1">
      <alignment vertical="center" wrapText="1"/>
    </xf>
    <xf numFmtId="3" fontId="8" fillId="2" borderId="9" xfId="0" applyNumberFormat="1" applyFont="1" applyFill="1" applyBorder="1" applyAlignment="1">
      <alignment vertical="center" wrapText="1"/>
    </xf>
    <xf numFmtId="9" fontId="6" fillId="2" borderId="0" xfId="1" applyFont="1" applyFill="1" applyAlignment="1">
      <alignment horizontal="center"/>
    </xf>
    <xf numFmtId="0" fontId="15" fillId="2" borderId="0" xfId="0" applyFont="1" applyFill="1"/>
    <xf numFmtId="0" fontId="15" fillId="2" borderId="0" xfId="0" applyFont="1" applyFill="1" applyAlignment="1">
      <alignment horizontal="left" vertical="center"/>
    </xf>
    <xf numFmtId="9" fontId="15" fillId="2" borderId="0" xfId="1" applyFont="1" applyFill="1" applyAlignment="1">
      <alignment horizontal="center"/>
    </xf>
    <xf numFmtId="0" fontId="17" fillId="3" borderId="0" xfId="0" applyFont="1" applyFill="1"/>
    <xf numFmtId="0" fontId="7" fillId="3" borderId="1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3" fontId="8" fillId="2" borderId="8" xfId="0" applyNumberFormat="1" applyFont="1" applyFill="1" applyBorder="1" applyAlignment="1">
      <alignment vertical="center" wrapText="1"/>
    </xf>
    <xf numFmtId="3" fontId="6" fillId="2" borderId="12" xfId="0" applyNumberFormat="1" applyFont="1" applyFill="1" applyBorder="1" applyAlignment="1">
      <alignment vertical="center" wrapText="1"/>
    </xf>
    <xf numFmtId="3" fontId="6" fillId="2" borderId="3" xfId="0" applyNumberFormat="1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3" fontId="6" fillId="2" borderId="5" xfId="0" applyNumberFormat="1" applyFont="1" applyFill="1" applyBorder="1" applyAlignment="1">
      <alignment vertical="center" wrapText="1"/>
    </xf>
    <xf numFmtId="3" fontId="6" fillId="2" borderId="6" xfId="0" applyNumberFormat="1" applyFont="1" applyFill="1" applyBorder="1" applyAlignment="1">
      <alignment vertical="center" wrapText="1"/>
    </xf>
    <xf numFmtId="0" fontId="18" fillId="3" borderId="0" xfId="0" applyFont="1" applyFill="1" applyAlignment="1">
      <alignment horizontal="left" vertical="center" indent="1"/>
    </xf>
    <xf numFmtId="0" fontId="19" fillId="3" borderId="0" xfId="0" applyFont="1" applyFill="1" applyAlignment="1">
      <alignment vertical="center"/>
    </xf>
    <xf numFmtId="0" fontId="2" fillId="2" borderId="17" xfId="0" applyFont="1" applyFill="1" applyBorder="1"/>
    <xf numFmtId="0" fontId="0" fillId="2" borderId="17" xfId="0" applyFill="1" applyBorder="1"/>
    <xf numFmtId="0" fontId="0" fillId="2" borderId="17" xfId="0" applyFill="1" applyBorder="1" applyAlignment="1">
      <alignment horizontal="center"/>
    </xf>
    <xf numFmtId="14" fontId="0" fillId="2" borderId="17" xfId="0" applyNumberFormat="1" applyFill="1" applyBorder="1" applyAlignment="1">
      <alignment horizontal="center"/>
    </xf>
    <xf numFmtId="0" fontId="14" fillId="2" borderId="18" xfId="0" applyFont="1" applyFill="1" applyBorder="1" applyAlignment="1">
      <alignment vertical="center"/>
    </xf>
    <xf numFmtId="2" fontId="15" fillId="2" borderId="18" xfId="0" applyNumberFormat="1" applyFont="1" applyFill="1" applyBorder="1" applyAlignment="1">
      <alignment vertical="center"/>
    </xf>
    <xf numFmtId="0" fontId="15" fillId="2" borderId="18" xfId="0" applyFont="1" applyFill="1" applyBorder="1" applyAlignment="1">
      <alignment vertical="center"/>
    </xf>
    <xf numFmtId="1" fontId="15" fillId="2" borderId="18" xfId="0" applyNumberFormat="1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left" vertical="center"/>
    </xf>
    <xf numFmtId="0" fontId="2" fillId="2" borderId="0" xfId="0" applyFont="1" applyFill="1"/>
    <xf numFmtId="0" fontId="10" fillId="2" borderId="7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617220</xdr:colOff>
      <xdr:row>0</xdr:row>
      <xdr:rowOff>75963</xdr:rowOff>
    </xdr:from>
    <xdr:ext cx="1161883" cy="350731"/>
    <xdr:pic>
      <xdr:nvPicPr>
        <xdr:cNvPr id="2" name="Picture 1">
          <a:extLst>
            <a:ext uri="{FF2B5EF4-FFF2-40B4-BE49-F238E27FC236}">
              <a16:creationId xmlns:a16="http://schemas.microsoft.com/office/drawing/2014/main" id="{3DB3C428-AAE4-449A-B010-DA2B0A3FB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52857" y="75963"/>
          <a:ext cx="1161883" cy="35073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3486727</xdr:colOff>
      <xdr:row>0</xdr:row>
      <xdr:rowOff>192424</xdr:rowOff>
    </xdr:from>
    <xdr:ext cx="1161883" cy="350731"/>
    <xdr:pic>
      <xdr:nvPicPr>
        <xdr:cNvPr id="2" name="Picture 1">
          <a:extLst>
            <a:ext uri="{FF2B5EF4-FFF2-40B4-BE49-F238E27FC236}">
              <a16:creationId xmlns:a16="http://schemas.microsoft.com/office/drawing/2014/main" id="{4D33939D-74B0-4926-9520-B9F57506C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12666" y="192424"/>
          <a:ext cx="1161883" cy="35073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944562</xdr:colOff>
      <xdr:row>0</xdr:row>
      <xdr:rowOff>174625</xdr:rowOff>
    </xdr:from>
    <xdr:ext cx="1161883" cy="350731"/>
    <xdr:pic>
      <xdr:nvPicPr>
        <xdr:cNvPr id="2" name="Picture 1">
          <a:extLst>
            <a:ext uri="{FF2B5EF4-FFF2-40B4-BE49-F238E27FC236}">
              <a16:creationId xmlns:a16="http://schemas.microsoft.com/office/drawing/2014/main" id="{2E168C7B-D24C-4734-B33C-1842DBF51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35187" y="174625"/>
          <a:ext cx="1161883" cy="350731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501831</xdr:colOff>
      <xdr:row>0</xdr:row>
      <xdr:rowOff>142603</xdr:rowOff>
    </xdr:from>
    <xdr:ext cx="1161883" cy="350731"/>
    <xdr:pic>
      <xdr:nvPicPr>
        <xdr:cNvPr id="2" name="Picture 1">
          <a:extLst>
            <a:ext uri="{FF2B5EF4-FFF2-40B4-BE49-F238E27FC236}">
              <a16:creationId xmlns:a16="http://schemas.microsoft.com/office/drawing/2014/main" id="{A004D848-4785-4B79-994D-E165736BC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27871" y="142603"/>
          <a:ext cx="1161883" cy="35073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62AC6-B1D5-4F72-B12D-8E0722990BE9}">
  <dimension ref="A1:F14"/>
  <sheetViews>
    <sheetView tabSelected="1" zoomScaleNormal="100" workbookViewId="0">
      <selection activeCell="D3" sqref="D3"/>
    </sheetView>
  </sheetViews>
  <sheetFormatPr defaultColWidth="9.23046875" defaultRowHeight="14.6" x14ac:dyDescent="0.4"/>
  <cols>
    <col min="1" max="1" width="25.4609375" style="1" customWidth="1"/>
    <col min="2" max="2" width="27.4609375" style="1" customWidth="1"/>
    <col min="3" max="3" width="69.15234375" style="1" customWidth="1"/>
    <col min="4" max="4" width="12" style="1" customWidth="1"/>
    <col min="5" max="16384" width="9.23046875" style="1"/>
  </cols>
  <sheetData>
    <row r="1" spans="1:6" ht="34.299999999999997" customHeight="1" x14ac:dyDescent="0.4">
      <c r="A1" s="102" t="s">
        <v>151</v>
      </c>
      <c r="B1" s="2"/>
      <c r="C1" s="103"/>
      <c r="D1" s="2"/>
      <c r="E1" s="2"/>
      <c r="F1" s="2"/>
    </row>
    <row r="2" spans="1:6" ht="40.1" customHeight="1" x14ac:dyDescent="0.4">
      <c r="A2" s="102" t="s">
        <v>144</v>
      </c>
      <c r="B2" s="2"/>
      <c r="C2" s="4" t="s">
        <v>145</v>
      </c>
      <c r="D2" s="3" t="s">
        <v>156</v>
      </c>
      <c r="E2" s="2"/>
      <c r="F2" s="2"/>
    </row>
    <row r="3" spans="1:6" x14ac:dyDescent="0.4">
      <c r="A3" s="113" t="s">
        <v>154</v>
      </c>
      <c r="B3" s="113" t="s">
        <v>155</v>
      </c>
    </row>
    <row r="4" spans="1:6" x14ac:dyDescent="0.4">
      <c r="A4" s="104" t="s">
        <v>146</v>
      </c>
      <c r="B4" s="105"/>
      <c r="C4" s="105"/>
    </row>
    <row r="5" spans="1:6" x14ac:dyDescent="0.4">
      <c r="A5" s="104" t="s">
        <v>147</v>
      </c>
      <c r="B5" s="105"/>
      <c r="C5" s="105"/>
    </row>
    <row r="6" spans="1:6" x14ac:dyDescent="0.4">
      <c r="A6" s="104" t="s">
        <v>148</v>
      </c>
      <c r="B6" s="105"/>
      <c r="C6" s="105"/>
    </row>
    <row r="7" spans="1:6" x14ac:dyDescent="0.4">
      <c r="A7" s="104" t="s">
        <v>149</v>
      </c>
      <c r="B7" s="106">
        <v>1</v>
      </c>
      <c r="C7" s="105"/>
    </row>
    <row r="8" spans="1:6" x14ac:dyDescent="0.4">
      <c r="A8" s="104" t="s">
        <v>150</v>
      </c>
      <c r="B8" s="107"/>
      <c r="C8" s="105"/>
    </row>
    <row r="9" spans="1:6" x14ac:dyDescent="0.4">
      <c r="A9" s="104" t="s">
        <v>149</v>
      </c>
      <c r="B9" s="106">
        <v>2</v>
      </c>
      <c r="C9" s="105"/>
    </row>
    <row r="10" spans="1:6" x14ac:dyDescent="0.4">
      <c r="A10" s="104" t="s">
        <v>150</v>
      </c>
      <c r="B10" s="107"/>
      <c r="C10" s="105"/>
    </row>
    <row r="11" spans="1:6" x14ac:dyDescent="0.4">
      <c r="A11" s="104" t="s">
        <v>149</v>
      </c>
      <c r="B11" s="106">
        <v>3</v>
      </c>
      <c r="C11" s="105"/>
    </row>
    <row r="12" spans="1:6" x14ac:dyDescent="0.4">
      <c r="A12" s="104" t="s">
        <v>150</v>
      </c>
      <c r="B12" s="107"/>
      <c r="C12" s="105"/>
    </row>
    <row r="13" spans="1:6" x14ac:dyDescent="0.4">
      <c r="A13" s="104" t="s">
        <v>149</v>
      </c>
      <c r="B13" s="106">
        <v>4</v>
      </c>
      <c r="C13" s="105"/>
    </row>
    <row r="14" spans="1:6" x14ac:dyDescent="0.4">
      <c r="A14" s="104" t="s">
        <v>150</v>
      </c>
      <c r="B14" s="107"/>
      <c r="C14" s="10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A4252-FCDA-407C-9042-547042F835AA}">
  <dimension ref="A1:F48"/>
  <sheetViews>
    <sheetView zoomScale="99" zoomScaleNormal="99" workbookViewId="0">
      <selection activeCell="C58" sqref="C58"/>
    </sheetView>
  </sheetViews>
  <sheetFormatPr defaultRowHeight="15.9" x14ac:dyDescent="0.45"/>
  <cols>
    <col min="1" max="1" width="3.765625" style="10" customWidth="1"/>
    <col min="2" max="2" width="33.921875" style="10" customWidth="1"/>
    <col min="3" max="3" width="12.921875" style="36" customWidth="1"/>
    <col min="4" max="4" width="16.07421875" style="10" customWidth="1"/>
    <col min="5" max="5" width="68.4609375" style="10" customWidth="1"/>
    <col min="6" max="6" width="70.15234375" style="9" customWidth="1"/>
    <col min="7" max="16384" width="9.23046875" style="10"/>
  </cols>
  <sheetData>
    <row r="1" spans="1:6" x14ac:dyDescent="0.45">
      <c r="A1" s="7"/>
      <c r="B1" s="7"/>
      <c r="C1" s="8"/>
      <c r="D1" s="7"/>
      <c r="E1" s="7"/>
    </row>
    <row r="2" spans="1:6" s="15" customFormat="1" ht="31.75" x14ac:dyDescent="0.4">
      <c r="A2" s="11"/>
      <c r="B2" s="48" t="s">
        <v>71</v>
      </c>
      <c r="C2" s="12" t="s">
        <v>74</v>
      </c>
      <c r="D2" s="13" t="s">
        <v>90</v>
      </c>
      <c r="E2" s="11"/>
      <c r="F2" s="14"/>
    </row>
    <row r="3" spans="1:6" x14ac:dyDescent="0.45">
      <c r="A3" s="7"/>
      <c r="B3" s="16"/>
      <c r="C3" s="8"/>
      <c r="D3" s="7"/>
      <c r="E3" s="7"/>
    </row>
    <row r="5" spans="1:6" ht="47.6" x14ac:dyDescent="0.45">
      <c r="B5" s="17" t="s">
        <v>0</v>
      </c>
      <c r="C5" s="18" t="s">
        <v>80</v>
      </c>
      <c r="D5" s="18" t="s">
        <v>79</v>
      </c>
      <c r="E5" s="17" t="s">
        <v>1</v>
      </c>
    </row>
    <row r="6" spans="1:6" x14ac:dyDescent="0.45">
      <c r="B6" s="19" t="s">
        <v>76</v>
      </c>
      <c r="C6" s="20"/>
      <c r="D6" s="20"/>
      <c r="E6" s="21"/>
    </row>
    <row r="7" spans="1:6" x14ac:dyDescent="0.45">
      <c r="B7" s="22" t="s">
        <v>73</v>
      </c>
      <c r="C7" s="23">
        <f>+C30*(C32*12)*C31</f>
        <v>2004</v>
      </c>
      <c r="D7" s="23">
        <v>0</v>
      </c>
      <c r="E7" s="24" t="s">
        <v>78</v>
      </c>
    </row>
    <row r="8" spans="1:6" x14ac:dyDescent="0.45">
      <c r="B8" s="22" t="s">
        <v>81</v>
      </c>
      <c r="C8" s="23">
        <v>1200</v>
      </c>
      <c r="D8" s="23">
        <v>0</v>
      </c>
      <c r="E8" s="24"/>
    </row>
    <row r="9" spans="1:6" x14ac:dyDescent="0.45">
      <c r="B9" s="22" t="s">
        <v>2</v>
      </c>
      <c r="C9" s="23">
        <f>(C35*C37*C40*C42*12)+(C35*C37*C41*C43*12)+(C35*C37*C45*C46*12)</f>
        <v>12600</v>
      </c>
      <c r="D9" s="23">
        <v>0</v>
      </c>
      <c r="E9" s="24" t="s">
        <v>3</v>
      </c>
    </row>
    <row r="10" spans="1:6" x14ac:dyDescent="0.45">
      <c r="B10" s="22"/>
      <c r="C10" s="23"/>
      <c r="D10" s="23"/>
      <c r="E10" s="25"/>
    </row>
    <row r="11" spans="1:6" x14ac:dyDescent="0.45">
      <c r="B11" s="26" t="s">
        <v>72</v>
      </c>
      <c r="C11" s="23"/>
      <c r="D11" s="23"/>
      <c r="E11" s="25"/>
    </row>
    <row r="12" spans="1:6" x14ac:dyDescent="0.45">
      <c r="B12" s="22" t="s">
        <v>75</v>
      </c>
      <c r="C12" s="23">
        <v>0</v>
      </c>
      <c r="D12" s="23"/>
      <c r="E12" s="25"/>
    </row>
    <row r="13" spans="1:6" x14ac:dyDescent="0.45">
      <c r="B13" s="22" t="s">
        <v>77</v>
      </c>
      <c r="C13" s="23">
        <v>0</v>
      </c>
      <c r="D13" s="23"/>
      <c r="E13" s="25"/>
    </row>
    <row r="14" spans="1:6" x14ac:dyDescent="0.45">
      <c r="B14" s="22"/>
      <c r="C14" s="23"/>
      <c r="D14" s="23"/>
      <c r="E14" s="25"/>
    </row>
    <row r="15" spans="1:6" x14ac:dyDescent="0.45">
      <c r="B15" s="26" t="s">
        <v>85</v>
      </c>
      <c r="C15" s="23"/>
      <c r="D15" s="23"/>
      <c r="E15" s="25"/>
    </row>
    <row r="16" spans="1:6" x14ac:dyDescent="0.45">
      <c r="B16" s="22" t="s">
        <v>86</v>
      </c>
      <c r="C16" s="23">
        <v>0</v>
      </c>
      <c r="D16" s="23" t="s">
        <v>70</v>
      </c>
      <c r="E16" s="24" t="s">
        <v>88</v>
      </c>
    </row>
    <row r="17" spans="2:5" x14ac:dyDescent="0.45">
      <c r="B17" s="22" t="s">
        <v>4</v>
      </c>
      <c r="C17" s="23">
        <f>+C30*C33*12</f>
        <v>6960</v>
      </c>
      <c r="D17" s="23" t="s">
        <v>70</v>
      </c>
      <c r="E17" s="24" t="s">
        <v>87</v>
      </c>
    </row>
    <row r="18" spans="2:5" x14ac:dyDescent="0.45">
      <c r="B18" s="22" t="s">
        <v>97</v>
      </c>
      <c r="C18" s="23">
        <v>0</v>
      </c>
      <c r="D18" s="23">
        <v>0</v>
      </c>
      <c r="E18" s="24" t="s">
        <v>98</v>
      </c>
    </row>
    <row r="19" spans="2:5" x14ac:dyDescent="0.45">
      <c r="B19" s="22" t="s">
        <v>89</v>
      </c>
      <c r="C19" s="23">
        <v>0</v>
      </c>
      <c r="D19" s="23" t="s">
        <v>70</v>
      </c>
      <c r="E19" s="24"/>
    </row>
    <row r="20" spans="2:5" x14ac:dyDescent="0.45">
      <c r="B20" s="22"/>
      <c r="C20" s="23"/>
      <c r="D20" s="23"/>
      <c r="E20" s="24"/>
    </row>
    <row r="21" spans="2:5" x14ac:dyDescent="0.45">
      <c r="B21" s="26" t="s">
        <v>82</v>
      </c>
      <c r="C21" s="23"/>
      <c r="D21" s="23"/>
      <c r="E21" s="24" t="s">
        <v>91</v>
      </c>
    </row>
    <row r="22" spans="2:5" x14ac:dyDescent="0.45">
      <c r="B22" s="22" t="s">
        <v>83</v>
      </c>
      <c r="C22" s="23">
        <v>0</v>
      </c>
      <c r="D22" s="23">
        <f>+D35*D48*12</f>
        <v>12000</v>
      </c>
      <c r="E22" s="24" t="s">
        <v>84</v>
      </c>
    </row>
    <row r="23" spans="2:5" x14ac:dyDescent="0.45">
      <c r="B23" s="27" t="s">
        <v>140</v>
      </c>
      <c r="C23" s="23">
        <v>0</v>
      </c>
      <c r="D23" s="23">
        <f>1*D35*12</f>
        <v>1200</v>
      </c>
      <c r="E23" s="24" t="s">
        <v>5</v>
      </c>
    </row>
    <row r="24" spans="2:5" x14ac:dyDescent="0.45">
      <c r="B24" s="27" t="s">
        <v>141</v>
      </c>
      <c r="C24" s="23"/>
      <c r="D24" s="23">
        <f>3*D35*12</f>
        <v>3600</v>
      </c>
      <c r="E24" s="24" t="s">
        <v>142</v>
      </c>
    </row>
    <row r="25" spans="2:5" x14ac:dyDescent="0.45">
      <c r="B25" s="22"/>
      <c r="C25" s="23"/>
      <c r="D25" s="23"/>
      <c r="E25" s="24"/>
    </row>
    <row r="26" spans="2:5" x14ac:dyDescent="0.45">
      <c r="B26" s="28" t="s">
        <v>6</v>
      </c>
      <c r="C26" s="29">
        <f>SUM(C7:C23)</f>
        <v>22764</v>
      </c>
      <c r="D26" s="29">
        <f>SUM(D7:D23)</f>
        <v>13200</v>
      </c>
      <c r="E26" s="30" t="s">
        <v>7</v>
      </c>
    </row>
    <row r="27" spans="2:5" x14ac:dyDescent="0.45">
      <c r="B27" s="28" t="s">
        <v>20</v>
      </c>
      <c r="C27" s="29"/>
      <c r="D27" s="29">
        <f>+D26-C26</f>
        <v>-9564</v>
      </c>
      <c r="E27" s="30"/>
    </row>
    <row r="29" spans="2:5" x14ac:dyDescent="0.45">
      <c r="B29" s="31" t="s">
        <v>19</v>
      </c>
      <c r="C29" s="32"/>
      <c r="D29" s="33"/>
      <c r="E29" s="34"/>
    </row>
    <row r="30" spans="2:5" x14ac:dyDescent="0.45">
      <c r="B30" s="26" t="s">
        <v>92</v>
      </c>
      <c r="C30" s="35">
        <v>1</v>
      </c>
      <c r="E30" s="24"/>
    </row>
    <row r="31" spans="2:5" x14ac:dyDescent="0.45">
      <c r="B31" s="22" t="s">
        <v>8</v>
      </c>
      <c r="C31" s="36">
        <v>1</v>
      </c>
      <c r="E31" s="24" t="s">
        <v>93</v>
      </c>
    </row>
    <row r="32" spans="2:5" x14ac:dyDescent="0.45">
      <c r="B32" s="22" t="s">
        <v>12</v>
      </c>
      <c r="C32" s="36">
        <v>167</v>
      </c>
      <c r="E32" s="24" t="s">
        <v>94</v>
      </c>
    </row>
    <row r="33" spans="2:5" x14ac:dyDescent="0.45">
      <c r="B33" s="22" t="s">
        <v>18</v>
      </c>
      <c r="C33" s="37">
        <v>580</v>
      </c>
      <c r="D33" s="36"/>
      <c r="E33" s="24" t="s">
        <v>100</v>
      </c>
    </row>
    <row r="34" spans="2:5" x14ac:dyDescent="0.45">
      <c r="B34" s="22"/>
      <c r="C34" s="37"/>
      <c r="D34" s="36"/>
      <c r="E34" s="24"/>
    </row>
    <row r="35" spans="2:5" x14ac:dyDescent="0.45">
      <c r="B35" s="26" t="s">
        <v>95</v>
      </c>
      <c r="C35" s="35">
        <v>100</v>
      </c>
      <c r="D35" s="35">
        <v>100</v>
      </c>
      <c r="E35" s="24"/>
    </row>
    <row r="36" spans="2:5" x14ac:dyDescent="0.45">
      <c r="B36" s="22" t="s">
        <v>96</v>
      </c>
      <c r="D36" s="36" t="s">
        <v>11</v>
      </c>
      <c r="E36" s="24"/>
    </row>
    <row r="37" spans="2:5" x14ac:dyDescent="0.45">
      <c r="B37" s="22" t="s">
        <v>13</v>
      </c>
      <c r="C37" s="36">
        <v>250</v>
      </c>
      <c r="D37" s="36">
        <v>101</v>
      </c>
      <c r="E37" s="24" t="s">
        <v>15</v>
      </c>
    </row>
    <row r="38" spans="2:5" ht="47.6" x14ac:dyDescent="0.45">
      <c r="B38" s="22"/>
      <c r="D38" s="36"/>
      <c r="E38" s="38" t="s">
        <v>103</v>
      </c>
    </row>
    <row r="39" spans="2:5" x14ac:dyDescent="0.45">
      <c r="B39" s="22" t="s">
        <v>14</v>
      </c>
      <c r="C39" s="39">
        <f>SUM(C40:C41)</f>
        <v>1</v>
      </c>
      <c r="D39" s="39">
        <f>SUM(D40:D41)</f>
        <v>1</v>
      </c>
      <c r="E39" s="24" t="s">
        <v>99</v>
      </c>
    </row>
    <row r="40" spans="2:5" x14ac:dyDescent="0.45">
      <c r="B40" s="40" t="s">
        <v>101</v>
      </c>
      <c r="C40" s="39">
        <v>0.4</v>
      </c>
      <c r="D40" s="39">
        <f>C40</f>
        <v>0.4</v>
      </c>
      <c r="E40" s="24"/>
    </row>
    <row r="41" spans="2:5" x14ac:dyDescent="0.45">
      <c r="B41" s="40" t="s">
        <v>102</v>
      </c>
      <c r="C41" s="39">
        <v>0.6</v>
      </c>
      <c r="D41" s="39">
        <f>C41</f>
        <v>0.6</v>
      </c>
      <c r="E41" s="24"/>
    </row>
    <row r="42" spans="2:5" x14ac:dyDescent="0.45">
      <c r="B42" s="41" t="s">
        <v>9</v>
      </c>
      <c r="C42" s="36">
        <v>0.01</v>
      </c>
      <c r="D42" s="36">
        <f>C42</f>
        <v>0.01</v>
      </c>
      <c r="E42" s="24" t="s">
        <v>16</v>
      </c>
    </row>
    <row r="43" spans="2:5" x14ac:dyDescent="0.45">
      <c r="B43" s="41" t="s">
        <v>139</v>
      </c>
      <c r="C43" s="36">
        <v>0.03</v>
      </c>
      <c r="D43" s="36">
        <v>0.02</v>
      </c>
      <c r="E43" s="24" t="s">
        <v>16</v>
      </c>
    </row>
    <row r="44" spans="2:5" x14ac:dyDescent="0.45">
      <c r="B44" s="22"/>
      <c r="C44" s="42"/>
      <c r="E44" s="24"/>
    </row>
    <row r="45" spans="2:5" x14ac:dyDescent="0.45">
      <c r="B45" s="22" t="s">
        <v>138</v>
      </c>
      <c r="C45" s="43">
        <v>0.2</v>
      </c>
      <c r="D45" s="43">
        <v>0.2</v>
      </c>
      <c r="E45" s="24"/>
    </row>
    <row r="46" spans="2:5" x14ac:dyDescent="0.45">
      <c r="B46" s="41" t="s">
        <v>10</v>
      </c>
      <c r="C46" s="42">
        <v>0.1</v>
      </c>
      <c r="D46" s="36">
        <v>0.03</v>
      </c>
      <c r="E46" s="24" t="s">
        <v>16</v>
      </c>
    </row>
    <row r="47" spans="2:5" x14ac:dyDescent="0.45">
      <c r="B47" s="41"/>
      <c r="C47" s="42"/>
      <c r="D47" s="36"/>
      <c r="E47" s="24"/>
    </row>
    <row r="48" spans="2:5" x14ac:dyDescent="0.45">
      <c r="B48" s="44" t="s">
        <v>17</v>
      </c>
      <c r="C48" s="45"/>
      <c r="D48" s="46">
        <v>10</v>
      </c>
      <c r="E48" s="47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C2BF5-8FC0-4635-99D0-6CBFEFDFCEA2}">
  <dimension ref="A1:O22"/>
  <sheetViews>
    <sheetView topLeftCell="B3" zoomScale="96" zoomScaleNormal="96" workbookViewId="0">
      <selection activeCell="D3" sqref="D3"/>
    </sheetView>
  </sheetViews>
  <sheetFormatPr defaultRowHeight="15.9" x14ac:dyDescent="0.45"/>
  <cols>
    <col min="1" max="1" width="3.84375" style="10" customWidth="1"/>
    <col min="2" max="2" width="23.3046875" style="10" customWidth="1"/>
    <col min="3" max="3" width="25.15234375" style="10" customWidth="1"/>
    <col min="4" max="4" width="17" style="10" customWidth="1"/>
    <col min="5" max="5" width="44.53515625" style="56" customWidth="1"/>
    <col min="6" max="6" width="13.765625" style="10" customWidth="1"/>
    <col min="7" max="7" width="18.3046875" style="10" customWidth="1"/>
    <col min="8" max="9" width="9.23046875" style="10"/>
    <col min="10" max="11" width="12.4609375" style="10" bestFit="1" customWidth="1"/>
    <col min="12" max="12" width="3.07421875" style="10" customWidth="1"/>
    <col min="13" max="13" width="3.53515625" style="10" customWidth="1"/>
    <col min="14" max="14" width="19" style="10" customWidth="1"/>
    <col min="15" max="15" width="14.84375" style="10" customWidth="1"/>
    <col min="16" max="16384" width="9.23046875" style="10"/>
  </cols>
  <sheetData>
    <row r="1" spans="1:15" x14ac:dyDescent="0.45">
      <c r="A1" s="7"/>
      <c r="B1" s="7"/>
      <c r="C1" s="7"/>
      <c r="D1" s="7"/>
      <c r="E1" s="12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 ht="20.6" x14ac:dyDescent="0.45">
      <c r="A2" s="7"/>
      <c r="B2" s="48" t="s">
        <v>104</v>
      </c>
      <c r="C2" s="48"/>
      <c r="D2" s="7" t="s">
        <v>153</v>
      </c>
      <c r="E2" s="12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 ht="20.6" x14ac:dyDescent="0.45">
      <c r="A3" s="7"/>
      <c r="B3" s="48"/>
      <c r="C3" s="48"/>
      <c r="D3" s="7"/>
      <c r="E3" s="12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ht="20.6" x14ac:dyDescent="0.45">
      <c r="B4" s="61"/>
      <c r="C4" s="61"/>
    </row>
    <row r="5" spans="1:15" x14ac:dyDescent="0.45">
      <c r="B5" s="7"/>
      <c r="C5" s="7"/>
      <c r="D5" s="7"/>
      <c r="E5" s="12"/>
      <c r="F5" s="7"/>
      <c r="G5" s="7"/>
      <c r="H5" s="117" t="s">
        <v>58</v>
      </c>
      <c r="I5" s="117"/>
      <c r="J5" s="117" t="s">
        <v>59</v>
      </c>
      <c r="K5" s="117"/>
    </row>
    <row r="6" spans="1:15" ht="31.75" x14ac:dyDescent="0.45">
      <c r="B6" s="62" t="s">
        <v>35</v>
      </c>
      <c r="C6" s="62" t="s">
        <v>113</v>
      </c>
      <c r="D6" s="62" t="s">
        <v>36</v>
      </c>
      <c r="E6" s="62" t="s">
        <v>37</v>
      </c>
      <c r="F6" s="62" t="s">
        <v>45</v>
      </c>
      <c r="G6" s="63" t="s">
        <v>46</v>
      </c>
      <c r="H6" s="62" t="s">
        <v>56</v>
      </c>
      <c r="I6" s="62" t="s">
        <v>57</v>
      </c>
      <c r="J6" s="62" t="s">
        <v>56</v>
      </c>
      <c r="K6" s="62" t="s">
        <v>57</v>
      </c>
      <c r="N6" s="78" t="s">
        <v>135</v>
      </c>
      <c r="O6" s="79" t="s">
        <v>136</v>
      </c>
    </row>
    <row r="7" spans="1:15" ht="46" customHeight="1" x14ac:dyDescent="0.45">
      <c r="B7" s="54" t="s">
        <v>112</v>
      </c>
      <c r="C7" s="54"/>
      <c r="D7" s="57" t="s">
        <v>38</v>
      </c>
      <c r="E7" s="57" t="s">
        <v>116</v>
      </c>
      <c r="F7" s="57" t="s">
        <v>117</v>
      </c>
      <c r="G7" s="58" t="s">
        <v>47</v>
      </c>
      <c r="H7" s="55">
        <v>4</v>
      </c>
      <c r="I7" s="55">
        <v>6</v>
      </c>
      <c r="J7" s="68">
        <f>H7*$O$13</f>
        <v>2300</v>
      </c>
      <c r="K7" s="68">
        <f>I7*$O$13</f>
        <v>3450</v>
      </c>
      <c r="N7" s="64" t="s">
        <v>120</v>
      </c>
      <c r="O7" s="66">
        <v>700</v>
      </c>
    </row>
    <row r="8" spans="1:15" ht="39" customHeight="1" x14ac:dyDescent="0.45">
      <c r="B8" s="54" t="s">
        <v>111</v>
      </c>
      <c r="C8" s="54"/>
      <c r="D8" s="57" t="s">
        <v>39</v>
      </c>
      <c r="E8" s="57" t="s">
        <v>118</v>
      </c>
      <c r="F8" s="57" t="s">
        <v>119</v>
      </c>
      <c r="G8" s="58" t="s">
        <v>48</v>
      </c>
      <c r="H8" s="55">
        <v>2</v>
      </c>
      <c r="I8" s="55">
        <v>3</v>
      </c>
      <c r="J8" s="68">
        <f>H8*$O$13</f>
        <v>1150</v>
      </c>
      <c r="K8" s="68">
        <f>I8*$O$13</f>
        <v>1725</v>
      </c>
      <c r="N8" s="65" t="s">
        <v>50</v>
      </c>
      <c r="O8" s="67">
        <v>600</v>
      </c>
    </row>
    <row r="9" spans="1:15" ht="40.75" customHeight="1" x14ac:dyDescent="0.45">
      <c r="B9" s="54" t="s">
        <v>110</v>
      </c>
      <c r="C9" s="54"/>
      <c r="D9" s="57" t="s">
        <v>40</v>
      </c>
      <c r="E9" s="57" t="s">
        <v>41</v>
      </c>
      <c r="F9" s="57" t="s">
        <v>125</v>
      </c>
      <c r="G9" s="58" t="s">
        <v>114</v>
      </c>
      <c r="H9" s="55">
        <v>6</v>
      </c>
      <c r="I9" s="55">
        <v>8</v>
      </c>
      <c r="J9" s="68">
        <f t="shared" ref="J9:J13" si="0">H9*$O$13</f>
        <v>3450</v>
      </c>
      <c r="K9" s="68">
        <f t="shared" ref="K9:K13" si="1">I9*$O$13</f>
        <v>4600</v>
      </c>
      <c r="N9" s="65" t="s">
        <v>121</v>
      </c>
      <c r="O9" s="67">
        <v>600</v>
      </c>
    </row>
    <row r="10" spans="1:15" ht="35.049999999999997" customHeight="1" x14ac:dyDescent="0.45">
      <c r="B10" s="53"/>
      <c r="C10" s="54" t="s">
        <v>109</v>
      </c>
      <c r="D10" s="57" t="s">
        <v>39</v>
      </c>
      <c r="E10" s="57" t="s">
        <v>42</v>
      </c>
      <c r="F10" s="57" t="s">
        <v>49</v>
      </c>
      <c r="G10" s="58" t="s">
        <v>50</v>
      </c>
      <c r="H10" s="55">
        <v>2</v>
      </c>
      <c r="I10" s="55">
        <v>2</v>
      </c>
      <c r="J10" s="68">
        <f t="shared" si="0"/>
        <v>1150</v>
      </c>
      <c r="K10" s="68">
        <f t="shared" si="1"/>
        <v>1150</v>
      </c>
      <c r="N10" s="65" t="s">
        <v>122</v>
      </c>
      <c r="O10" s="67">
        <v>500</v>
      </c>
    </row>
    <row r="11" spans="1:15" ht="42.75" customHeight="1" x14ac:dyDescent="0.45">
      <c r="B11" s="54"/>
      <c r="C11" s="54" t="s">
        <v>105</v>
      </c>
      <c r="D11" s="57" t="s">
        <v>39</v>
      </c>
      <c r="E11" s="57" t="s">
        <v>43</v>
      </c>
      <c r="F11" s="57" t="s">
        <v>51</v>
      </c>
      <c r="G11" s="58" t="s">
        <v>52</v>
      </c>
      <c r="H11" s="55">
        <v>3</v>
      </c>
      <c r="I11" s="55">
        <v>3</v>
      </c>
      <c r="J11" s="68">
        <f t="shared" si="0"/>
        <v>1725</v>
      </c>
      <c r="K11" s="68">
        <f t="shared" si="1"/>
        <v>1725</v>
      </c>
      <c r="N11" s="65" t="s">
        <v>123</v>
      </c>
      <c r="O11" s="67">
        <v>600</v>
      </c>
    </row>
    <row r="12" spans="1:15" ht="42.75" customHeight="1" thickBot="1" x14ac:dyDescent="0.5">
      <c r="B12" s="53"/>
      <c r="C12" s="54" t="s">
        <v>108</v>
      </c>
      <c r="D12" s="57" t="s">
        <v>38</v>
      </c>
      <c r="E12" s="57" t="s">
        <v>115</v>
      </c>
      <c r="F12" s="57" t="s">
        <v>53</v>
      </c>
      <c r="G12" s="58" t="s">
        <v>54</v>
      </c>
      <c r="H12" s="55">
        <v>4</v>
      </c>
      <c r="I12" s="55">
        <v>4</v>
      </c>
      <c r="J12" s="68">
        <f t="shared" si="0"/>
        <v>2300</v>
      </c>
      <c r="K12" s="68">
        <f t="shared" si="1"/>
        <v>2300</v>
      </c>
      <c r="N12" s="65" t="s">
        <v>55</v>
      </c>
      <c r="O12" s="67">
        <v>450</v>
      </c>
    </row>
    <row r="13" spans="1:15" ht="36" customHeight="1" thickBot="1" x14ac:dyDescent="0.5">
      <c r="B13" s="54" t="s">
        <v>106</v>
      </c>
      <c r="C13" s="54" t="s">
        <v>107</v>
      </c>
      <c r="D13" s="57" t="s">
        <v>38</v>
      </c>
      <c r="E13" s="57" t="s">
        <v>44</v>
      </c>
      <c r="F13" s="57" t="s">
        <v>126</v>
      </c>
      <c r="G13" s="58" t="s">
        <v>55</v>
      </c>
      <c r="H13" s="55">
        <v>3</v>
      </c>
      <c r="I13" s="55">
        <v>4</v>
      </c>
      <c r="J13" s="68">
        <f t="shared" si="0"/>
        <v>1725</v>
      </c>
      <c r="K13" s="68">
        <f t="shared" si="1"/>
        <v>2300</v>
      </c>
      <c r="N13" s="76" t="s">
        <v>124</v>
      </c>
      <c r="O13" s="77">
        <f>AVERAGE(O7:O12)</f>
        <v>575</v>
      </c>
    </row>
    <row r="14" spans="1:15" ht="33.75" customHeight="1" thickBot="1" x14ac:dyDescent="0.5">
      <c r="D14" s="59" t="s">
        <v>68</v>
      </c>
      <c r="H14" s="69">
        <f>SUM(H7:H13)</f>
        <v>24</v>
      </c>
      <c r="I14" s="69">
        <f>SUM(I7:I13)</f>
        <v>30</v>
      </c>
      <c r="J14" s="70">
        <f>SUM(J7:J13)</f>
        <v>13800</v>
      </c>
      <c r="K14" s="75">
        <f>SUM(K7:K13)</f>
        <v>17250</v>
      </c>
    </row>
    <row r="15" spans="1:15" ht="32.700000000000003" customHeight="1" thickBot="1" x14ac:dyDescent="0.5">
      <c r="H15" s="71" t="s">
        <v>127</v>
      </c>
      <c r="I15" s="72"/>
      <c r="J15" s="73"/>
      <c r="K15" s="74">
        <f>(J14+K14)/2</f>
        <v>15525</v>
      </c>
    </row>
    <row r="16" spans="1:15" x14ac:dyDescent="0.45">
      <c r="B16" s="52" t="s">
        <v>60</v>
      </c>
      <c r="C16" s="52"/>
    </row>
    <row r="18" spans="2:8" x14ac:dyDescent="0.45">
      <c r="B18" s="54" t="s">
        <v>61</v>
      </c>
      <c r="C18" s="54"/>
      <c r="D18" s="54" t="s">
        <v>62</v>
      </c>
      <c r="E18" s="118" t="s">
        <v>1</v>
      </c>
      <c r="F18" s="119"/>
      <c r="G18" s="119"/>
      <c r="H18" s="120"/>
    </row>
    <row r="19" spans="2:8" ht="31.75" customHeight="1" x14ac:dyDescent="0.45">
      <c r="B19" s="114" t="s">
        <v>63</v>
      </c>
      <c r="C19" s="116"/>
      <c r="D19" s="60" t="s">
        <v>128</v>
      </c>
      <c r="E19" s="114" t="s">
        <v>131</v>
      </c>
      <c r="F19" s="115"/>
      <c r="G19" s="115"/>
      <c r="H19" s="116"/>
    </row>
    <row r="20" spans="2:8" ht="31.75" customHeight="1" x14ac:dyDescent="0.45">
      <c r="B20" s="114" t="s">
        <v>64</v>
      </c>
      <c r="C20" s="116"/>
      <c r="D20" s="60" t="s">
        <v>129</v>
      </c>
      <c r="E20" s="114" t="s">
        <v>132</v>
      </c>
      <c r="F20" s="115"/>
      <c r="G20" s="115"/>
      <c r="H20" s="116"/>
    </row>
    <row r="21" spans="2:8" ht="31.75" customHeight="1" x14ac:dyDescent="0.45">
      <c r="B21" s="114" t="s">
        <v>65</v>
      </c>
      <c r="C21" s="116"/>
      <c r="D21" s="60" t="s">
        <v>130</v>
      </c>
      <c r="E21" s="114" t="s">
        <v>133</v>
      </c>
      <c r="F21" s="115"/>
      <c r="G21" s="115"/>
      <c r="H21" s="116"/>
    </row>
    <row r="22" spans="2:8" ht="31.75" customHeight="1" x14ac:dyDescent="0.45">
      <c r="B22" s="114" t="s">
        <v>66</v>
      </c>
      <c r="C22" s="116"/>
      <c r="D22" s="60" t="s">
        <v>67</v>
      </c>
      <c r="E22" s="114" t="s">
        <v>134</v>
      </c>
      <c r="F22" s="115"/>
      <c r="G22" s="115"/>
      <c r="H22" s="116"/>
    </row>
  </sheetData>
  <mergeCells count="11">
    <mergeCell ref="E22:H22"/>
    <mergeCell ref="B22:C22"/>
    <mergeCell ref="H5:I5"/>
    <mergeCell ref="J5:K5"/>
    <mergeCell ref="B19:C19"/>
    <mergeCell ref="B20:C20"/>
    <mergeCell ref="B21:C21"/>
    <mergeCell ref="E18:H18"/>
    <mergeCell ref="E19:H19"/>
    <mergeCell ref="E20:H20"/>
    <mergeCell ref="E21:H2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CC083-2191-4F2A-B94D-8ECA495D25EE}">
  <dimension ref="A1:M18"/>
  <sheetViews>
    <sheetView workbookViewId="0">
      <selection activeCell="I40" sqref="I40"/>
    </sheetView>
  </sheetViews>
  <sheetFormatPr defaultRowHeight="14.6" x14ac:dyDescent="0.4"/>
  <cols>
    <col min="1" max="1" width="3.921875" style="6" customWidth="1"/>
    <col min="2" max="2" width="25.23046875" style="6" customWidth="1"/>
    <col min="3" max="6" width="12.69140625" style="6" customWidth="1"/>
    <col min="7" max="7" width="3.07421875" style="6" customWidth="1"/>
    <col min="8" max="8" width="3.3046875" style="6" customWidth="1"/>
    <col min="9" max="9" width="32.69140625" style="6" customWidth="1"/>
    <col min="10" max="13" width="12.69140625" style="6" customWidth="1"/>
    <col min="14" max="14" width="2.765625" style="6" customWidth="1"/>
    <col min="15" max="16384" width="9.23046875" style="6"/>
  </cols>
  <sheetData>
    <row r="1" spans="1:13" x14ac:dyDescent="0.4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ht="23.15" x14ac:dyDescent="0.6">
      <c r="A2" s="5"/>
      <c r="B2" s="93" t="s">
        <v>137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x14ac:dyDescent="0.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23.15" x14ac:dyDescent="0.4">
      <c r="B4" s="49" t="s">
        <v>32</v>
      </c>
      <c r="I4" s="49" t="s">
        <v>32</v>
      </c>
    </row>
    <row r="5" spans="1:13" ht="23.15" x14ac:dyDescent="0.4">
      <c r="B5" s="49"/>
      <c r="I5" s="49"/>
    </row>
    <row r="6" spans="1:13" ht="29.15" x14ac:dyDescent="0.4">
      <c r="B6" s="94" t="s">
        <v>21</v>
      </c>
      <c r="C6" s="94" t="s">
        <v>22</v>
      </c>
      <c r="D6" s="94" t="s">
        <v>23</v>
      </c>
      <c r="E6" s="94" t="s">
        <v>24</v>
      </c>
      <c r="F6" s="94" t="s">
        <v>25</v>
      </c>
      <c r="I6" s="95" t="s">
        <v>21</v>
      </c>
      <c r="J6" s="95" t="s">
        <v>22</v>
      </c>
      <c r="K6" s="95" t="s">
        <v>23</v>
      </c>
      <c r="L6" s="95" t="s">
        <v>24</v>
      </c>
      <c r="M6" s="95" t="s">
        <v>25</v>
      </c>
    </row>
    <row r="7" spans="1:13" ht="33" customHeight="1" x14ac:dyDescent="0.4">
      <c r="B7" s="84" t="s">
        <v>28</v>
      </c>
      <c r="C7" s="85">
        <f>'Existing PBX Cost Model'!C26</f>
        <v>22764</v>
      </c>
      <c r="D7" s="85">
        <f>C7</f>
        <v>22764</v>
      </c>
      <c r="E7" s="85">
        <f>C7</f>
        <v>22764</v>
      </c>
      <c r="F7" s="86">
        <f>SUM(C7:E7)</f>
        <v>68292</v>
      </c>
      <c r="I7" s="84" t="s">
        <v>28</v>
      </c>
      <c r="J7" s="85">
        <f>'Existing PBX Cost Model'!C26</f>
        <v>22764</v>
      </c>
      <c r="K7" s="85">
        <f>J7</f>
        <v>22764</v>
      </c>
      <c r="L7" s="85">
        <f>J7</f>
        <v>22764</v>
      </c>
      <c r="M7" s="86">
        <f>SUM(J7:L7)</f>
        <v>68292</v>
      </c>
    </row>
    <row r="8" spans="1:13" ht="33" customHeight="1" x14ac:dyDescent="0.4">
      <c r="B8" s="80" t="s">
        <v>26</v>
      </c>
      <c r="C8" s="81">
        <f>'Migration Costs '!K15</f>
        <v>15525</v>
      </c>
      <c r="D8" s="81">
        <v>0</v>
      </c>
      <c r="E8" s="81">
        <v>0</v>
      </c>
      <c r="F8" s="97">
        <f>SUM(C8:E8)</f>
        <v>15525</v>
      </c>
      <c r="I8" s="80" t="s">
        <v>26</v>
      </c>
      <c r="J8" s="81">
        <v>2000</v>
      </c>
      <c r="K8" s="81">
        <v>0</v>
      </c>
      <c r="L8" s="81">
        <v>0</v>
      </c>
      <c r="M8" s="97">
        <f>SUM(J8:L8)</f>
        <v>2000</v>
      </c>
    </row>
    <row r="9" spans="1:13" ht="33" customHeight="1" x14ac:dyDescent="0.4">
      <c r="B9" s="82" t="s">
        <v>143</v>
      </c>
      <c r="C9" s="83">
        <f>'Existing PBX Cost Model'!D26</f>
        <v>13200</v>
      </c>
      <c r="D9" s="83">
        <f>C9</f>
        <v>13200</v>
      </c>
      <c r="E9" s="83">
        <f>D9</f>
        <v>13200</v>
      </c>
      <c r="F9" s="98">
        <f>SUM(C9:E9)</f>
        <v>39600</v>
      </c>
      <c r="I9" s="82" t="s">
        <v>143</v>
      </c>
      <c r="J9" s="83">
        <f>'Existing PBX Cost Model'!D26</f>
        <v>13200</v>
      </c>
      <c r="K9" s="83">
        <f>J9</f>
        <v>13200</v>
      </c>
      <c r="L9" s="83">
        <f>K9</f>
        <v>13200</v>
      </c>
      <c r="M9" s="98">
        <f>SUM(J9:L9)</f>
        <v>39600</v>
      </c>
    </row>
    <row r="10" spans="1:13" ht="33" customHeight="1" x14ac:dyDescent="0.4">
      <c r="B10" s="99" t="s">
        <v>27</v>
      </c>
      <c r="C10" s="100">
        <f>+C8+C9</f>
        <v>28725</v>
      </c>
      <c r="D10" s="100">
        <f>+D8+D9</f>
        <v>13200</v>
      </c>
      <c r="E10" s="100">
        <f>+E8+E9</f>
        <v>13200</v>
      </c>
      <c r="F10" s="101">
        <f>SUM(C10:E10)</f>
        <v>55125</v>
      </c>
      <c r="I10" s="99" t="s">
        <v>27</v>
      </c>
      <c r="J10" s="100">
        <f>+J8+J9</f>
        <v>15200</v>
      </c>
      <c r="K10" s="100">
        <f>+K8+K9</f>
        <v>13200</v>
      </c>
      <c r="L10" s="100">
        <f>+L8+L9</f>
        <v>13200</v>
      </c>
      <c r="M10" s="101">
        <f>SUM(J10:L10)</f>
        <v>41600</v>
      </c>
    </row>
    <row r="12" spans="1:13" s="51" customFormat="1" ht="33" customHeight="1" x14ac:dyDescent="0.4">
      <c r="B12" s="87" t="s">
        <v>29</v>
      </c>
      <c r="C12" s="96">
        <f>+C7-C10</f>
        <v>-5961</v>
      </c>
      <c r="D12" s="96">
        <f>+D7-D10</f>
        <v>9564</v>
      </c>
      <c r="E12" s="96">
        <f>+E7-E10</f>
        <v>9564</v>
      </c>
      <c r="F12" s="88">
        <f>+F7-F10</f>
        <v>13167</v>
      </c>
      <c r="I12" s="87" t="s">
        <v>29</v>
      </c>
      <c r="J12" s="96">
        <f>+J7-J10</f>
        <v>7564</v>
      </c>
      <c r="K12" s="96">
        <f>+K7-K10</f>
        <v>9564</v>
      </c>
      <c r="L12" s="96">
        <f>+L7-L10</f>
        <v>9564</v>
      </c>
      <c r="M12" s="88">
        <f>+M7-M10</f>
        <v>26692</v>
      </c>
    </row>
    <row r="14" spans="1:13" ht="23.15" x14ac:dyDescent="0.5">
      <c r="B14" s="49" t="s">
        <v>30</v>
      </c>
      <c r="C14" s="91" t="s">
        <v>31</v>
      </c>
      <c r="D14" s="50"/>
      <c r="F14" s="92">
        <f>+F12/C8</f>
        <v>0.84811594202898555</v>
      </c>
      <c r="G14" s="89"/>
      <c r="I14" s="49" t="s">
        <v>30</v>
      </c>
      <c r="J14" s="91" t="s">
        <v>31</v>
      </c>
      <c r="K14" s="50"/>
      <c r="M14" s="92">
        <f>+M12/J8</f>
        <v>13.346</v>
      </c>
    </row>
    <row r="16" spans="1:13" ht="23.6" thickBot="1" x14ac:dyDescent="0.45">
      <c r="B16" s="108" t="s">
        <v>33</v>
      </c>
      <c r="C16" s="109">
        <f>+C8/D12</f>
        <v>1.6232747804265997</v>
      </c>
      <c r="D16" s="110" t="s">
        <v>34</v>
      </c>
      <c r="E16" s="111">
        <f>+C16*12</f>
        <v>19.479297365119194</v>
      </c>
      <c r="F16" s="112" t="s">
        <v>69</v>
      </c>
      <c r="I16" s="108" t="s">
        <v>33</v>
      </c>
      <c r="J16" s="109">
        <f>+J8/K12</f>
        <v>0.20911752404851527</v>
      </c>
      <c r="K16" s="110" t="s">
        <v>34</v>
      </c>
      <c r="L16" s="111">
        <f>+J16*12</f>
        <v>2.5094102885821834</v>
      </c>
      <c r="M16" s="112" t="s">
        <v>69</v>
      </c>
    </row>
    <row r="17" spans="9:9" ht="15" thickTop="1" x14ac:dyDescent="0.4"/>
    <row r="18" spans="9:9" ht="18.45" x14ac:dyDescent="0.5">
      <c r="I18" s="90" t="s">
        <v>152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Version Control </vt:lpstr>
      <vt:lpstr>Existing PBX Cost Model</vt:lpstr>
      <vt:lpstr>Migration Costs </vt:lpstr>
      <vt:lpstr>ROI Calculation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Bertrand Muller</dc:creator>
  <cp:lastModifiedBy>Mike Hejsak</cp:lastModifiedBy>
  <dcterms:created xsi:type="dcterms:W3CDTF">2025-07-02T16:30:11Z</dcterms:created>
  <dcterms:modified xsi:type="dcterms:W3CDTF">2026-01-13T15:43:46Z</dcterms:modified>
</cp:coreProperties>
</file>