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mesphipps/Desktop/"/>
    </mc:Choice>
  </mc:AlternateContent>
  <xr:revisionPtr revIDLastSave="0" documentId="8_{BA70EA9A-9BC7-074A-AE3D-9161FE6DD58B}" xr6:coauthVersionLast="47" xr6:coauthVersionMax="47" xr10:uidLastSave="{00000000-0000-0000-0000-000000000000}"/>
  <bookViews>
    <workbookView xWindow="14580" yWindow="11400" windowWidth="38060" windowHeight="19760" activeTab="5" xr2:uid="{50A8E9B0-9495-48B9-8974-7AB8B2E0B6F7}"/>
  </bookViews>
  <sheets>
    <sheet name="Combined Proformas" sheetId="11" r:id="rId1"/>
    <sheet name="Proforma Charts" sheetId="12" r:id="rId2"/>
    <sheet name="Income Projection (MRV)" sheetId="10" r:id="rId3"/>
    <sheet name="Moderate Revenue Model (MRV)" sheetId="7" r:id="rId4"/>
    <sheet name="Conservative Revenue Model" sheetId="6" r:id="rId5"/>
    <sheet name="Aggressive Revenue Model" sheetId="8" r:id="rId6"/>
    <sheet name="Basic Game Economics" sheetId="4" r:id="rId7"/>
    <sheet name="Multiple Price Points Economics" sheetId="1" r:id="rId8"/>
    <sheet name="Z Level Costs &amp; Benefits" sheetId="5" r:id="rId9"/>
    <sheet name="All Other Expenses Detail" sheetId="9" r:id="rId10"/>
  </sheets>
  <definedNames>
    <definedName name="_xlnm._FilterDatabase" localSheetId="7" hidden="1">'Basic Game Economics'!$A$6:$B$7</definedName>
    <definedName name="_xlnm.Criteria" localSheetId="7">'Multiple Price Points Economics'!#REF!</definedName>
    <definedName name="_xlnm.Print_Area" localSheetId="5">'Aggressive Revenue Model'!$A$1:$T$45</definedName>
    <definedName name="_xlnm.Print_Area" localSheetId="6">'Basic Game Economics'!$A$4:$I$40</definedName>
    <definedName name="_xlnm.Print_Area" localSheetId="4">'Conservative Revenue Model'!$A$1:$T$45</definedName>
    <definedName name="_xlnm.Print_Area" localSheetId="3">'Moderate Revenue Model (MRV)'!$A$1:$T$45</definedName>
    <definedName name="_xlnm.Print_Area" localSheetId="7">'Multiple Price Points Economics'!$A$1:$M$32</definedName>
    <definedName name="_xlnm.Print_Area" localSheetId="8">'Z Level Costs &amp; Benefits'!$A$1:$N$23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6" l="1"/>
  <c r="E32" i="6"/>
  <c r="F34" i="11"/>
  <c r="G34" i="11" s="1"/>
  <c r="E34" i="11"/>
  <c r="D34" i="11"/>
  <c r="F22" i="11"/>
  <c r="G22" i="11" s="1"/>
  <c r="E22" i="11"/>
  <c r="D22" i="11"/>
  <c r="F12" i="11"/>
  <c r="G12" i="11" s="1"/>
  <c r="E12" i="11"/>
  <c r="D12" i="11"/>
  <c r="D41" i="11"/>
  <c r="D40" i="11"/>
  <c r="T56" i="10"/>
  <c r="R56" i="10" s="1"/>
  <c r="T21" i="10"/>
  <c r="I21" i="10"/>
  <c r="H21" i="10"/>
  <c r="G21" i="10"/>
  <c r="D21" i="10"/>
  <c r="C21" i="10"/>
  <c r="E21" i="10"/>
  <c r="J56" i="10"/>
  <c r="T52" i="10"/>
  <c r="R52" i="10" s="1"/>
  <c r="R51" i="10"/>
  <c r="Q51" i="10" s="1"/>
  <c r="N51" i="10"/>
  <c r="K51" i="10"/>
  <c r="J51" i="10"/>
  <c r="H51" i="10"/>
  <c r="F51" i="10"/>
  <c r="R81" i="10"/>
  <c r="P81" i="10" s="1"/>
  <c r="N81" i="10"/>
  <c r="J81" i="10"/>
  <c r="T82" i="10"/>
  <c r="J82" i="10" s="1"/>
  <c r="D11" i="10"/>
  <c r="C11" i="10"/>
  <c r="E11" i="10"/>
  <c r="G11" i="10"/>
  <c r="J11" i="10"/>
  <c r="I11" i="10" s="1"/>
  <c r="I13" i="10"/>
  <c r="H13" i="10"/>
  <c r="G13" i="10"/>
  <c r="E13" i="10"/>
  <c r="D13" i="10"/>
  <c r="C13" i="10"/>
  <c r="T16" i="10"/>
  <c r="J16" i="10" s="1"/>
  <c r="T15" i="10"/>
  <c r="F15" i="10" s="1"/>
  <c r="Q11" i="10"/>
  <c r="T45" i="10"/>
  <c r="R45" i="10" s="1"/>
  <c r="T46" i="10"/>
  <c r="R46" i="10" s="1"/>
  <c r="Q46" i="10" s="1"/>
  <c r="T76" i="10"/>
  <c r="F76" i="10" s="1"/>
  <c r="T75" i="10"/>
  <c r="F75" i="10" s="1"/>
  <c r="K35" i="10"/>
  <c r="L35" i="10" s="1"/>
  <c r="M35" i="10" s="1"/>
  <c r="O35" i="10" s="1"/>
  <c r="P35" i="10" s="1"/>
  <c r="Q35" i="10" s="1"/>
  <c r="D35" i="10"/>
  <c r="E35" i="10" s="1"/>
  <c r="G35" i="10" s="1"/>
  <c r="H35" i="10" s="1"/>
  <c r="C7" i="10"/>
  <c r="C6" i="10"/>
  <c r="D67" i="9"/>
  <c r="D64" i="9"/>
  <c r="D63" i="9"/>
  <c r="D60" i="9"/>
  <c r="D59" i="9"/>
  <c r="D58" i="9"/>
  <c r="D57" i="9"/>
  <c r="D56" i="9"/>
  <c r="D55" i="9"/>
  <c r="D54" i="9"/>
  <c r="D52" i="9"/>
  <c r="D45" i="9"/>
  <c r="F67" i="9"/>
  <c r="F64" i="9"/>
  <c r="F63" i="9"/>
  <c r="F60" i="9"/>
  <c r="F59" i="9"/>
  <c r="F58" i="9"/>
  <c r="F57" i="9"/>
  <c r="F55" i="9"/>
  <c r="F54" i="9"/>
  <c r="F52" i="9"/>
  <c r="F45" i="9"/>
  <c r="F43" i="9"/>
  <c r="D40" i="9"/>
  <c r="E51" i="9"/>
  <c r="D51" i="9" s="1"/>
  <c r="E50" i="9"/>
  <c r="E47" i="9"/>
  <c r="F47" i="9" s="1"/>
  <c r="E43" i="9"/>
  <c r="D43" i="9" s="1"/>
  <c r="D49" i="9"/>
  <c r="E49" i="9" s="1"/>
  <c r="F49" i="9" s="1"/>
  <c r="E56" i="9"/>
  <c r="T42" i="10" s="1"/>
  <c r="E48" i="9"/>
  <c r="F48" i="9" s="1"/>
  <c r="E41" i="9"/>
  <c r="E44" i="9"/>
  <c r="D44" i="9" s="1"/>
  <c r="E46" i="9"/>
  <c r="D46" i="9" s="1"/>
  <c r="E40" i="9"/>
  <c r="E42" i="9"/>
  <c r="D42" i="9" s="1"/>
  <c r="D21" i="9"/>
  <c r="D18" i="9"/>
  <c r="D16" i="9"/>
  <c r="D15" i="9"/>
  <c r="D13" i="9"/>
  <c r="D10" i="9"/>
  <c r="D9" i="9"/>
  <c r="D8" i="9"/>
  <c r="D7" i="9"/>
  <c r="F18" i="9"/>
  <c r="F17" i="9"/>
  <c r="F16" i="9"/>
  <c r="F15" i="9"/>
  <c r="F14" i="9"/>
  <c r="F9" i="9"/>
  <c r="F21" i="9"/>
  <c r="F20" i="9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F42" i="10" l="1"/>
  <c r="R42" i="10"/>
  <c r="N16" i="10"/>
  <c r="F56" i="9"/>
  <c r="N82" i="10"/>
  <c r="F44" i="9"/>
  <c r="R82" i="10"/>
  <c r="Q82" i="10" s="1"/>
  <c r="D48" i="9"/>
  <c r="F51" i="9"/>
  <c r="G51" i="10"/>
  <c r="F40" i="9"/>
  <c r="T41" i="10"/>
  <c r="N41" i="10" s="1"/>
  <c r="F46" i="9"/>
  <c r="F50" i="9"/>
  <c r="D50" i="9"/>
  <c r="D47" i="9"/>
  <c r="Q45" i="10"/>
  <c r="D45" i="10"/>
  <c r="M45" i="10"/>
  <c r="P45" i="10"/>
  <c r="F41" i="9"/>
  <c r="D41" i="9"/>
  <c r="I45" i="10"/>
  <c r="T72" i="10"/>
  <c r="F72" i="10" s="1"/>
  <c r="F42" i="9"/>
  <c r="T12" i="10"/>
  <c r="R12" i="10" s="1"/>
  <c r="O56" i="10"/>
  <c r="P56" i="10"/>
  <c r="Q56" i="10"/>
  <c r="L51" i="10"/>
  <c r="C51" i="10"/>
  <c r="D51" i="10"/>
  <c r="O51" i="10"/>
  <c r="I42" i="10"/>
  <c r="P51" i="10"/>
  <c r="P22" i="10"/>
  <c r="H22" i="10"/>
  <c r="O22" i="10"/>
  <c r="K22" i="10"/>
  <c r="Q22" i="10"/>
  <c r="M22" i="10"/>
  <c r="I22" i="10"/>
  <c r="E22" i="10"/>
  <c r="L22" i="10"/>
  <c r="D22" i="10"/>
  <c r="G22" i="10"/>
  <c r="L52" i="10"/>
  <c r="D52" i="10"/>
  <c r="G52" i="10"/>
  <c r="Q52" i="10"/>
  <c r="M52" i="10"/>
  <c r="I52" i="10"/>
  <c r="E52" i="10"/>
  <c r="P52" i="10"/>
  <c r="H52" i="10"/>
  <c r="O52" i="10"/>
  <c r="K52" i="10"/>
  <c r="C52" i="10"/>
  <c r="E51" i="10"/>
  <c r="I51" i="10"/>
  <c r="M51" i="10"/>
  <c r="F52" i="10"/>
  <c r="J52" i="10"/>
  <c r="N52" i="10"/>
  <c r="F41" i="11" s="1"/>
  <c r="G41" i="11" s="1"/>
  <c r="O42" i="10"/>
  <c r="O46" i="10"/>
  <c r="N42" i="10"/>
  <c r="N45" i="10"/>
  <c r="N46" i="10"/>
  <c r="J41" i="10"/>
  <c r="J42" i="10"/>
  <c r="J45" i="10"/>
  <c r="J46" i="10"/>
  <c r="E42" i="10"/>
  <c r="E45" i="10"/>
  <c r="E46" i="10"/>
  <c r="R15" i="10"/>
  <c r="L15" i="10" s="1"/>
  <c r="H11" i="10"/>
  <c r="G81" i="10"/>
  <c r="K81" i="10"/>
  <c r="K82" i="10"/>
  <c r="O81" i="10"/>
  <c r="R75" i="10"/>
  <c r="P42" i="10"/>
  <c r="P46" i="10"/>
  <c r="K42" i="10"/>
  <c r="K45" i="10"/>
  <c r="K46" i="10"/>
  <c r="G42" i="10"/>
  <c r="G45" i="10"/>
  <c r="G46" i="10"/>
  <c r="F45" i="10"/>
  <c r="F46" i="10"/>
  <c r="H81" i="10"/>
  <c r="H82" i="10"/>
  <c r="L81" i="10"/>
  <c r="M46" i="10"/>
  <c r="I46" i="10"/>
  <c r="D46" i="10"/>
  <c r="J15" i="10"/>
  <c r="R76" i="10"/>
  <c r="N75" i="10"/>
  <c r="N76" i="10"/>
  <c r="J72" i="10"/>
  <c r="J75" i="10"/>
  <c r="J76" i="10"/>
  <c r="O45" i="10"/>
  <c r="L42" i="10"/>
  <c r="L45" i="10"/>
  <c r="L46" i="10"/>
  <c r="H42" i="10"/>
  <c r="H45" i="10"/>
  <c r="H46" i="10"/>
  <c r="C42" i="10"/>
  <c r="C45" i="10"/>
  <c r="C46" i="10"/>
  <c r="I81" i="10"/>
  <c r="I82" i="10"/>
  <c r="M81" i="10"/>
  <c r="Q81" i="10"/>
  <c r="D81" i="10"/>
  <c r="E81" i="10"/>
  <c r="C81" i="10"/>
  <c r="E82" i="10"/>
  <c r="D82" i="10"/>
  <c r="F81" i="10"/>
  <c r="F82" i="10"/>
  <c r="R16" i="10"/>
  <c r="Q16" i="10" s="1"/>
  <c r="F16" i="10"/>
  <c r="P12" i="10"/>
  <c r="M12" i="10"/>
  <c r="E12" i="10"/>
  <c r="Q12" i="10"/>
  <c r="I12" i="10"/>
  <c r="F12" i="10"/>
  <c r="N12" i="10"/>
  <c r="I15" i="10"/>
  <c r="E15" i="10"/>
  <c r="P15" i="10"/>
  <c r="O11" i="10"/>
  <c r="L11" i="10"/>
  <c r="P11" i="10"/>
  <c r="C12" i="10"/>
  <c r="G12" i="10"/>
  <c r="K12" i="10"/>
  <c r="O12" i="10"/>
  <c r="C16" i="10"/>
  <c r="K11" i="10"/>
  <c r="M11" i="10"/>
  <c r="D12" i="10"/>
  <c r="H12" i="10"/>
  <c r="L12" i="10"/>
  <c r="N15" i="10"/>
  <c r="A19" i="9"/>
  <c r="A20" i="9" s="1"/>
  <c r="A21" i="9" s="1"/>
  <c r="D22" i="9"/>
  <c r="A7" i="8"/>
  <c r="A8" i="8" s="1"/>
  <c r="B8" i="8" s="1"/>
  <c r="A7" i="7"/>
  <c r="A8" i="7" s="1"/>
  <c r="B8" i="7" s="1"/>
  <c r="D43" i="8"/>
  <c r="E43" i="8" s="1"/>
  <c r="D32" i="8"/>
  <c r="K27" i="8"/>
  <c r="L27" i="8" s="1"/>
  <c r="M27" i="8" s="1"/>
  <c r="O27" i="8" s="1"/>
  <c r="P27" i="8" s="1"/>
  <c r="Q27" i="8" s="1"/>
  <c r="D27" i="8"/>
  <c r="E27" i="8" s="1"/>
  <c r="G27" i="8" s="1"/>
  <c r="H27" i="8" s="1"/>
  <c r="C23" i="8"/>
  <c r="D22" i="8"/>
  <c r="D23" i="8" s="1"/>
  <c r="C22" i="8"/>
  <c r="L21" i="8"/>
  <c r="E21" i="8"/>
  <c r="G21" i="8" s="1"/>
  <c r="E12" i="8"/>
  <c r="B7" i="8"/>
  <c r="B6" i="8"/>
  <c r="D43" i="7"/>
  <c r="E43" i="7" s="1"/>
  <c r="G43" i="7" s="1"/>
  <c r="D32" i="7"/>
  <c r="K27" i="7"/>
  <c r="L27" i="7" s="1"/>
  <c r="M27" i="7" s="1"/>
  <c r="O27" i="7" s="1"/>
  <c r="P27" i="7" s="1"/>
  <c r="Q27" i="7" s="1"/>
  <c r="D27" i="7"/>
  <c r="E27" i="7" s="1"/>
  <c r="G27" i="7" s="1"/>
  <c r="H27" i="7" s="1"/>
  <c r="D22" i="7"/>
  <c r="D23" i="7" s="1"/>
  <c r="C22" i="7"/>
  <c r="C23" i="7" s="1"/>
  <c r="E22" i="7"/>
  <c r="E23" i="7" s="1"/>
  <c r="E12" i="7"/>
  <c r="B7" i="7"/>
  <c r="B6" i="7"/>
  <c r="D14" i="4"/>
  <c r="D15" i="4" s="1"/>
  <c r="C22" i="1"/>
  <c r="E12" i="6"/>
  <c r="D22" i="6"/>
  <c r="E10" i="5"/>
  <c r="C22" i="6"/>
  <c r="C23" i="6" s="1"/>
  <c r="A7" i="6"/>
  <c r="B7" i="6" s="1"/>
  <c r="K21" i="6"/>
  <c r="L21" i="6" s="1"/>
  <c r="M21" i="6" s="1"/>
  <c r="O21" i="6" s="1"/>
  <c r="P21" i="6" s="1"/>
  <c r="Q21" i="6" s="1"/>
  <c r="B6" i="6"/>
  <c r="K27" i="6"/>
  <c r="L27" i="6" s="1"/>
  <c r="M27" i="6" s="1"/>
  <c r="O27" i="6" s="1"/>
  <c r="P27" i="6" s="1"/>
  <c r="Q27" i="6" s="1"/>
  <c r="D27" i="6"/>
  <c r="E27" i="6" s="1"/>
  <c r="G27" i="6" s="1"/>
  <c r="H27" i="6" s="1"/>
  <c r="H17" i="4"/>
  <c r="C5" i="1"/>
  <c r="D17" i="4"/>
  <c r="C38" i="4"/>
  <c r="E9" i="5"/>
  <c r="E8" i="5"/>
  <c r="E7" i="5"/>
  <c r="H13" i="4"/>
  <c r="C6" i="1"/>
  <c r="C33" i="4"/>
  <c r="I32" i="4"/>
  <c r="C35" i="4"/>
  <c r="I34" i="4"/>
  <c r="C39" i="4"/>
  <c r="B7" i="4"/>
  <c r="C34" i="4" s="1"/>
  <c r="C82" i="10" l="1"/>
  <c r="G82" i="10"/>
  <c r="E41" i="11"/>
  <c r="N72" i="10"/>
  <c r="P82" i="10"/>
  <c r="Q42" i="10"/>
  <c r="D42" i="10"/>
  <c r="M42" i="10"/>
  <c r="D17" i="8"/>
  <c r="M82" i="10"/>
  <c r="R72" i="10"/>
  <c r="Q72" i="10" s="1"/>
  <c r="L82" i="10"/>
  <c r="O82" i="10"/>
  <c r="H14" i="4"/>
  <c r="G15" i="10"/>
  <c r="C15" i="10"/>
  <c r="M15" i="10"/>
  <c r="O15" i="10"/>
  <c r="Q15" i="10"/>
  <c r="T11" i="10"/>
  <c r="K15" i="10"/>
  <c r="D15" i="10"/>
  <c r="H15" i="10"/>
  <c r="F41" i="10"/>
  <c r="R41" i="10"/>
  <c r="D16" i="10"/>
  <c r="J12" i="10"/>
  <c r="T71" i="10"/>
  <c r="E16" i="10"/>
  <c r="E76" i="10"/>
  <c r="I76" i="10"/>
  <c r="M76" i="10"/>
  <c r="P76" i="10"/>
  <c r="C76" i="10"/>
  <c r="D76" i="10"/>
  <c r="H76" i="10"/>
  <c r="L76" i="10"/>
  <c r="Q76" i="10"/>
  <c r="O76" i="10"/>
  <c r="K76" i="10"/>
  <c r="G76" i="10"/>
  <c r="I72" i="10"/>
  <c r="M72" i="10"/>
  <c r="D72" i="10"/>
  <c r="H72" i="10"/>
  <c r="L72" i="10"/>
  <c r="P72" i="10"/>
  <c r="G72" i="10"/>
  <c r="K72" i="10"/>
  <c r="H16" i="10"/>
  <c r="O16" i="10"/>
  <c r="O75" i="10"/>
  <c r="E75" i="10"/>
  <c r="I75" i="10"/>
  <c r="M75" i="10"/>
  <c r="D75" i="10"/>
  <c r="H75" i="10"/>
  <c r="L75" i="10"/>
  <c r="C75" i="10"/>
  <c r="K75" i="10"/>
  <c r="P75" i="10"/>
  <c r="G75" i="10"/>
  <c r="Q75" i="10"/>
  <c r="M16" i="10"/>
  <c r="P16" i="10"/>
  <c r="K16" i="10"/>
  <c r="I16" i="10"/>
  <c r="L16" i="10"/>
  <c r="G16" i="10"/>
  <c r="D23" i="9"/>
  <c r="D25" i="9" s="1"/>
  <c r="D62" i="9" s="1"/>
  <c r="E22" i="8"/>
  <c r="E23" i="8" s="1"/>
  <c r="E17" i="8" s="1"/>
  <c r="E19" i="8" s="1"/>
  <c r="D19" i="8"/>
  <c r="D18" i="8"/>
  <c r="G43" i="8"/>
  <c r="G22" i="8"/>
  <c r="G23" i="8" s="1"/>
  <c r="G17" i="8" s="1"/>
  <c r="H21" i="8"/>
  <c r="E32" i="8"/>
  <c r="M21" i="8"/>
  <c r="D17" i="7"/>
  <c r="D6" i="10" s="1"/>
  <c r="E32" i="7"/>
  <c r="H43" i="7"/>
  <c r="E17" i="7"/>
  <c r="E6" i="10" s="1"/>
  <c r="E22" i="6"/>
  <c r="G32" i="6"/>
  <c r="A8" i="6"/>
  <c r="B8" i="6" s="1"/>
  <c r="C7" i="1"/>
  <c r="I33" i="4"/>
  <c r="C36" i="4"/>
  <c r="C40" i="4" s="1"/>
  <c r="F17" i="8" l="1"/>
  <c r="O72" i="10"/>
  <c r="E72" i="10"/>
  <c r="G22" i="7"/>
  <c r="G23" i="7" s="1"/>
  <c r="G17" i="7" s="1"/>
  <c r="G6" i="10" s="1"/>
  <c r="C72" i="10"/>
  <c r="F71" i="10"/>
  <c r="J71" i="10"/>
  <c r="N71" i="10"/>
  <c r="R71" i="10"/>
  <c r="T13" i="10"/>
  <c r="R13" i="10" s="1"/>
  <c r="E18" i="8"/>
  <c r="F18" i="8" s="1"/>
  <c r="C41" i="10"/>
  <c r="I41" i="10"/>
  <c r="P41" i="10"/>
  <c r="D41" i="10"/>
  <c r="M41" i="10"/>
  <c r="G41" i="10"/>
  <c r="K41" i="10"/>
  <c r="H41" i="10"/>
  <c r="O41" i="10"/>
  <c r="L41" i="10"/>
  <c r="Q41" i="10"/>
  <c r="E41" i="10"/>
  <c r="F6" i="10"/>
  <c r="O21" i="8"/>
  <c r="F19" i="8"/>
  <c r="G32" i="8"/>
  <c r="H22" i="8"/>
  <c r="H23" i="8" s="1"/>
  <c r="H17" i="8" s="1"/>
  <c r="I21" i="8"/>
  <c r="I22" i="8" s="1"/>
  <c r="I23" i="8" s="1"/>
  <c r="K20" i="8" s="1"/>
  <c r="H43" i="8"/>
  <c r="G19" i="8"/>
  <c r="G18" i="8"/>
  <c r="F17" i="7"/>
  <c r="D19" i="7"/>
  <c r="D18" i="7"/>
  <c r="D7" i="10" s="1"/>
  <c r="D8" i="10" s="1"/>
  <c r="I43" i="7"/>
  <c r="G32" i="7"/>
  <c r="E18" i="7"/>
  <c r="E7" i="10" s="1"/>
  <c r="E8" i="10" s="1"/>
  <c r="E19" i="7"/>
  <c r="G22" i="6"/>
  <c r="D43" i="6"/>
  <c r="D23" i="6"/>
  <c r="D17" i="6" s="1"/>
  <c r="H32" i="6"/>
  <c r="I32" i="6" s="1"/>
  <c r="D7" i="1"/>
  <c r="E7" i="1" s="1"/>
  <c r="F7" i="1" s="1"/>
  <c r="G7" i="1" s="1"/>
  <c r="H7" i="1" s="1"/>
  <c r="I7" i="1" s="1"/>
  <c r="I8" i="1" s="1"/>
  <c r="D16" i="4"/>
  <c r="H15" i="4"/>
  <c r="H16" i="4" s="1"/>
  <c r="G18" i="7" l="1"/>
  <c r="G7" i="10" s="1"/>
  <c r="G8" i="10" s="1"/>
  <c r="G19" i="7"/>
  <c r="F7" i="10"/>
  <c r="F8" i="10" s="1"/>
  <c r="H71" i="10"/>
  <c r="M71" i="10"/>
  <c r="O71" i="10"/>
  <c r="P71" i="10"/>
  <c r="L71" i="10"/>
  <c r="G71" i="10"/>
  <c r="D71" i="10"/>
  <c r="E71" i="10"/>
  <c r="Q71" i="10"/>
  <c r="I71" i="10"/>
  <c r="K71" i="10"/>
  <c r="C71" i="10"/>
  <c r="N13" i="10"/>
  <c r="P13" i="10"/>
  <c r="O13" i="10"/>
  <c r="M13" i="10"/>
  <c r="L13" i="10"/>
  <c r="K13" i="10"/>
  <c r="Q13" i="10"/>
  <c r="I43" i="8"/>
  <c r="H18" i="8"/>
  <c r="H19" i="8"/>
  <c r="H32" i="8"/>
  <c r="P21" i="8"/>
  <c r="I17" i="8"/>
  <c r="J17" i="8" s="1"/>
  <c r="F18" i="7"/>
  <c r="F19" i="7"/>
  <c r="K43" i="7"/>
  <c r="H32" i="7"/>
  <c r="L21" i="7"/>
  <c r="D19" i="6"/>
  <c r="D18" i="6"/>
  <c r="H22" i="6"/>
  <c r="E43" i="6"/>
  <c r="E23" i="6"/>
  <c r="E17" i="6" s="1"/>
  <c r="D18" i="4"/>
  <c r="C10" i="1" s="1"/>
  <c r="C8" i="1"/>
  <c r="C9" i="1" s="1"/>
  <c r="I9" i="1"/>
  <c r="I10" i="1" s="1"/>
  <c r="I16" i="1" s="1"/>
  <c r="H18" i="4"/>
  <c r="H19" i="4" s="1"/>
  <c r="H24" i="4" s="1"/>
  <c r="D8" i="1"/>
  <c r="D9" i="1" s="1"/>
  <c r="E8" i="1"/>
  <c r="E9" i="1" s="1"/>
  <c r="F8" i="1"/>
  <c r="F9" i="1" s="1"/>
  <c r="G8" i="1"/>
  <c r="G9" i="1" s="1"/>
  <c r="H8" i="1"/>
  <c r="H9" i="1" s="1"/>
  <c r="I19" i="8" l="1"/>
  <c r="J19" i="8" s="1"/>
  <c r="I18" i="8"/>
  <c r="J18" i="8" s="1"/>
  <c r="K43" i="8"/>
  <c r="Q21" i="8"/>
  <c r="I32" i="8"/>
  <c r="K22" i="8"/>
  <c r="K23" i="8" s="1"/>
  <c r="K17" i="8" s="1"/>
  <c r="L20" i="8"/>
  <c r="L43" i="7"/>
  <c r="I32" i="7"/>
  <c r="M21" i="7"/>
  <c r="K20" i="6"/>
  <c r="I22" i="6"/>
  <c r="G43" i="6"/>
  <c r="G23" i="6"/>
  <c r="G17" i="6" s="1"/>
  <c r="E18" i="6"/>
  <c r="E19" i="6"/>
  <c r="K32" i="6"/>
  <c r="D31" i="4"/>
  <c r="D32" i="4" s="1"/>
  <c r="J31" i="4" s="1"/>
  <c r="J32" i="4" s="1"/>
  <c r="D19" i="4"/>
  <c r="D21" i="4" s="1"/>
  <c r="H21" i="4" s="1"/>
  <c r="I28" i="1"/>
  <c r="I18" i="1"/>
  <c r="I30" i="1" s="1"/>
  <c r="I17" i="1"/>
  <c r="I11" i="1"/>
  <c r="I23" i="1" s="1"/>
  <c r="C16" i="1"/>
  <c r="C11" i="1"/>
  <c r="E10" i="1"/>
  <c r="G10" i="1"/>
  <c r="G16" i="1" s="1"/>
  <c r="F10" i="1"/>
  <c r="F16" i="1" s="1"/>
  <c r="H10" i="1"/>
  <c r="H16" i="1" s="1"/>
  <c r="D10" i="1"/>
  <c r="D16" i="1" s="1"/>
  <c r="K32" i="8" l="1"/>
  <c r="L43" i="8"/>
  <c r="M20" i="8"/>
  <c r="L22" i="8"/>
  <c r="L23" i="8" s="1"/>
  <c r="L17" i="8" s="1"/>
  <c r="K19" i="8"/>
  <c r="K18" i="8"/>
  <c r="K32" i="7"/>
  <c r="M43" i="7"/>
  <c r="O21" i="7"/>
  <c r="D39" i="4"/>
  <c r="D36" i="4"/>
  <c r="J33" i="4"/>
  <c r="D38" i="4"/>
  <c r="D34" i="4"/>
  <c r="D22" i="4"/>
  <c r="H22" i="4" s="1"/>
  <c r="D20" i="4"/>
  <c r="H20" i="4" s="1"/>
  <c r="L20" i="6"/>
  <c r="K22" i="6"/>
  <c r="H43" i="6"/>
  <c r="G19" i="6"/>
  <c r="G18" i="6"/>
  <c r="D37" i="4"/>
  <c r="J34" i="4"/>
  <c r="D33" i="4"/>
  <c r="D35" i="4"/>
  <c r="L32" i="6"/>
  <c r="H23" i="6"/>
  <c r="H17" i="6" s="1"/>
  <c r="D24" i="4"/>
  <c r="C28" i="1"/>
  <c r="C17" i="1"/>
  <c r="C29" i="1" s="1"/>
  <c r="C18" i="1"/>
  <c r="C30" i="1" s="1"/>
  <c r="D28" i="1"/>
  <c r="D17" i="1"/>
  <c r="D29" i="1" s="1"/>
  <c r="D18" i="1"/>
  <c r="G28" i="1"/>
  <c r="G17" i="1"/>
  <c r="G18" i="1"/>
  <c r="G30" i="1" s="1"/>
  <c r="H28" i="1"/>
  <c r="H17" i="1"/>
  <c r="H18" i="1"/>
  <c r="H30" i="1" s="1"/>
  <c r="F28" i="1"/>
  <c r="F17" i="1"/>
  <c r="F18" i="1"/>
  <c r="F30" i="1" s="1"/>
  <c r="E11" i="1"/>
  <c r="E23" i="1" s="1"/>
  <c r="E16" i="1"/>
  <c r="C23" i="1"/>
  <c r="C14" i="1"/>
  <c r="C26" i="1" s="1"/>
  <c r="C13" i="1"/>
  <c r="C25" i="1" s="1"/>
  <c r="C12" i="1"/>
  <c r="I29" i="1"/>
  <c r="D11" i="1"/>
  <c r="D23" i="1" s="1"/>
  <c r="H11" i="1"/>
  <c r="H23" i="1" s="1"/>
  <c r="F11" i="1"/>
  <c r="F23" i="1" s="1"/>
  <c r="I12" i="1"/>
  <c r="I24" i="1" s="1"/>
  <c r="I14" i="1"/>
  <c r="I26" i="1" s="1"/>
  <c r="I13" i="1"/>
  <c r="I25" i="1" s="1"/>
  <c r="G11" i="1"/>
  <c r="G23" i="1" s="1"/>
  <c r="H40" i="4" l="1"/>
  <c r="H39" i="4"/>
  <c r="H38" i="4"/>
  <c r="H23" i="4"/>
  <c r="L19" i="8"/>
  <c r="L18" i="8"/>
  <c r="O20" i="8"/>
  <c r="O22" i="8" s="1"/>
  <c r="M22" i="8"/>
  <c r="M23" i="8" s="1"/>
  <c r="M17" i="8" s="1"/>
  <c r="M43" i="8"/>
  <c r="L32" i="8"/>
  <c r="L32" i="7"/>
  <c r="P21" i="7"/>
  <c r="O43" i="7"/>
  <c r="J35" i="4"/>
  <c r="I35" i="4" s="1"/>
  <c r="I36" i="4" s="1"/>
  <c r="D25" i="4"/>
  <c r="H25" i="4" s="1"/>
  <c r="D23" i="4"/>
  <c r="M20" i="6"/>
  <c r="L22" i="6"/>
  <c r="I43" i="6"/>
  <c r="I23" i="6"/>
  <c r="I17" i="6" s="1"/>
  <c r="H19" i="6"/>
  <c r="H18" i="6"/>
  <c r="M32" i="6"/>
  <c r="D26" i="4"/>
  <c r="H26" i="4" s="1"/>
  <c r="E13" i="1"/>
  <c r="E25" i="1" s="1"/>
  <c r="E12" i="1"/>
  <c r="E24" i="1" s="1"/>
  <c r="E14" i="1"/>
  <c r="E26" i="1" s="1"/>
  <c r="E28" i="1"/>
  <c r="E17" i="1"/>
  <c r="E29" i="1" s="1"/>
  <c r="E18" i="1"/>
  <c r="E30" i="1" s="1"/>
  <c r="C15" i="1"/>
  <c r="C27" i="1" s="1"/>
  <c r="C24" i="1"/>
  <c r="I15" i="1"/>
  <c r="I27" i="1" s="1"/>
  <c r="F14" i="1"/>
  <c r="F26" i="1" s="1"/>
  <c r="F12" i="1"/>
  <c r="F24" i="1" s="1"/>
  <c r="F13" i="1"/>
  <c r="F25" i="1" s="1"/>
  <c r="D13" i="1"/>
  <c r="D25" i="1" s="1"/>
  <c r="D12" i="1"/>
  <c r="D24" i="1" s="1"/>
  <c r="D14" i="1"/>
  <c r="D26" i="1" s="1"/>
  <c r="G14" i="1"/>
  <c r="G26" i="1" s="1"/>
  <c r="G13" i="1"/>
  <c r="G25" i="1" s="1"/>
  <c r="G12" i="1"/>
  <c r="G24" i="1" s="1"/>
  <c r="H14" i="1"/>
  <c r="H26" i="1" s="1"/>
  <c r="H13" i="1"/>
  <c r="H25" i="1" s="1"/>
  <c r="H12" i="1"/>
  <c r="H24" i="1" s="1"/>
  <c r="D30" i="1"/>
  <c r="G29" i="1"/>
  <c r="H29" i="1"/>
  <c r="F29" i="1"/>
  <c r="M19" i="8" l="1"/>
  <c r="N19" i="8" s="1"/>
  <c r="M18" i="8"/>
  <c r="N18" i="8" s="1"/>
  <c r="M32" i="8"/>
  <c r="O43" i="8"/>
  <c r="P20" i="8"/>
  <c r="P22" i="8" s="1"/>
  <c r="O23" i="8"/>
  <c r="O17" i="8" s="1"/>
  <c r="N17" i="8"/>
  <c r="P43" i="7"/>
  <c r="M32" i="7"/>
  <c r="Q21" i="7"/>
  <c r="O20" i="6"/>
  <c r="M22" i="6"/>
  <c r="K43" i="6"/>
  <c r="K23" i="6"/>
  <c r="K17" i="6" s="1"/>
  <c r="K19" i="6" s="1"/>
  <c r="I19" i="6"/>
  <c r="I18" i="6"/>
  <c r="O32" i="6"/>
  <c r="E15" i="1"/>
  <c r="E27" i="1" s="1"/>
  <c r="F15" i="1"/>
  <c r="F27" i="1" s="1"/>
  <c r="H15" i="1"/>
  <c r="H27" i="1" s="1"/>
  <c r="G15" i="1"/>
  <c r="G27" i="1" s="1"/>
  <c r="D15" i="1"/>
  <c r="D27" i="1" s="1"/>
  <c r="Q20" i="8" l="1"/>
  <c r="P23" i="8"/>
  <c r="P17" i="8" s="1"/>
  <c r="P43" i="8"/>
  <c r="O32" i="8"/>
  <c r="O19" i="8"/>
  <c r="O18" i="8"/>
  <c r="Q18" i="8" s="1"/>
  <c r="R18" i="8" s="1"/>
  <c r="Q43" i="7"/>
  <c r="O32" i="7"/>
  <c r="P20" i="6"/>
  <c r="O22" i="6"/>
  <c r="L43" i="6"/>
  <c r="L23" i="6"/>
  <c r="L17" i="6" s="1"/>
  <c r="L19" i="6" s="1"/>
  <c r="K18" i="6"/>
  <c r="P32" i="6"/>
  <c r="K30" i="1"/>
  <c r="K24" i="1"/>
  <c r="K25" i="1"/>
  <c r="K29" i="1"/>
  <c r="K26" i="1"/>
  <c r="Q22" i="8" l="1"/>
  <c r="T18" i="8"/>
  <c r="S18" i="8"/>
  <c r="P32" i="8"/>
  <c r="Q43" i="8"/>
  <c r="P18" i="8"/>
  <c r="P19" i="8"/>
  <c r="C31" i="8"/>
  <c r="C33" i="8" s="1"/>
  <c r="Q23" i="8"/>
  <c r="P32" i="7"/>
  <c r="Q20" i="6"/>
  <c r="P22" i="6"/>
  <c r="M43" i="6"/>
  <c r="O23" i="6"/>
  <c r="O17" i="6" s="1"/>
  <c r="O19" i="6" s="1"/>
  <c r="L18" i="6"/>
  <c r="Q32" i="6"/>
  <c r="M23" i="6"/>
  <c r="M17" i="6" s="1"/>
  <c r="M19" i="6" s="1"/>
  <c r="K27" i="1"/>
  <c r="Q32" i="8" l="1"/>
  <c r="Q17" i="8"/>
  <c r="D31" i="8"/>
  <c r="D33" i="8" s="1"/>
  <c r="C34" i="8"/>
  <c r="C28" i="8" s="1"/>
  <c r="Q32" i="7"/>
  <c r="Q22" i="6"/>
  <c r="C31" i="6"/>
  <c r="C33" i="6" s="1"/>
  <c r="O43" i="6"/>
  <c r="M18" i="6"/>
  <c r="C29" i="8" l="1"/>
  <c r="C30" i="8"/>
  <c r="E31" i="8"/>
  <c r="E33" i="8" s="1"/>
  <c r="D34" i="8"/>
  <c r="D28" i="8" s="1"/>
  <c r="Q19" i="8"/>
  <c r="R19" i="8" s="1"/>
  <c r="T19" i="8" s="1"/>
  <c r="R17" i="8"/>
  <c r="T17" i="8" s="1"/>
  <c r="D31" i="6"/>
  <c r="D33" i="6" s="1"/>
  <c r="P43" i="6"/>
  <c r="P23" i="6"/>
  <c r="P17" i="6" s="1"/>
  <c r="P19" i="6" s="1"/>
  <c r="Q23" i="6"/>
  <c r="Q17" i="6" s="1"/>
  <c r="Q19" i="6" s="1"/>
  <c r="F19" i="6"/>
  <c r="D29" i="8" l="1"/>
  <c r="D30" i="8"/>
  <c r="G31" i="8"/>
  <c r="G33" i="8" s="1"/>
  <c r="E34" i="8"/>
  <c r="E28" i="8" s="1"/>
  <c r="F28" i="8" s="1"/>
  <c r="E31" i="6"/>
  <c r="E33" i="6" s="1"/>
  <c r="Q43" i="6"/>
  <c r="O18" i="6"/>
  <c r="C34" i="6"/>
  <c r="C28" i="6" s="1"/>
  <c r="J19" i="6"/>
  <c r="F17" i="6"/>
  <c r="C30" i="6" l="1"/>
  <c r="C29" i="6"/>
  <c r="E30" i="8"/>
  <c r="F30" i="8" s="1"/>
  <c r="E29" i="8"/>
  <c r="F29" i="8" s="1"/>
  <c r="H31" i="8"/>
  <c r="H33" i="8" s="1"/>
  <c r="G34" i="8"/>
  <c r="G28" i="8" s="1"/>
  <c r="G31" i="6"/>
  <c r="G33" i="6" s="1"/>
  <c r="P18" i="6"/>
  <c r="D34" i="6"/>
  <c r="D28" i="6" s="1"/>
  <c r="F18" i="6"/>
  <c r="N19" i="6"/>
  <c r="D29" i="6" l="1"/>
  <c r="D30" i="6"/>
  <c r="G30" i="8"/>
  <c r="G29" i="8"/>
  <c r="I31" i="8"/>
  <c r="I33" i="8" s="1"/>
  <c r="H34" i="8"/>
  <c r="H28" i="8" s="1"/>
  <c r="H31" i="6"/>
  <c r="H33" i="6" s="1"/>
  <c r="R19" i="6"/>
  <c r="T19" i="6" s="1"/>
  <c r="Q18" i="6"/>
  <c r="J17" i="6"/>
  <c r="J18" i="6"/>
  <c r="H30" i="8" l="1"/>
  <c r="H29" i="8"/>
  <c r="K31" i="8"/>
  <c r="K33" i="8" s="1"/>
  <c r="I34" i="8"/>
  <c r="I31" i="6"/>
  <c r="I33" i="6" s="1"/>
  <c r="E34" i="6"/>
  <c r="E28" i="6" s="1"/>
  <c r="N17" i="6"/>
  <c r="N18" i="6"/>
  <c r="E29" i="6" l="1"/>
  <c r="E30" i="6"/>
  <c r="K34" i="8"/>
  <c r="I28" i="8"/>
  <c r="L31" i="8"/>
  <c r="L33" i="8" s="1"/>
  <c r="K31" i="6"/>
  <c r="K33" i="6" s="1"/>
  <c r="G34" i="6"/>
  <c r="G28" i="6" s="1"/>
  <c r="F28" i="6"/>
  <c r="R17" i="6"/>
  <c r="T17" i="6" s="1"/>
  <c r="R18" i="6"/>
  <c r="T18" i="6" s="1"/>
  <c r="G29" i="6" l="1"/>
  <c r="G30" i="6"/>
  <c r="J28" i="8"/>
  <c r="I29" i="8"/>
  <c r="J29" i="8" s="1"/>
  <c r="I30" i="8"/>
  <c r="J30" i="8" s="1"/>
  <c r="M31" i="8"/>
  <c r="M33" i="8" s="1"/>
  <c r="L34" i="8"/>
  <c r="K28" i="8"/>
  <c r="L31" i="6"/>
  <c r="L33" i="6" s="1"/>
  <c r="H34" i="6"/>
  <c r="H28" i="6" s="1"/>
  <c r="F30" i="6"/>
  <c r="F29" i="6"/>
  <c r="H30" i="6" l="1"/>
  <c r="H29" i="6"/>
  <c r="K30" i="8"/>
  <c r="K29" i="8"/>
  <c r="L28" i="8"/>
  <c r="M34" i="8"/>
  <c r="O31" i="8"/>
  <c r="O33" i="8" s="1"/>
  <c r="M31" i="6"/>
  <c r="M33" i="6" s="1"/>
  <c r="I34" i="6"/>
  <c r="I28" i="6" s="1"/>
  <c r="J28" i="6" l="1"/>
  <c r="I30" i="6"/>
  <c r="I29" i="6"/>
  <c r="L29" i="8"/>
  <c r="L30" i="8"/>
  <c r="M28" i="8"/>
  <c r="O34" i="8"/>
  <c r="P31" i="8"/>
  <c r="P33" i="8" s="1"/>
  <c r="O31" i="6"/>
  <c r="O33" i="6" s="1"/>
  <c r="K34" i="6"/>
  <c r="K28" i="6" s="1"/>
  <c r="J29" i="6"/>
  <c r="K30" i="6" l="1"/>
  <c r="K29" i="6"/>
  <c r="N28" i="8"/>
  <c r="M29" i="8"/>
  <c r="N29" i="8" s="1"/>
  <c r="M30" i="8"/>
  <c r="N30" i="8" s="1"/>
  <c r="O28" i="8"/>
  <c r="P34" i="8"/>
  <c r="Q31" i="8"/>
  <c r="Q33" i="8" s="1"/>
  <c r="P31" i="6"/>
  <c r="P33" i="6" s="1"/>
  <c r="L34" i="6"/>
  <c r="L28" i="6" s="1"/>
  <c r="J30" i="6"/>
  <c r="L29" i="6" l="1"/>
  <c r="L30" i="6"/>
  <c r="O29" i="8"/>
  <c r="O30" i="8"/>
  <c r="P28" i="8"/>
  <c r="Q34" i="8"/>
  <c r="C42" i="8"/>
  <c r="C44" i="8" s="1"/>
  <c r="Q31" i="6"/>
  <c r="Q33" i="6" s="1"/>
  <c r="M34" i="6"/>
  <c r="M28" i="6" s="1"/>
  <c r="N28" i="6" l="1"/>
  <c r="M29" i="6"/>
  <c r="M30" i="6"/>
  <c r="N30" i="6" s="1"/>
  <c r="N29" i="6"/>
  <c r="P30" i="8"/>
  <c r="P29" i="8"/>
  <c r="D42" i="8"/>
  <c r="D44" i="8" s="1"/>
  <c r="C45" i="8"/>
  <c r="Q28" i="8"/>
  <c r="C42" i="6"/>
  <c r="C44" i="6" s="1"/>
  <c r="O34" i="6"/>
  <c r="O28" i="6" s="1"/>
  <c r="O29" i="6" l="1"/>
  <c r="O30" i="6"/>
  <c r="R28" i="8"/>
  <c r="T28" i="8" s="1"/>
  <c r="Q30" i="8"/>
  <c r="R30" i="8" s="1"/>
  <c r="T30" i="8" s="1"/>
  <c r="Q29" i="8"/>
  <c r="R29" i="8" s="1"/>
  <c r="T29" i="8" s="1"/>
  <c r="D45" i="8"/>
  <c r="C39" i="8"/>
  <c r="E42" i="8"/>
  <c r="C45" i="6"/>
  <c r="C39" i="6" s="1"/>
  <c r="D42" i="6"/>
  <c r="D44" i="6" s="1"/>
  <c r="P34" i="6"/>
  <c r="P28" i="6" s="1"/>
  <c r="C41" i="6" l="1"/>
  <c r="C40" i="6"/>
  <c r="P29" i="6"/>
  <c r="P30" i="6"/>
  <c r="C41" i="8"/>
  <c r="C40" i="8"/>
  <c r="G42" i="8"/>
  <c r="E44" i="8"/>
  <c r="D39" i="8"/>
  <c r="E45" i="8"/>
  <c r="E42" i="6"/>
  <c r="E44" i="6" s="1"/>
  <c r="D45" i="6"/>
  <c r="D39" i="6" s="1"/>
  <c r="Q34" i="6"/>
  <c r="Q28" i="6" s="1"/>
  <c r="D41" i="6" l="1"/>
  <c r="D40" i="6"/>
  <c r="R28" i="6"/>
  <c r="T28" i="6" s="1"/>
  <c r="Q29" i="6"/>
  <c r="R29" i="6" s="1"/>
  <c r="T29" i="6" s="1"/>
  <c r="Q30" i="6"/>
  <c r="R30" i="6" s="1"/>
  <c r="T30" i="6" s="1"/>
  <c r="D41" i="8"/>
  <c r="D40" i="8"/>
  <c r="E39" i="8"/>
  <c r="G45" i="8"/>
  <c r="H42" i="8"/>
  <c r="G44" i="8"/>
  <c r="E45" i="6"/>
  <c r="E39" i="6" s="1"/>
  <c r="G42" i="6"/>
  <c r="G44" i="6" s="1"/>
  <c r="F39" i="6" l="1"/>
  <c r="E41" i="6"/>
  <c r="F41" i="6" s="1"/>
  <c r="E40" i="6"/>
  <c r="F40" i="6" s="1"/>
  <c r="F39" i="8"/>
  <c r="E41" i="8"/>
  <c r="F41" i="8" s="1"/>
  <c r="E40" i="8"/>
  <c r="F40" i="8" s="1"/>
  <c r="I42" i="8"/>
  <c r="H44" i="8"/>
  <c r="H45" i="8"/>
  <c r="G39" i="8"/>
  <c r="G45" i="6"/>
  <c r="G39" i="6" s="1"/>
  <c r="H42" i="6"/>
  <c r="H44" i="6" s="1"/>
  <c r="G40" i="6" l="1"/>
  <c r="G41" i="6"/>
  <c r="G41" i="8"/>
  <c r="G40" i="8"/>
  <c r="H39" i="8"/>
  <c r="I45" i="8"/>
  <c r="K42" i="8"/>
  <c r="I44" i="8"/>
  <c r="H45" i="6"/>
  <c r="H39" i="6" s="1"/>
  <c r="I42" i="6"/>
  <c r="I44" i="6" s="1"/>
  <c r="H41" i="6" l="1"/>
  <c r="H40" i="6"/>
  <c r="H41" i="8"/>
  <c r="H40" i="8"/>
  <c r="L42" i="8"/>
  <c r="K44" i="8"/>
  <c r="I39" i="8"/>
  <c r="K45" i="8"/>
  <c r="I45" i="6"/>
  <c r="I39" i="6" s="1"/>
  <c r="K42" i="6"/>
  <c r="K44" i="6" s="1"/>
  <c r="J39" i="6" l="1"/>
  <c r="I41" i="6"/>
  <c r="J41" i="6" s="1"/>
  <c r="I40" i="6"/>
  <c r="J40" i="6" s="1"/>
  <c r="J39" i="8"/>
  <c r="I40" i="8"/>
  <c r="J40" i="8" s="1"/>
  <c r="I41" i="8"/>
  <c r="J41" i="8" s="1"/>
  <c r="K39" i="8"/>
  <c r="L45" i="8"/>
  <c r="M42" i="8"/>
  <c r="L44" i="8"/>
  <c r="K45" i="6"/>
  <c r="L42" i="6"/>
  <c r="L44" i="6" s="1"/>
  <c r="K40" i="8" l="1"/>
  <c r="K41" i="8"/>
  <c r="O42" i="8"/>
  <c r="M44" i="8"/>
  <c r="L39" i="8"/>
  <c r="M45" i="8"/>
  <c r="L45" i="6"/>
  <c r="K39" i="6"/>
  <c r="M42" i="6"/>
  <c r="M44" i="6" s="1"/>
  <c r="K40" i="6" l="1"/>
  <c r="K41" i="6"/>
  <c r="L41" i="8"/>
  <c r="L40" i="8"/>
  <c r="M39" i="8"/>
  <c r="O45" i="8"/>
  <c r="P42" i="8"/>
  <c r="O44" i="8"/>
  <c r="M45" i="6"/>
  <c r="L39" i="6"/>
  <c r="O42" i="6"/>
  <c r="O44" i="6" s="1"/>
  <c r="L41" i="6" l="1"/>
  <c r="L40" i="6"/>
  <c r="N39" i="8"/>
  <c r="M40" i="8"/>
  <c r="N40" i="8" s="1"/>
  <c r="M41" i="8"/>
  <c r="N41" i="8" s="1"/>
  <c r="Q42" i="8"/>
  <c r="Q44" i="8" s="1"/>
  <c r="P44" i="8"/>
  <c r="P45" i="8"/>
  <c r="O39" i="8"/>
  <c r="O45" i="6"/>
  <c r="M39" i="6"/>
  <c r="P42" i="6"/>
  <c r="P44" i="6" s="1"/>
  <c r="N39" i="6" l="1"/>
  <c r="M40" i="6"/>
  <c r="N40" i="6" s="1"/>
  <c r="M41" i="6"/>
  <c r="N41" i="6" s="1"/>
  <c r="O41" i="8"/>
  <c r="O40" i="8"/>
  <c r="Q45" i="8"/>
  <c r="P39" i="8"/>
  <c r="P45" i="6"/>
  <c r="O39" i="6"/>
  <c r="Q42" i="6"/>
  <c r="Q44" i="6" s="1"/>
  <c r="O41" i="6" l="1"/>
  <c r="O40" i="6"/>
  <c r="P41" i="8"/>
  <c r="P40" i="8"/>
  <c r="Q39" i="8"/>
  <c r="Q45" i="6"/>
  <c r="Q39" i="6" s="1"/>
  <c r="P39" i="6"/>
  <c r="H22" i="7"/>
  <c r="H23" i="7" s="1"/>
  <c r="Q40" i="6" l="1"/>
  <c r="Q41" i="6"/>
  <c r="R39" i="6"/>
  <c r="T39" i="6" s="1"/>
  <c r="P40" i="6"/>
  <c r="R40" i="6" s="1"/>
  <c r="T40" i="6" s="1"/>
  <c r="P41" i="6"/>
  <c r="R41" i="6" s="1"/>
  <c r="T41" i="6" s="1"/>
  <c r="R39" i="8"/>
  <c r="T39" i="8" s="1"/>
  <c r="Q41" i="8"/>
  <c r="R41" i="8" s="1"/>
  <c r="T41" i="8" s="1"/>
  <c r="Q40" i="8"/>
  <c r="R40" i="8" s="1"/>
  <c r="T40" i="8" s="1"/>
  <c r="H17" i="7"/>
  <c r="H6" i="10" s="1"/>
  <c r="H18" i="7" l="1"/>
  <c r="H7" i="10" s="1"/>
  <c r="H8" i="10" s="1"/>
  <c r="H19" i="7"/>
  <c r="I22" i="7"/>
  <c r="I23" i="7" s="1"/>
  <c r="I17" i="7" l="1"/>
  <c r="I6" i="10" s="1"/>
  <c r="K20" i="7"/>
  <c r="L20" i="7" s="1"/>
  <c r="M20" i="7" s="1"/>
  <c r="O20" i="7" s="1"/>
  <c r="P20" i="7" s="1"/>
  <c r="Q20" i="7" s="1"/>
  <c r="I19" i="7"/>
  <c r="J19" i="7" s="1"/>
  <c r="I18" i="7"/>
  <c r="J17" i="7"/>
  <c r="J18" i="7" l="1"/>
  <c r="I7" i="10"/>
  <c r="J7" i="10" s="1"/>
  <c r="D17" i="11" s="1"/>
  <c r="D24" i="11" s="1"/>
  <c r="I8" i="10"/>
  <c r="J6" i="10"/>
  <c r="K22" i="7"/>
  <c r="K23" i="7" s="1"/>
  <c r="K17" i="7" s="1"/>
  <c r="K6" i="10" s="1"/>
  <c r="J8" i="10" l="1"/>
  <c r="D7" i="11"/>
  <c r="D14" i="11" s="1"/>
  <c r="D26" i="11" s="1"/>
  <c r="K19" i="7"/>
  <c r="K18" i="7"/>
  <c r="K7" i="10" s="1"/>
  <c r="K8" i="10" l="1"/>
  <c r="L22" i="7"/>
  <c r="L23" i="7" s="1"/>
  <c r="L17" i="7" s="1"/>
  <c r="L6" i="10" s="1"/>
  <c r="L18" i="7" l="1"/>
  <c r="L7" i="10" s="1"/>
  <c r="L19" i="7"/>
  <c r="L8" i="10" l="1"/>
  <c r="M22" i="7"/>
  <c r="M23" i="7" s="1"/>
  <c r="M17" i="7" s="1"/>
  <c r="M6" i="10" s="1"/>
  <c r="N6" i="10" l="1"/>
  <c r="N17" i="7"/>
  <c r="M18" i="7"/>
  <c r="M19" i="7"/>
  <c r="N19" i="7" s="1"/>
  <c r="N18" i="7" l="1"/>
  <c r="M7" i="10"/>
  <c r="O22" i="7"/>
  <c r="O23" i="7" s="1"/>
  <c r="O17" i="7" s="1"/>
  <c r="O6" i="10" s="1"/>
  <c r="N7" i="10" l="1"/>
  <c r="M8" i="10"/>
  <c r="P22" i="7"/>
  <c r="P23" i="7" s="1"/>
  <c r="P17" i="7" s="1"/>
  <c r="O18" i="7"/>
  <c r="O19" i="7"/>
  <c r="N8" i="10" l="1"/>
  <c r="O7" i="10"/>
  <c r="P18" i="7"/>
  <c r="P7" i="10" s="1"/>
  <c r="P6" i="10"/>
  <c r="C31" i="7"/>
  <c r="C33" i="7" s="1"/>
  <c r="Q22" i="7"/>
  <c r="Q23" i="7" s="1"/>
  <c r="P19" i="7"/>
  <c r="P8" i="10" l="1"/>
  <c r="O8" i="10"/>
  <c r="Q17" i="7"/>
  <c r="C34" i="7"/>
  <c r="C28" i="7" s="1"/>
  <c r="D31" i="7"/>
  <c r="D33" i="7" s="1"/>
  <c r="C30" i="7" l="1"/>
  <c r="C36" i="10"/>
  <c r="Q18" i="7"/>
  <c r="Q6" i="10"/>
  <c r="D34" i="7"/>
  <c r="D28" i="7" s="1"/>
  <c r="E31" i="7"/>
  <c r="E33" i="7" s="1"/>
  <c r="C29" i="7"/>
  <c r="C37" i="10" s="1"/>
  <c r="Q19" i="7"/>
  <c r="R19" i="7" s="1"/>
  <c r="T19" i="7" s="1"/>
  <c r="R17" i="7"/>
  <c r="T17" i="7" s="1"/>
  <c r="D36" i="9" l="1"/>
  <c r="D34" i="9"/>
  <c r="D66" i="9"/>
  <c r="T14" i="10" s="1"/>
  <c r="D37" i="9"/>
  <c r="Q7" i="10"/>
  <c r="R7" i="10" s="1"/>
  <c r="R18" i="7"/>
  <c r="T18" i="7" s="1"/>
  <c r="D30" i="7"/>
  <c r="D36" i="10"/>
  <c r="D38" i="10" s="1"/>
  <c r="R6" i="10"/>
  <c r="C38" i="10"/>
  <c r="E34" i="7"/>
  <c r="E28" i="7" s="1"/>
  <c r="E36" i="10" s="1"/>
  <c r="G31" i="7"/>
  <c r="G33" i="7" s="1"/>
  <c r="D29" i="7"/>
  <c r="D37" i="10" s="1"/>
  <c r="F36" i="10" l="1"/>
  <c r="R14" i="10"/>
  <c r="F14" i="10"/>
  <c r="F17" i="10" s="1"/>
  <c r="J14" i="10"/>
  <c r="J17" i="10" s="1"/>
  <c r="J19" i="10" s="1"/>
  <c r="J24" i="10" s="1"/>
  <c r="J28" i="10" s="1"/>
  <c r="N14" i="10"/>
  <c r="N17" i="10" s="1"/>
  <c r="T7" i="10"/>
  <c r="T6" i="10"/>
  <c r="T10" i="10"/>
  <c r="D76" i="9"/>
  <c r="Q8" i="10"/>
  <c r="R8" i="10"/>
  <c r="F28" i="7"/>
  <c r="E30" i="7"/>
  <c r="F30" i="7" s="1"/>
  <c r="G34" i="7"/>
  <c r="G28" i="7" s="1"/>
  <c r="H31" i="7"/>
  <c r="H33" i="7" s="1"/>
  <c r="E29" i="7"/>
  <c r="N19" i="10" l="1"/>
  <c r="N24" i="10" s="1"/>
  <c r="N28" i="10" s="1"/>
  <c r="D29" i="11"/>
  <c r="D36" i="11" s="1"/>
  <c r="D38" i="11" s="1"/>
  <c r="D43" i="11" s="1"/>
  <c r="F19" i="10"/>
  <c r="F24" i="10" s="1"/>
  <c r="F28" i="10" s="1"/>
  <c r="F10" i="10"/>
  <c r="R10" i="10"/>
  <c r="J10" i="10"/>
  <c r="N10" i="10"/>
  <c r="T17" i="10"/>
  <c r="Q14" i="10"/>
  <c r="Q17" i="10" s="1"/>
  <c r="Q19" i="10" s="1"/>
  <c r="Q24" i="10" s="1"/>
  <c r="Q28" i="10" s="1"/>
  <c r="D14" i="10"/>
  <c r="D17" i="10" s="1"/>
  <c r="D19" i="10" s="1"/>
  <c r="D24" i="10" s="1"/>
  <c r="D28" i="10" s="1"/>
  <c r="M14" i="10"/>
  <c r="M17" i="10" s="1"/>
  <c r="M19" i="10" s="1"/>
  <c r="M24" i="10" s="1"/>
  <c r="M28" i="10" s="1"/>
  <c r="O14" i="10"/>
  <c r="O17" i="10" s="1"/>
  <c r="O19" i="10" s="1"/>
  <c r="O24" i="10" s="1"/>
  <c r="O28" i="10" s="1"/>
  <c r="E14" i="10"/>
  <c r="E17" i="10" s="1"/>
  <c r="E19" i="10" s="1"/>
  <c r="E24" i="10" s="1"/>
  <c r="E28" i="10" s="1"/>
  <c r="I14" i="10"/>
  <c r="I17" i="10" s="1"/>
  <c r="I19" i="10" s="1"/>
  <c r="I24" i="10" s="1"/>
  <c r="I28" i="10" s="1"/>
  <c r="L14" i="10"/>
  <c r="L17" i="10" s="1"/>
  <c r="L19" i="10" s="1"/>
  <c r="L24" i="10" s="1"/>
  <c r="L28" i="10" s="1"/>
  <c r="P14" i="10"/>
  <c r="P17" i="10" s="1"/>
  <c r="P19" i="10" s="1"/>
  <c r="P24" i="10" s="1"/>
  <c r="P28" i="10" s="1"/>
  <c r="H14" i="10"/>
  <c r="H17" i="10" s="1"/>
  <c r="H19" i="10" s="1"/>
  <c r="H24" i="10" s="1"/>
  <c r="H28" i="10" s="1"/>
  <c r="K14" i="10"/>
  <c r="K17" i="10" s="1"/>
  <c r="K19" i="10" s="1"/>
  <c r="K24" i="10" s="1"/>
  <c r="K28" i="10" s="1"/>
  <c r="C14" i="10"/>
  <c r="C17" i="10" s="1"/>
  <c r="C19" i="10" s="1"/>
  <c r="C24" i="10" s="1"/>
  <c r="C28" i="10" s="1"/>
  <c r="G14" i="10"/>
  <c r="G17" i="10" s="1"/>
  <c r="G19" i="10" s="1"/>
  <c r="G24" i="10" s="1"/>
  <c r="G28" i="10" s="1"/>
  <c r="R17" i="10"/>
  <c r="R19" i="10" s="1"/>
  <c r="R24" i="10" s="1"/>
  <c r="R28" i="10" s="1"/>
  <c r="F29" i="7"/>
  <c r="E37" i="10"/>
  <c r="T8" i="10"/>
  <c r="G30" i="7"/>
  <c r="G36" i="10"/>
  <c r="H34" i="7"/>
  <c r="H28" i="7" s="1"/>
  <c r="H36" i="10" s="1"/>
  <c r="I31" i="7"/>
  <c r="G29" i="7"/>
  <c r="G37" i="10" s="1"/>
  <c r="T19" i="10" l="1"/>
  <c r="T24" i="10" s="1"/>
  <c r="T28" i="10" s="1"/>
  <c r="Q10" i="10"/>
  <c r="D10" i="10"/>
  <c r="K10" i="10"/>
  <c r="L10" i="10"/>
  <c r="M10" i="10"/>
  <c r="I10" i="10"/>
  <c r="E10" i="10"/>
  <c r="O10" i="10"/>
  <c r="G10" i="10"/>
  <c r="P10" i="10"/>
  <c r="H10" i="10"/>
  <c r="C10" i="10"/>
  <c r="G38" i="10"/>
  <c r="E38" i="10"/>
  <c r="F37" i="10"/>
  <c r="K31" i="7"/>
  <c r="K33" i="7" s="1"/>
  <c r="I33" i="7"/>
  <c r="I34" i="7" s="1"/>
  <c r="H29" i="7"/>
  <c r="H37" i="10" s="1"/>
  <c r="H38" i="10" s="1"/>
  <c r="H30" i="7"/>
  <c r="F38" i="10" l="1"/>
  <c r="I28" i="7"/>
  <c r="I36" i="10" s="1"/>
  <c r="K34" i="7"/>
  <c r="L34" i="7" s="1"/>
  <c r="M34" i="7" s="1"/>
  <c r="L31" i="7"/>
  <c r="L33" i="7" s="1"/>
  <c r="J36" i="10" l="1"/>
  <c r="E7" i="11" s="1"/>
  <c r="E14" i="11" s="1"/>
  <c r="K28" i="7"/>
  <c r="K36" i="10" s="1"/>
  <c r="J28" i="7"/>
  <c r="I30" i="7"/>
  <c r="J30" i="7" s="1"/>
  <c r="I29" i="7"/>
  <c r="M31" i="7"/>
  <c r="M33" i="7" s="1"/>
  <c r="J29" i="7" l="1"/>
  <c r="I37" i="10"/>
  <c r="K30" i="7"/>
  <c r="K29" i="7"/>
  <c r="K37" i="10" s="1"/>
  <c r="O31" i="7"/>
  <c r="O33" i="7" s="1"/>
  <c r="L28" i="7"/>
  <c r="L36" i="10" s="1"/>
  <c r="K38" i="10" l="1"/>
  <c r="J37" i="10"/>
  <c r="I38" i="10"/>
  <c r="L30" i="7"/>
  <c r="L29" i="7"/>
  <c r="L37" i="10" s="1"/>
  <c r="O34" i="7"/>
  <c r="M28" i="7"/>
  <c r="M36" i="10" s="1"/>
  <c r="P31" i="7"/>
  <c r="P33" i="7" s="1"/>
  <c r="J38" i="10" l="1"/>
  <c r="E17" i="11"/>
  <c r="E24" i="11" s="1"/>
  <c r="E26" i="11" s="1"/>
  <c r="L38" i="10"/>
  <c r="N36" i="10"/>
  <c r="N28" i="7"/>
  <c r="M29" i="7"/>
  <c r="M30" i="7"/>
  <c r="N30" i="7" s="1"/>
  <c r="Q31" i="7"/>
  <c r="Q33" i="7" s="1"/>
  <c r="P34" i="7"/>
  <c r="O28" i="7"/>
  <c r="O36" i="10" s="1"/>
  <c r="N29" i="7" l="1"/>
  <c r="M37" i="10"/>
  <c r="O29" i="7"/>
  <c r="O37" i="10" s="1"/>
  <c r="O30" i="7"/>
  <c r="Q34" i="7"/>
  <c r="P28" i="7"/>
  <c r="P36" i="10" s="1"/>
  <c r="C42" i="7"/>
  <c r="C44" i="7" s="1"/>
  <c r="N37" i="10" l="1"/>
  <c r="M38" i="10"/>
  <c r="O38" i="10"/>
  <c r="P30" i="7"/>
  <c r="P29" i="7"/>
  <c r="P37" i="10" s="1"/>
  <c r="C45" i="7"/>
  <c r="D45" i="7" s="1"/>
  <c r="E45" i="7" s="1"/>
  <c r="Q28" i="7"/>
  <c r="Q36" i="10" s="1"/>
  <c r="D42" i="7"/>
  <c r="D44" i="7" s="1"/>
  <c r="N38" i="10" l="1"/>
  <c r="P38" i="10"/>
  <c r="R36" i="10"/>
  <c r="R28" i="7"/>
  <c r="T28" i="7" s="1"/>
  <c r="Q30" i="7"/>
  <c r="R30" i="7" s="1"/>
  <c r="T30" i="7" s="1"/>
  <c r="Q29" i="7"/>
  <c r="Q37" i="10" s="1"/>
  <c r="R37" i="10" s="1"/>
  <c r="T37" i="10" s="1"/>
  <c r="C39" i="7"/>
  <c r="D39" i="7"/>
  <c r="E42" i="7"/>
  <c r="E44" i="7" s="1"/>
  <c r="G45" i="7"/>
  <c r="H45" i="7" s="1"/>
  <c r="I45" i="7" s="1"/>
  <c r="K45" i="7" s="1"/>
  <c r="L45" i="7" s="1"/>
  <c r="M45" i="7" s="1"/>
  <c r="O45" i="7" s="1"/>
  <c r="P45" i="7" s="1"/>
  <c r="Q45" i="7" s="1"/>
  <c r="E39" i="7"/>
  <c r="Q38" i="10" l="1"/>
  <c r="E34" i="9"/>
  <c r="E66" i="9"/>
  <c r="T44" i="10" s="1"/>
  <c r="E37" i="9"/>
  <c r="E36" i="9"/>
  <c r="T40" i="10" s="1"/>
  <c r="T36" i="10"/>
  <c r="E41" i="7"/>
  <c r="E66" i="10"/>
  <c r="D41" i="7"/>
  <c r="D66" i="10"/>
  <c r="C41" i="7"/>
  <c r="C66" i="10"/>
  <c r="R38" i="10"/>
  <c r="C40" i="7"/>
  <c r="C67" i="10" s="1"/>
  <c r="R29" i="7"/>
  <c r="T29" i="7" s="1"/>
  <c r="F39" i="7"/>
  <c r="G42" i="7"/>
  <c r="G44" i="7" s="1"/>
  <c r="R40" i="10" l="1"/>
  <c r="N40" i="10"/>
  <c r="F40" i="10"/>
  <c r="J40" i="10"/>
  <c r="F41" i="7"/>
  <c r="R44" i="10"/>
  <c r="J44" i="10"/>
  <c r="F44" i="10"/>
  <c r="N44" i="10"/>
  <c r="C68" i="10"/>
  <c r="F66" i="10"/>
  <c r="T38" i="10"/>
  <c r="D40" i="7"/>
  <c r="H42" i="7"/>
  <c r="H44" i="7" s="1"/>
  <c r="G39" i="7"/>
  <c r="G66" i="10" s="1"/>
  <c r="I44" i="10" l="1"/>
  <c r="L44" i="10"/>
  <c r="K44" i="10"/>
  <c r="Q44" i="10"/>
  <c r="C44" i="10"/>
  <c r="G44" i="10"/>
  <c r="D44" i="10"/>
  <c r="M44" i="10"/>
  <c r="O44" i="10"/>
  <c r="P44" i="10"/>
  <c r="H44" i="10"/>
  <c r="E44" i="10"/>
  <c r="Q40" i="10"/>
  <c r="C40" i="10"/>
  <c r="O40" i="10"/>
  <c r="H40" i="10"/>
  <c r="E40" i="10"/>
  <c r="G40" i="10"/>
  <c r="I40" i="10"/>
  <c r="D40" i="10"/>
  <c r="M40" i="10"/>
  <c r="P40" i="10"/>
  <c r="L40" i="10"/>
  <c r="K40" i="10"/>
  <c r="E40" i="7"/>
  <c r="E67" i="10" s="1"/>
  <c r="E68" i="10" s="1"/>
  <c r="D67" i="10"/>
  <c r="F40" i="7"/>
  <c r="G41" i="7"/>
  <c r="G40" i="7"/>
  <c r="G67" i="10" s="1"/>
  <c r="G68" i="10" s="1"/>
  <c r="I42" i="7"/>
  <c r="H39" i="7"/>
  <c r="H66" i="10" s="1"/>
  <c r="K39" i="7"/>
  <c r="K66" i="10" s="1"/>
  <c r="D68" i="10" l="1"/>
  <c r="F67" i="10"/>
  <c r="K42" i="7"/>
  <c r="K44" i="7" s="1"/>
  <c r="I44" i="7"/>
  <c r="K41" i="7"/>
  <c r="K40" i="7"/>
  <c r="K67" i="10" s="1"/>
  <c r="K68" i="10" s="1"/>
  <c r="H41" i="7"/>
  <c r="H40" i="7"/>
  <c r="H67" i="10" s="1"/>
  <c r="H68" i="10" s="1"/>
  <c r="I39" i="7"/>
  <c r="I66" i="10" s="1"/>
  <c r="L39" i="7"/>
  <c r="L66" i="10" s="1"/>
  <c r="F68" i="10" l="1"/>
  <c r="J66" i="10"/>
  <c r="F7" i="11" s="1"/>
  <c r="F14" i="11" s="1"/>
  <c r="J39" i="7"/>
  <c r="I40" i="7"/>
  <c r="I41" i="7"/>
  <c r="J41" i="7" s="1"/>
  <c r="L41" i="7"/>
  <c r="L40" i="7"/>
  <c r="L67" i="10" s="1"/>
  <c r="L42" i="7"/>
  <c r="L44" i="7" s="1"/>
  <c r="M39" i="7"/>
  <c r="M66" i="10" s="1"/>
  <c r="N66" i="10" s="1"/>
  <c r="J40" i="7" l="1"/>
  <c r="I67" i="10"/>
  <c r="L68" i="10"/>
  <c r="N39" i="7"/>
  <c r="M41" i="7"/>
  <c r="N41" i="7" s="1"/>
  <c r="M40" i="7"/>
  <c r="M42" i="7"/>
  <c r="M44" i="7" s="1"/>
  <c r="O39" i="7"/>
  <c r="O66" i="10" s="1"/>
  <c r="N40" i="7" l="1"/>
  <c r="M67" i="10"/>
  <c r="J67" i="10"/>
  <c r="I68" i="10"/>
  <c r="O41" i="7"/>
  <c r="O40" i="7"/>
  <c r="O67" i="10" s="1"/>
  <c r="O42" i="7"/>
  <c r="O44" i="7" s="1"/>
  <c r="P39" i="7"/>
  <c r="P66" i="10" s="1"/>
  <c r="J68" i="10" l="1"/>
  <c r="F17" i="11"/>
  <c r="F24" i="11" s="1"/>
  <c r="F26" i="11" s="1"/>
  <c r="M68" i="10"/>
  <c r="N67" i="10"/>
  <c r="R66" i="10"/>
  <c r="O68" i="10"/>
  <c r="P41" i="7"/>
  <c r="P40" i="7"/>
  <c r="P67" i="10" s="1"/>
  <c r="P42" i="7"/>
  <c r="P44" i="7" s="1"/>
  <c r="Q39" i="7"/>
  <c r="Q66" i="10" s="1"/>
  <c r="N68" i="10" l="1"/>
  <c r="T66" i="10"/>
  <c r="G7" i="11"/>
  <c r="G14" i="11" s="1"/>
  <c r="P68" i="10"/>
  <c r="R39" i="7"/>
  <c r="T39" i="7" s="1"/>
  <c r="Q41" i="7"/>
  <c r="R41" i="7" s="1"/>
  <c r="T41" i="7" s="1"/>
  <c r="Q40" i="7"/>
  <c r="Q42" i="7"/>
  <c r="Q44" i="7" s="1"/>
  <c r="F66" i="9" l="1"/>
  <c r="T74" i="10" s="1"/>
  <c r="F37" i="9"/>
  <c r="F36" i="9"/>
  <c r="F34" i="9"/>
  <c r="T70" i="10" s="1"/>
  <c r="R40" i="7"/>
  <c r="T40" i="7" s="1"/>
  <c r="Q67" i="10"/>
  <c r="F12" i="9"/>
  <c r="F7" i="9"/>
  <c r="F8" i="9"/>
  <c r="F10" i="9"/>
  <c r="F11" i="9"/>
  <c r="F13" i="9"/>
  <c r="E22" i="9"/>
  <c r="E23" i="9" s="1"/>
  <c r="E25" i="9" s="1"/>
  <c r="E62" i="9" s="1"/>
  <c r="F19" i="9"/>
  <c r="R70" i="10" l="1"/>
  <c r="J70" i="10"/>
  <c r="F70" i="10"/>
  <c r="N70" i="10"/>
  <c r="F74" i="10"/>
  <c r="N74" i="10"/>
  <c r="J74" i="10"/>
  <c r="R74" i="10"/>
  <c r="E76" i="9"/>
  <c r="T43" i="10"/>
  <c r="Q68" i="10"/>
  <c r="R68" i="10" s="1"/>
  <c r="R67" i="10"/>
  <c r="F22" i="9"/>
  <c r="F23" i="9" s="1"/>
  <c r="F25" i="9" s="1"/>
  <c r="F62" i="9" s="1"/>
  <c r="T67" i="10" l="1"/>
  <c r="G17" i="11"/>
  <c r="G24" i="11" s="1"/>
  <c r="G26" i="11" s="1"/>
  <c r="Q70" i="10"/>
  <c r="H70" i="10"/>
  <c r="M70" i="10"/>
  <c r="D70" i="10"/>
  <c r="O70" i="10"/>
  <c r="I70" i="10"/>
  <c r="G70" i="10"/>
  <c r="P70" i="10"/>
  <c r="E70" i="10"/>
  <c r="K70" i="10"/>
  <c r="C70" i="10"/>
  <c r="L70" i="10"/>
  <c r="O74" i="10"/>
  <c r="I74" i="10"/>
  <c r="M74" i="10"/>
  <c r="H74" i="10"/>
  <c r="C74" i="10"/>
  <c r="K74" i="10"/>
  <c r="P74" i="10"/>
  <c r="D74" i="10"/>
  <c r="Q74" i="10"/>
  <c r="L74" i="10"/>
  <c r="E74" i="10"/>
  <c r="G74" i="10"/>
  <c r="F76" i="9"/>
  <c r="T73" i="10"/>
  <c r="F43" i="10"/>
  <c r="F47" i="10" s="1"/>
  <c r="R43" i="10"/>
  <c r="T47" i="10"/>
  <c r="T49" i="10" s="1"/>
  <c r="T54" i="10" s="1"/>
  <c r="T58" i="10" s="1"/>
  <c r="J43" i="10"/>
  <c r="J47" i="10" s="1"/>
  <c r="J49" i="10" s="1"/>
  <c r="J54" i="10" s="1"/>
  <c r="J58" i="10" s="1"/>
  <c r="N43" i="10"/>
  <c r="N47" i="10" s="1"/>
  <c r="T68" i="10"/>
  <c r="F49" i="10" l="1"/>
  <c r="F54" i="10" s="1"/>
  <c r="F58" i="10" s="1"/>
  <c r="E29" i="11"/>
  <c r="E36" i="11" s="1"/>
  <c r="E38" i="11" s="1"/>
  <c r="E43" i="11" s="1"/>
  <c r="E45" i="11" s="1"/>
  <c r="N49" i="10"/>
  <c r="N54" i="10" s="1"/>
  <c r="N58" i="10" s="1"/>
  <c r="Q43" i="10"/>
  <c r="Q47" i="10" s="1"/>
  <c r="Q49" i="10" s="1"/>
  <c r="Q54" i="10" s="1"/>
  <c r="Q58" i="10" s="1"/>
  <c r="P43" i="10"/>
  <c r="P47" i="10" s="1"/>
  <c r="P49" i="10" s="1"/>
  <c r="P54" i="10" s="1"/>
  <c r="P58" i="10" s="1"/>
  <c r="D43" i="10"/>
  <c r="D47" i="10" s="1"/>
  <c r="D49" i="10" s="1"/>
  <c r="D54" i="10" s="1"/>
  <c r="D58" i="10" s="1"/>
  <c r="I43" i="10"/>
  <c r="I47" i="10" s="1"/>
  <c r="I49" i="10" s="1"/>
  <c r="I54" i="10" s="1"/>
  <c r="I58" i="10" s="1"/>
  <c r="M43" i="10"/>
  <c r="M47" i="10" s="1"/>
  <c r="M49" i="10" s="1"/>
  <c r="M54" i="10" s="1"/>
  <c r="M58" i="10" s="1"/>
  <c r="E43" i="10"/>
  <c r="E47" i="10" s="1"/>
  <c r="E49" i="10" s="1"/>
  <c r="E54" i="10" s="1"/>
  <c r="E58" i="10" s="1"/>
  <c r="C43" i="10"/>
  <c r="C47" i="10" s="1"/>
  <c r="C49" i="10" s="1"/>
  <c r="C54" i="10" s="1"/>
  <c r="C58" i="10" s="1"/>
  <c r="L43" i="10"/>
  <c r="L47" i="10" s="1"/>
  <c r="L49" i="10" s="1"/>
  <c r="L54" i="10" s="1"/>
  <c r="L58" i="10" s="1"/>
  <c r="O43" i="10"/>
  <c r="O47" i="10" s="1"/>
  <c r="O49" i="10" s="1"/>
  <c r="O54" i="10" s="1"/>
  <c r="O58" i="10" s="1"/>
  <c r="G43" i="10"/>
  <c r="G47" i="10" s="1"/>
  <c r="G49" i="10" s="1"/>
  <c r="G54" i="10" s="1"/>
  <c r="G58" i="10" s="1"/>
  <c r="K43" i="10"/>
  <c r="K47" i="10" s="1"/>
  <c r="K49" i="10" s="1"/>
  <c r="K54" i="10" s="1"/>
  <c r="K58" i="10" s="1"/>
  <c r="H43" i="10"/>
  <c r="H47" i="10" s="1"/>
  <c r="H49" i="10" s="1"/>
  <c r="H54" i="10" s="1"/>
  <c r="H58" i="10" s="1"/>
  <c r="R47" i="10"/>
  <c r="R49" i="10" s="1"/>
  <c r="R54" i="10" s="1"/>
  <c r="R58" i="10" s="1"/>
  <c r="J73" i="10"/>
  <c r="J77" i="10" s="1"/>
  <c r="J79" i="10" s="1"/>
  <c r="J84" i="10" s="1"/>
  <c r="J86" i="10" s="1"/>
  <c r="J88" i="10" s="1"/>
  <c r="N73" i="10"/>
  <c r="N77" i="10" s="1"/>
  <c r="R73" i="10"/>
  <c r="F73" i="10"/>
  <c r="F77" i="10" s="1"/>
  <c r="F79" i="10" s="1"/>
  <c r="F84" i="10" s="1"/>
  <c r="T77" i="10"/>
  <c r="T79" i="10" s="1"/>
  <c r="T84" i="10" s="1"/>
  <c r="N79" i="10" l="1"/>
  <c r="N84" i="10" s="1"/>
  <c r="N86" i="10" s="1"/>
  <c r="N88" i="10" s="1"/>
  <c r="F29" i="11"/>
  <c r="F36" i="11" s="1"/>
  <c r="F38" i="11" s="1"/>
  <c r="F43" i="11" s="1"/>
  <c r="F45" i="11" s="1"/>
  <c r="O73" i="10"/>
  <c r="O77" i="10" s="1"/>
  <c r="O79" i="10" s="1"/>
  <c r="O84" i="10" s="1"/>
  <c r="O86" i="10" s="1"/>
  <c r="O88" i="10" s="1"/>
  <c r="P73" i="10"/>
  <c r="P77" i="10" s="1"/>
  <c r="P79" i="10" s="1"/>
  <c r="P84" i="10" s="1"/>
  <c r="P86" i="10" s="1"/>
  <c r="P88" i="10" s="1"/>
  <c r="Q73" i="10"/>
  <c r="Q77" i="10" s="1"/>
  <c r="Q79" i="10" s="1"/>
  <c r="Q84" i="10" s="1"/>
  <c r="D73" i="10"/>
  <c r="D77" i="10" s="1"/>
  <c r="D79" i="10" s="1"/>
  <c r="D84" i="10" s="1"/>
  <c r="G73" i="10"/>
  <c r="G77" i="10" s="1"/>
  <c r="G79" i="10" s="1"/>
  <c r="G84" i="10" s="1"/>
  <c r="G86" i="10" s="1"/>
  <c r="G88" i="10" s="1"/>
  <c r="K73" i="10"/>
  <c r="K77" i="10" s="1"/>
  <c r="K79" i="10" s="1"/>
  <c r="K84" i="10" s="1"/>
  <c r="K86" i="10" s="1"/>
  <c r="K88" i="10" s="1"/>
  <c r="I73" i="10"/>
  <c r="I77" i="10" s="1"/>
  <c r="I79" i="10" s="1"/>
  <c r="I84" i="10" s="1"/>
  <c r="I86" i="10" s="1"/>
  <c r="I88" i="10" s="1"/>
  <c r="H73" i="10"/>
  <c r="H77" i="10" s="1"/>
  <c r="H79" i="10" s="1"/>
  <c r="H84" i="10" s="1"/>
  <c r="H86" i="10" s="1"/>
  <c r="H88" i="10" s="1"/>
  <c r="L73" i="10"/>
  <c r="L77" i="10" s="1"/>
  <c r="L79" i="10" s="1"/>
  <c r="L84" i="10" s="1"/>
  <c r="L86" i="10" s="1"/>
  <c r="L88" i="10" s="1"/>
  <c r="E73" i="10"/>
  <c r="E77" i="10" s="1"/>
  <c r="E79" i="10" s="1"/>
  <c r="E84" i="10" s="1"/>
  <c r="E86" i="10" s="1"/>
  <c r="E88" i="10" s="1"/>
  <c r="M73" i="10"/>
  <c r="M77" i="10" s="1"/>
  <c r="M79" i="10" s="1"/>
  <c r="M84" i="10" s="1"/>
  <c r="M86" i="10" s="1"/>
  <c r="M88" i="10" s="1"/>
  <c r="C73" i="10"/>
  <c r="C77" i="10" s="1"/>
  <c r="C79" i="10" s="1"/>
  <c r="C84" i="10" s="1"/>
  <c r="C86" i="10" s="1"/>
  <c r="C88" i="10" s="1"/>
  <c r="R77" i="10"/>
  <c r="R79" i="10" s="1"/>
  <c r="R84" i="10" s="1"/>
  <c r="R86" i="10" s="1"/>
  <c r="R88" i="10" s="1"/>
  <c r="T86" i="10"/>
  <c r="T88" i="10" s="1"/>
  <c r="F92" i="10"/>
  <c r="F86" i="10"/>
  <c r="F88" i="10" s="1"/>
  <c r="G29" i="11" l="1"/>
  <c r="G36" i="11" s="1"/>
  <c r="G38" i="11" s="1"/>
  <c r="G43" i="11" s="1"/>
  <c r="G45" i="11" s="1"/>
  <c r="Q86" i="10"/>
  <c r="Q88" i="10" s="1"/>
  <c r="D86" i="10"/>
  <c r="D88" i="10" s="1"/>
  <c r="F95" i="10"/>
  <c r="F94" i="10"/>
  <c r="F96" i="10"/>
  <c r="D47" i="11" l="1"/>
  <c r="E47" i="11"/>
  <c r="F47" i="11"/>
  <c r="G47" i="11"/>
  <c r="G57" i="11" l="1"/>
  <c r="G56" i="11"/>
  <c r="G55" i="11"/>
  <c r="F57" i="11"/>
  <c r="F56" i="11"/>
  <c r="F55" i="11"/>
  <c r="E55" i="11"/>
  <c r="E57" i="11"/>
  <c r="E56" i="11"/>
</calcChain>
</file>

<file path=xl/sharedStrings.xml><?xml version="1.0" encoding="utf-8"?>
<sst xmlns="http://schemas.openxmlformats.org/spreadsheetml/2006/main" count="614" uniqueCount="310">
  <si>
    <t>Refunds/Rebates</t>
  </si>
  <si>
    <t>Adjusted Gross Contest Fees</t>
  </si>
  <si>
    <t>Contest Fee</t>
  </si>
  <si>
    <t>Gross Contest Fees</t>
  </si>
  <si>
    <t xml:space="preserve">Avg Number Tiered Subscriptions/Year </t>
  </si>
  <si>
    <t>Total Tiered Subscription Fees/Tier/Year</t>
  </si>
  <si>
    <t>Individual Contest Economics</t>
  </si>
  <si>
    <t>Assumptions &amp; Formulae</t>
  </si>
  <si>
    <t xml:space="preserve"> Annual Tiered Subscription Fee/Tier</t>
  </si>
  <si>
    <t>Tiered Subscription Privileges &amp; Prices</t>
  </si>
  <si>
    <t xml:space="preserve">Annual Tiered Subscription Fees (GaaS) </t>
  </si>
  <si>
    <t>Number of Contestants/Contest</t>
  </si>
  <si>
    <t>Practical Reach</t>
  </si>
  <si>
    <t>2 years</t>
  </si>
  <si>
    <t>ZUKI's Paid Per Contest Produced</t>
  </si>
  <si>
    <t>Yes, except own contests</t>
  </si>
  <si>
    <t>Payout from Production Pool: Patent License Fees</t>
  </si>
  <si>
    <t>Payment from Prize Pool: Cash Prizes</t>
  </si>
  <si>
    <t xml:space="preserve">Production Pool </t>
  </si>
  <si>
    <t>Prize Pool</t>
  </si>
  <si>
    <t>Company Net Income from Contest</t>
  </si>
  <si>
    <t>Ideal Qualifications</t>
  </si>
  <si>
    <t>Yes, 3 deep, not counting self</t>
  </si>
  <si>
    <t>Market</t>
  </si>
  <si>
    <t>Single Contest</t>
  </si>
  <si>
    <t>Zuki Tiered Subscription Fees</t>
  </si>
  <si>
    <t>Z3 / Zook - Level 3</t>
  </si>
  <si>
    <t>Z2 / Zook - Level 2</t>
  </si>
  <si>
    <t>Z1 / Zook - Level 1</t>
  </si>
  <si>
    <t>Z4 / Zook - Level 4</t>
  </si>
  <si>
    <t>Zuki Tiered Subscription Privileges &amp; Prices</t>
  </si>
  <si>
    <t>Yes, at all contest price points</t>
  </si>
  <si>
    <t>Yes, at all contest price points below $100</t>
  </si>
  <si>
    <t>Yes, at all contest price points below $20</t>
  </si>
  <si>
    <t>Compete in Contests</t>
  </si>
  <si>
    <t>Duration of AM Benes  per Downline Affiliate (Production and Prize Pools)</t>
  </si>
  <si>
    <t>Unlimited, while subscribed &amp; active on the platform as measured by Contest Production (at least 1 contest produced per quarter); otherwise 2 years</t>
  </si>
  <si>
    <t>4 years, while subscribed &amp; active on the platform as measured by Contest Production (at least 1 contest produced per quarter); otherwise 2 years</t>
  </si>
  <si>
    <t>3 years, while subscribed &amp; active on the platform as measured by Contest Production (at least 1 contest produced per quarter); otherwise 2 years</t>
  </si>
  <si>
    <t>Production Pool Share/Game</t>
  </si>
  <si>
    <t>Z1</t>
  </si>
  <si>
    <t>Z1, Z2</t>
  </si>
  <si>
    <t>Z1, Z2, Z3</t>
  </si>
  <si>
    <t>Produce Contests</t>
  </si>
  <si>
    <t>AM Benes from Production Pool/Contest</t>
  </si>
  <si>
    <t>AM Benes from Prize Pool Per Contest Per Affiliated Zook</t>
  </si>
  <si>
    <t>Top Celebrities/Politicians, Elite Athletes/Entertainers, Big Brands, Super Influencers, Businesses, Proven/Highly Active Z2 Zooks</t>
  </si>
  <si>
    <t xml:space="preserve">Celebrities/Politicians, Pro Athletes, Well Known Entertainers, Big Brands, Small &amp; Medium Influencers, SMEs, Proven/Highly Active Z1 Zooks </t>
  </si>
  <si>
    <t>Celebrities/Politicians, Elite Athletes/Entertainers, Big Brands, Small &amp; Medium Influencers, SMEs, Z4 Zooks Desiring To Build A Small Business Running Contests</t>
  </si>
  <si>
    <t>Contestants, Zooks Learning How To Build Contests</t>
  </si>
  <si>
    <t>Z2</t>
  </si>
  <si>
    <t>Z3</t>
  </si>
  <si>
    <t>Z4</t>
  </si>
  <si>
    <t>% Share of Production Pool</t>
  </si>
  <si>
    <t>Z Level (Z1 - Z4)</t>
  </si>
  <si>
    <t>Payout from Production Pool: Based on Z Level (Z1 - Z4)</t>
  </si>
  <si>
    <t>Choose one Z Level on the  C4 pull-down menu.</t>
  </si>
  <si>
    <t>Self-populating field</t>
  </si>
  <si>
    <t>Hard entry field</t>
  </si>
  <si>
    <t xml:space="preserve"> Fully verified Zook, has paid Z1 subcription fee &amp; has run 10+ Contests as a Z2 Zook, unless has 1,000,000+ social media followers </t>
  </si>
  <si>
    <t xml:space="preserve"> Fully verified Zook, has paid Z2 subcription fee &amp; has run 10+ Contests as a Z3 Zook unless has 100,000+ social media followers </t>
  </si>
  <si>
    <t xml:space="preserve"> Fully verified Zook, has paid Z3 subcription fee &amp;  has run 3+ Contests as a Z1 Zook unless has 10,000+ social media followers </t>
  </si>
  <si>
    <t xml:space="preserve"> $                                              -  </t>
  </si>
  <si>
    <t xml:space="preserve"> Open to all fully verified Zooks </t>
  </si>
  <si>
    <t>Number of Contests/Year</t>
  </si>
  <si>
    <t>Individual Contest</t>
  </si>
  <si>
    <t>Single Contest Economics - Cash Components Only</t>
  </si>
  <si>
    <t>Annual Contest Economics - Cash Components Only</t>
  </si>
  <si>
    <t>ZUKI Contest Economics - Cash Components Only</t>
  </si>
  <si>
    <t>Single Contest Economics</t>
  </si>
  <si>
    <t>Annual Contest Economics</t>
  </si>
  <si>
    <t xml:space="preserve">Annual Contests </t>
  </si>
  <si>
    <t>Percentage Allocation from this Contest's Production Pool</t>
  </si>
  <si>
    <t>Percentage Allocation from this Contest's Adjusted Gross Contest Fees</t>
  </si>
  <si>
    <t>Z1, Z2, Z3, Z4</t>
  </si>
  <si>
    <t>yes, at contest price points below $2</t>
  </si>
  <si>
    <t xml:space="preserve">Z Level-Based % Payout from the Production Pool * C19  </t>
  </si>
  <si>
    <t>Overall Payout Model</t>
  </si>
  <si>
    <t>Production Pool Payout Model</t>
  </si>
  <si>
    <t>Payout from Production Pool: AM Bene - Finder Fee (5%)</t>
  </si>
  <si>
    <t>Payout from Prize Pool: AM Bene - Three Tiered Network Fee</t>
  </si>
  <si>
    <t>Payout from Production Pool: AM Bene - Finder Fee</t>
  </si>
  <si>
    <t>Payout from Production Pool: Affiliated Marketing Benefit (AM Bene) - Finder Fee</t>
  </si>
  <si>
    <t>Payout from Prize Pool: AM Benes - Three Tiered Network Fee</t>
  </si>
  <si>
    <t>Z Level Costs and Benefits</t>
  </si>
  <si>
    <t>Basic Model</t>
  </si>
  <si>
    <t>Multiple Price Points Model</t>
  </si>
  <si>
    <t>Hard entry fields</t>
  </si>
  <si>
    <t>Engagement Rate (%)</t>
  </si>
  <si>
    <t>D14 * B8</t>
  </si>
  <si>
    <t>Company Net Income from Contests*</t>
  </si>
  <si>
    <t>*Excludes NFT and Advertising Revenue</t>
  </si>
  <si>
    <t>*</t>
  </si>
  <si>
    <t>Annual Totals</t>
  </si>
  <si>
    <t>D13 * D15</t>
  </si>
  <si>
    <t>G4 * D16</t>
  </si>
  <si>
    <t xml:space="preserve">D16 - D17 </t>
  </si>
  <si>
    <t>D18 / 2</t>
  </si>
  <si>
    <t>20% * D19</t>
  </si>
  <si>
    <t>5% * D19</t>
  </si>
  <si>
    <t xml:space="preserve">D19 - SUM (D20:D22) </t>
  </si>
  <si>
    <t>10% * D24</t>
  </si>
  <si>
    <t>90% * D24</t>
  </si>
  <si>
    <t xml:space="preserve">Z1 </t>
  </si>
  <si>
    <t>Three Tiered Affiliate Marketing Prize Pool</t>
  </si>
  <si>
    <t>Tier 1</t>
  </si>
  <si>
    <t>Tier 2</t>
  </si>
  <si>
    <t>Tier 3</t>
  </si>
  <si>
    <t>Net from Gaming</t>
  </si>
  <si>
    <t xml:space="preserve">Topline From Gaming </t>
  </si>
  <si>
    <t>Less COGS from Gaming</t>
  </si>
  <si>
    <t>3Q2022</t>
  </si>
  <si>
    <t>4Q2022</t>
  </si>
  <si>
    <t>1Q2023</t>
  </si>
  <si>
    <t>2Q2023</t>
  </si>
  <si>
    <t>July 2022 thru July 2023</t>
  </si>
  <si>
    <t>July 2023 thru July 2024</t>
  </si>
  <si>
    <t>July 2024 thru July 2025</t>
  </si>
  <si>
    <t>3Q2023</t>
  </si>
  <si>
    <t>4Q2023</t>
  </si>
  <si>
    <t>1Q2024</t>
  </si>
  <si>
    <t>2Q2024</t>
  </si>
  <si>
    <t>Fiscal 2024</t>
  </si>
  <si>
    <t>Fiscal 2023</t>
  </si>
  <si>
    <t>Fiscal 2025</t>
  </si>
  <si>
    <t>Monthly</t>
  </si>
  <si>
    <t>Annual</t>
  </si>
  <si>
    <t>3Q2024</t>
  </si>
  <si>
    <t>4Q2024</t>
  </si>
  <si>
    <t>1Q2025</t>
  </si>
  <si>
    <t>2Q2025</t>
  </si>
  <si>
    <t>Game Launch</t>
  </si>
  <si>
    <t>World Population</t>
  </si>
  <si>
    <t>Engagement Assumptions</t>
  </si>
  <si>
    <t>Average Price/Game</t>
  </si>
  <si>
    <t xml:space="preserve">Top Line Revenue </t>
  </si>
  <si>
    <t xml:space="preserve">Cost of Goods Sold </t>
  </si>
  <si>
    <t>Company Net</t>
  </si>
  <si>
    <t>Assumptions about Company Net Revenue from Gaming / Dollar</t>
  </si>
  <si>
    <t xml:space="preserve">Topline Revenue from Gaming </t>
  </si>
  <si>
    <t>Company Net Revenue from Gaming</t>
  </si>
  <si>
    <t>Monthly Games Played/Z (Player)</t>
  </si>
  <si>
    <t>Year 1</t>
  </si>
  <si>
    <t>Year 2</t>
  </si>
  <si>
    <t>Year 3</t>
  </si>
  <si>
    <t>Game Maker Growth Rate</t>
  </si>
  <si>
    <t>Unique Rate</t>
  </si>
  <si>
    <t>Average Zs Playing Games (Engaged)</t>
  </si>
  <si>
    <t>Z Game Makers</t>
  </si>
  <si>
    <t>Average Reachable Audience/Z Game Maker</t>
  </si>
  <si>
    <t>Combined Reachable Audience of All Z Game Makers</t>
  </si>
  <si>
    <t>Rate of Refunds &amp; Rebates</t>
  </si>
  <si>
    <t>About the Z Game Maker</t>
  </si>
  <si>
    <t>Hard entry field … must be a percentage greater than 0%.</t>
  </si>
  <si>
    <t>0%</t>
  </si>
  <si>
    <t>World Population (WP) Clock</t>
  </si>
  <si>
    <t>WP Connected to Internet</t>
  </si>
  <si>
    <t>WP Connected to Social Media</t>
  </si>
  <si>
    <t>Average Revenue Per Month/Z (Player)</t>
  </si>
  <si>
    <t>ZUKI Company Revenue Model (Conservative)</t>
  </si>
  <si>
    <t>ZUKI Company Revenue Model (Moderate)</t>
  </si>
  <si>
    <t>ZUKI Company Revenue Model (Agressive)</t>
  </si>
  <si>
    <t>ZUKI Modeling Tool - Z Perspective</t>
  </si>
  <si>
    <t>Basic Model - Company Perspective (First Three Years of Revenue from Gaming)</t>
  </si>
  <si>
    <t>Enable all Zs at all levels to make games</t>
  </si>
  <si>
    <t>Add only one Mega Influencer (100M+)</t>
  </si>
  <si>
    <t>.</t>
  </si>
  <si>
    <t xml:space="preserve">Z4 </t>
  </si>
  <si>
    <t>Personnel Details</t>
  </si>
  <si>
    <t>FYE</t>
  </si>
  <si>
    <t xml:space="preserve">  Sub Total</t>
  </si>
  <si>
    <t>Employee taxes/benefits</t>
  </si>
  <si>
    <t>Total</t>
  </si>
  <si>
    <t>CEO</t>
  </si>
  <si>
    <t>CFO</t>
  </si>
  <si>
    <t>CMO</t>
  </si>
  <si>
    <t>CTO</t>
  </si>
  <si>
    <t>Accountant 1</t>
  </si>
  <si>
    <t>Accounts Payable</t>
  </si>
  <si>
    <t>Tech Staff 2</t>
  </si>
  <si>
    <t>Tech Staff 1</t>
  </si>
  <si>
    <t>Marketing Staff 2</t>
  </si>
  <si>
    <t>Marketing Staff 1</t>
  </si>
  <si>
    <t>VP Business Development</t>
  </si>
  <si>
    <t>VP Marketing</t>
  </si>
  <si>
    <t>Corp Assistant 1</t>
  </si>
  <si>
    <t>Corp Assistant 2</t>
  </si>
  <si>
    <t>Social Media Mgr</t>
  </si>
  <si>
    <t>FYE*</t>
  </si>
  <si>
    <t>Assumes avg start date Sept 30, 2022 (9 mo)</t>
  </si>
  <si>
    <t xml:space="preserve"> </t>
  </si>
  <si>
    <t>Total Expenses</t>
  </si>
  <si>
    <t>Cost Detail Estimates</t>
  </si>
  <si>
    <t>est $400/mo</t>
  </si>
  <si>
    <t>est $5,000/mth inc cam</t>
  </si>
  <si>
    <t>annual audit $20k; qtr reviews $5k each; tax return $5k</t>
  </si>
  <si>
    <t>est $500/mo</t>
  </si>
  <si>
    <t>Supplies</t>
  </si>
  <si>
    <t>Accounting Services</t>
  </si>
  <si>
    <t>Legal Fees</t>
  </si>
  <si>
    <t>$5k avg/mo inc securities transactions</t>
  </si>
  <si>
    <t>Postage and Delivery</t>
  </si>
  <si>
    <t>est $300/mo</t>
  </si>
  <si>
    <t>Janitorial</t>
  </si>
  <si>
    <t>Security</t>
  </si>
  <si>
    <t>alarm system $75/mo</t>
  </si>
  <si>
    <t>Meals and Entertainment</t>
  </si>
  <si>
    <t>est $1,000/mo</t>
  </si>
  <si>
    <t>Rent Expense</t>
  </si>
  <si>
    <t>Repairs and Maintenance</t>
  </si>
  <si>
    <t>est $500/mth</t>
  </si>
  <si>
    <t>Telephone/Internet Expense</t>
  </si>
  <si>
    <t>Travel Expense</t>
  </si>
  <si>
    <t>est $2,000/mo</t>
  </si>
  <si>
    <t>Utilities</t>
  </si>
  <si>
    <t>Licenses and Permits</t>
  </si>
  <si>
    <t>electric, gas, water est @ $650/mth</t>
  </si>
  <si>
    <t>Annual NV filings; bus license</t>
  </si>
  <si>
    <t>Micellaneous Exp</t>
  </si>
  <si>
    <t>Office Machine leases</t>
  </si>
  <si>
    <t>Office machines/copier</t>
  </si>
  <si>
    <t>Stock Transfer Agent</t>
  </si>
  <si>
    <t>$750 per mo + $5k</t>
  </si>
  <si>
    <t>OTC Market Fees</t>
  </si>
  <si>
    <t>Annual fees</t>
  </si>
  <si>
    <t>Personnel</t>
  </si>
  <si>
    <t>From chart above inc taxes/benefits</t>
  </si>
  <si>
    <t>Equipment Purchases</t>
  </si>
  <si>
    <t>$2k/mo</t>
  </si>
  <si>
    <t>est $100/mo</t>
  </si>
  <si>
    <t>Equip/Furn $5k per employee</t>
  </si>
  <si>
    <t>Shareholder meetings</t>
  </si>
  <si>
    <t>Annual meeting w/materials</t>
  </si>
  <si>
    <t>Website/domain</t>
  </si>
  <si>
    <t>Investor PR/mktg</t>
  </si>
  <si>
    <t>Merchant Account Fees</t>
  </si>
  <si>
    <t>Software/subscriptions</t>
  </si>
  <si>
    <t>est $250/mo</t>
  </si>
  <si>
    <t>Regional Licensing exp - games</t>
  </si>
  <si>
    <t>Fixed</t>
  </si>
  <si>
    <t>Corp Insurance</t>
  </si>
  <si>
    <t>est $150/mo</t>
  </si>
  <si>
    <t>Print Marketing/Graphics</t>
  </si>
  <si>
    <t>Production exp</t>
  </si>
  <si>
    <t>licensing other regions</t>
  </si>
  <si>
    <t>production exp for games</t>
  </si>
  <si>
    <t>merchant fees</t>
  </si>
  <si>
    <t>"2024" assumptions</t>
  </si>
  <si>
    <t>Consulting Services - software dev</t>
  </si>
  <si>
    <t>Consulting Services - NFT/Crypto</t>
  </si>
  <si>
    <t>Consulting Services - marketing</t>
  </si>
  <si>
    <t>streaming/mktg costs for games</t>
  </si>
  <si>
    <t>Game Marketing/Streaming exp</t>
  </si>
  <si>
    <t>Digital Marketing</t>
  </si>
  <si>
    <t>Variable (covered within production pool?)</t>
  </si>
  <si>
    <t>Consulting Services - mobile app dev</t>
  </si>
  <si>
    <t>ZUKI Company Projections</t>
  </si>
  <si>
    <t>Moderate Revenue Model</t>
  </si>
  <si>
    <t>Variable Expenses</t>
  </si>
  <si>
    <t>Office Expenses</t>
  </si>
  <si>
    <t>Professional/Licensing</t>
  </si>
  <si>
    <t>Marketing</t>
  </si>
  <si>
    <t>Consulting</t>
  </si>
  <si>
    <t>Miscellaneous</t>
  </si>
  <si>
    <t xml:space="preserve">   Total Expenses</t>
  </si>
  <si>
    <t>EBITDA</t>
  </si>
  <si>
    <t>Depreciation/Amort</t>
  </si>
  <si>
    <t>Interest Expense</t>
  </si>
  <si>
    <t>Net Income before taxes</t>
  </si>
  <si>
    <t>Reserve for income taxes</t>
  </si>
  <si>
    <t>Net Income (Loss) after taxes</t>
  </si>
  <si>
    <t>Valuation Analysis</t>
  </si>
  <si>
    <t>PE x 20</t>
  </si>
  <si>
    <t>PE x 25</t>
  </si>
  <si>
    <t>PE x 30</t>
  </si>
  <si>
    <t>Income before taxes</t>
  </si>
  <si>
    <t>2024/2025</t>
  </si>
  <si>
    <t>5% of Gross</t>
  </si>
  <si>
    <t>``</t>
  </si>
  <si>
    <t>1st</t>
  </si>
  <si>
    <t>2nd</t>
  </si>
  <si>
    <t>3rd</t>
  </si>
  <si>
    <t>Mr. P.</t>
  </si>
  <si>
    <t>All players (win or lose) receive an allocation of Zukis per Round</t>
  </si>
  <si>
    <t>2023</t>
  </si>
  <si>
    <t>2024</t>
  </si>
  <si>
    <t>ZUKI Inc.</t>
  </si>
  <si>
    <t>Consolidated Financial Proforma</t>
  </si>
  <si>
    <t>Zuki Inc.</t>
  </si>
  <si>
    <t>Revenues</t>
  </si>
  <si>
    <t>Billion Graves</t>
  </si>
  <si>
    <t>Total Revenues</t>
  </si>
  <si>
    <t>D-Life</t>
  </si>
  <si>
    <t>2025</t>
  </si>
  <si>
    <t>GTR24H</t>
  </si>
  <si>
    <t>Moneyball</t>
  </si>
  <si>
    <t>Delivery Drop</t>
  </si>
  <si>
    <t>Gross Profit</t>
  </si>
  <si>
    <t>Years ending 2022 to 2025</t>
  </si>
  <si>
    <t>Delivery Drop estimates converted from GBP to USD at 1.16:1.00</t>
  </si>
  <si>
    <t>Moneyball estimates converted from Euro to USD at 1.00: 1.00</t>
  </si>
  <si>
    <t>Valuation Estimates</t>
  </si>
  <si>
    <t>10x Net Income</t>
  </si>
  <si>
    <t>15x Net Income</t>
  </si>
  <si>
    <t>20x Net Income</t>
  </si>
  <si>
    <t>Cost of Revenues</t>
  </si>
  <si>
    <t>Total Cost of Revenues</t>
  </si>
  <si>
    <t>Cost of Revenue</t>
  </si>
  <si>
    <t>All Other Expenses</t>
  </si>
  <si>
    <t>Total All Other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</si>
</sst>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* #,##0.000_);_(* \(#,##0.000\);_(* &quot;-&quot;??_);_(@_)"/>
    <numFmt numFmtId="168" formatCode="[$-409]mmm\-yy;@"/>
    <numFmt numFmtId="169" formatCode="0.000"/>
    <numFmt numFmtId="170" formatCode="&quot;$&quot;#,##0.0_);[Red]\(&quot;$&quot;#,##0.0\)"/>
  </numFmts>
  <fonts count="3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50505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 val="singleAccounting"/>
      <sz val="11"/>
      <color indexed="8"/>
      <name val="Calibri"/>
      <family val="2"/>
    </font>
    <font>
      <u val="singleAccounting"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 val="doubleAccounting"/>
      <sz val="11"/>
      <color indexed="8"/>
      <name val="Calibri"/>
      <family val="2"/>
    </font>
    <font>
      <u val="singleAccounting"/>
      <sz val="14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u val="doubleAccounting"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.9"/>
      <color rgb="FF444444"/>
      <name val="Inherit"/>
    </font>
    <font>
      <b/>
      <sz val="9.9"/>
      <color rgb="FF444444"/>
      <name val="Inherit"/>
    </font>
    <font>
      <sz val="9.9"/>
      <color rgb="FF939597"/>
      <name val="Inherit"/>
    </font>
    <font>
      <sz val="9.9"/>
      <color rgb="FF939597"/>
      <name val="Inherit"/>
    </font>
  </fonts>
  <fills count="2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C65911"/>
        <bgColor rgb="FF000000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9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8" fontId="0" fillId="0" borderId="1" xfId="0" applyNumberFormat="1" applyBorder="1"/>
    <xf numFmtId="0" fontId="0" fillId="0" borderId="5" xfId="0" applyBorder="1" applyAlignment="1">
      <alignment wrapText="1"/>
    </xf>
    <xf numFmtId="8" fontId="0" fillId="0" borderId="6" xfId="0" applyNumberFormat="1" applyBorder="1"/>
    <xf numFmtId="0" fontId="0" fillId="0" borderId="13" xfId="0" applyBorder="1" applyAlignment="1">
      <alignment wrapText="1"/>
    </xf>
    <xf numFmtId="164" fontId="4" fillId="0" borderId="1" xfId="1" applyNumberFormat="1" applyFont="1" applyFill="1" applyBorder="1"/>
    <xf numFmtId="0" fontId="0" fillId="4" borderId="5" xfId="0" applyFill="1" applyBorder="1" applyAlignment="1">
      <alignment wrapText="1"/>
    </xf>
    <xf numFmtId="0" fontId="0" fillId="4" borderId="13" xfId="0" applyFill="1" applyBorder="1" applyAlignment="1">
      <alignment wrapText="1"/>
    </xf>
    <xf numFmtId="164" fontId="4" fillId="0" borderId="6" xfId="1" applyNumberFormat="1" applyFont="1" applyFill="1" applyBorder="1"/>
    <xf numFmtId="0" fontId="7" fillId="5" borderId="13" xfId="0" applyFont="1" applyFill="1" applyBorder="1" applyAlignment="1">
      <alignment wrapText="1"/>
    </xf>
    <xf numFmtId="0" fontId="8" fillId="2" borderId="15" xfId="0" applyFont="1" applyFill="1" applyBorder="1"/>
    <xf numFmtId="0" fontId="0" fillId="2" borderId="15" xfId="0" applyFill="1" applyBorder="1"/>
    <xf numFmtId="0" fontId="5" fillId="2" borderId="15" xfId="0" applyFont="1" applyFill="1" applyBorder="1"/>
    <xf numFmtId="0" fontId="9" fillId="2" borderId="16" xfId="0" applyFont="1" applyFill="1" applyBorder="1" applyAlignment="1">
      <alignment horizontal="center" vertical="top"/>
    </xf>
    <xf numFmtId="0" fontId="0" fillId="2" borderId="17" xfId="0" applyFill="1" applyBorder="1"/>
    <xf numFmtId="0" fontId="0" fillId="2" borderId="16" xfId="0" applyFill="1" applyBorder="1" applyAlignment="1">
      <alignment horizontal="center" vertical="top"/>
    </xf>
    <xf numFmtId="0" fontId="0" fillId="2" borderId="18" xfId="0" applyFill="1" applyBorder="1" applyAlignment="1">
      <alignment wrapText="1"/>
    </xf>
    <xf numFmtId="0" fontId="0" fillId="2" borderId="18" xfId="0" applyFill="1" applyBorder="1"/>
    <xf numFmtId="0" fontId="0" fillId="2" borderId="18" xfId="0" applyFill="1" applyBorder="1" applyAlignment="1">
      <alignment horizontal="center"/>
    </xf>
    <xf numFmtId="3" fontId="0" fillId="2" borderId="18" xfId="0" applyNumberFormat="1" applyFill="1" applyBorder="1" applyAlignment="1">
      <alignment horizontal="left"/>
    </xf>
    <xf numFmtId="0" fontId="0" fillId="2" borderId="18" xfId="0" applyFill="1" applyBorder="1" applyAlignment="1">
      <alignment horizontal="center" wrapText="1"/>
    </xf>
    <xf numFmtId="8" fontId="0" fillId="0" borderId="0" xfId="0" applyNumberFormat="1"/>
    <xf numFmtId="164" fontId="0" fillId="0" borderId="0" xfId="1" applyNumberFormat="1" applyFont="1"/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8" borderId="20" xfId="0" applyFill="1" applyBorder="1"/>
    <xf numFmtId="0" fontId="0" fillId="3" borderId="5" xfId="0" applyFill="1" applyBorder="1" applyAlignment="1">
      <alignment wrapText="1"/>
    </xf>
    <xf numFmtId="0" fontId="0" fillId="3" borderId="13" xfId="0" applyFill="1" applyBorder="1" applyAlignment="1">
      <alignment wrapText="1"/>
    </xf>
    <xf numFmtId="9" fontId="0" fillId="3" borderId="1" xfId="0" applyNumberForma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wrapText="1"/>
    </xf>
    <xf numFmtId="0" fontId="7" fillId="5" borderId="0" xfId="0" applyFont="1" applyFill="1" applyAlignment="1">
      <alignment wrapText="1"/>
    </xf>
    <xf numFmtId="0" fontId="8" fillId="2" borderId="18" xfId="0" applyFont="1" applyFill="1" applyBorder="1"/>
    <xf numFmtId="165" fontId="0" fillId="2" borderId="18" xfId="2" applyNumberFormat="1" applyFont="1" applyFill="1" applyBorder="1"/>
    <xf numFmtId="0" fontId="8" fillId="2" borderId="23" xfId="0" applyFont="1" applyFill="1" applyBorder="1"/>
    <xf numFmtId="0" fontId="5" fillId="2" borderId="23" xfId="0" applyFont="1" applyFill="1" applyBorder="1"/>
    <xf numFmtId="166" fontId="0" fillId="2" borderId="18" xfId="0" applyNumberFormat="1" applyFill="1" applyBorder="1" applyAlignment="1">
      <alignment wrapText="1"/>
    </xf>
    <xf numFmtId="0" fontId="0" fillId="2" borderId="27" xfId="0" applyFill="1" applyBorder="1" applyAlignment="1">
      <alignment horizontal="center" vertical="top"/>
    </xf>
    <xf numFmtId="0" fontId="0" fillId="2" borderId="27" xfId="0" applyFill="1" applyBorder="1"/>
    <xf numFmtId="0" fontId="5" fillId="2" borderId="16" xfId="0" applyFont="1" applyFill="1" applyBorder="1" applyAlignment="1">
      <alignment wrapText="1"/>
    </xf>
    <xf numFmtId="166" fontId="0" fillId="0" borderId="1" xfId="3" applyNumberFormat="1" applyFont="1" applyFill="1" applyBorder="1" applyAlignment="1">
      <alignment wrapText="1"/>
    </xf>
    <xf numFmtId="166" fontId="7" fillId="5" borderId="1" xfId="3" applyNumberFormat="1" applyFont="1" applyFill="1" applyBorder="1" applyAlignment="1">
      <alignment wrapText="1"/>
    </xf>
    <xf numFmtId="166" fontId="0" fillId="4" borderId="1" xfId="3" applyNumberFormat="1" applyFont="1" applyFill="1" applyBorder="1" applyAlignment="1">
      <alignment wrapText="1"/>
    </xf>
    <xf numFmtId="166" fontId="0" fillId="3" borderId="1" xfId="3" applyNumberFormat="1" applyFont="1" applyFill="1" applyBorder="1" applyAlignment="1">
      <alignment wrapText="1"/>
    </xf>
    <xf numFmtId="0" fontId="0" fillId="3" borderId="28" xfId="0" applyFill="1" applyBorder="1" applyAlignment="1">
      <alignment wrapText="1"/>
    </xf>
    <xf numFmtId="166" fontId="0" fillId="3" borderId="29" xfId="3" applyNumberFormat="1" applyFont="1" applyFill="1" applyBorder="1" applyAlignment="1">
      <alignment wrapText="1"/>
    </xf>
    <xf numFmtId="0" fontId="0" fillId="2" borderId="23" xfId="0" applyFill="1" applyBorder="1"/>
    <xf numFmtId="166" fontId="0" fillId="2" borderId="23" xfId="0" applyNumberFormat="1" applyFill="1" applyBorder="1"/>
    <xf numFmtId="0" fontId="0" fillId="8" borderId="20" xfId="0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0" fillId="0" borderId="0" xfId="0" applyAlignment="1">
      <alignment horizontal="center" vertical="center"/>
    </xf>
    <xf numFmtId="164" fontId="0" fillId="0" borderId="0" xfId="0" applyNumberFormat="1"/>
    <xf numFmtId="164" fontId="3" fillId="0" borderId="0" xfId="1" applyNumberFormat="1" applyFont="1"/>
    <xf numFmtId="164" fontId="14" fillId="0" borderId="0" xfId="1" applyNumberFormat="1" applyFont="1"/>
    <xf numFmtId="0" fontId="10" fillId="0" borderId="0" xfId="0" applyFont="1" applyAlignment="1">
      <alignment horizontal="center" vertical="center"/>
    </xf>
    <xf numFmtId="9" fontId="0" fillId="0" borderId="0" xfId="0" applyNumberFormat="1"/>
    <xf numFmtId="0" fontId="0" fillId="0" borderId="26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34" xfId="0" applyBorder="1"/>
    <xf numFmtId="0" fontId="11" fillId="8" borderId="20" xfId="0" applyFont="1" applyFill="1" applyBorder="1" applyAlignment="1">
      <alignment horizontal="center" vertical="top"/>
    </xf>
    <xf numFmtId="0" fontId="15" fillId="2" borderId="15" xfId="0" applyFont="1" applyFill="1" applyBorder="1"/>
    <xf numFmtId="8" fontId="0" fillId="0" borderId="36" xfId="0" applyNumberFormat="1" applyBorder="1"/>
    <xf numFmtId="164" fontId="4" fillId="0" borderId="36" xfId="1" applyNumberFormat="1" applyFont="1" applyFill="1" applyBorder="1"/>
    <xf numFmtId="0" fontId="0" fillId="2" borderId="38" xfId="0" applyFill="1" applyBorder="1" applyAlignment="1">
      <alignment horizontal="center" vertical="top"/>
    </xf>
    <xf numFmtId="0" fontId="0" fillId="8" borderId="35" xfId="0" applyFill="1" applyBorder="1"/>
    <xf numFmtId="0" fontId="0" fillId="8" borderId="38" xfId="0" applyFill="1" applyBorder="1"/>
    <xf numFmtId="0" fontId="9" fillId="2" borderId="35" xfId="0" applyFont="1" applyFill="1" applyBorder="1" applyAlignment="1">
      <alignment horizontal="center" vertical="top"/>
    </xf>
    <xf numFmtId="0" fontId="5" fillId="2" borderId="27" xfId="0" applyFont="1" applyFill="1" applyBorder="1" applyAlignment="1">
      <alignment wrapText="1"/>
    </xf>
    <xf numFmtId="0" fontId="12" fillId="7" borderId="11" xfId="0" applyFont="1" applyFill="1" applyBorder="1" applyAlignment="1">
      <alignment wrapText="1"/>
    </xf>
    <xf numFmtId="0" fontId="12" fillId="3" borderId="11" xfId="0" applyFont="1" applyFill="1" applyBorder="1" applyAlignment="1">
      <alignment wrapText="1"/>
    </xf>
    <xf numFmtId="0" fontId="5" fillId="0" borderId="0" xfId="0" applyFont="1"/>
    <xf numFmtId="0" fontId="2" fillId="8" borderId="20" xfId="0" applyFont="1" applyFill="1" applyBorder="1"/>
    <xf numFmtId="0" fontId="16" fillId="9" borderId="23" xfId="0" applyFont="1" applyFill="1" applyBorder="1"/>
    <xf numFmtId="0" fontId="17" fillId="9" borderId="23" xfId="0" applyFont="1" applyFill="1" applyBorder="1" applyAlignment="1">
      <alignment horizontal="right"/>
    </xf>
    <xf numFmtId="165" fontId="17" fillId="9" borderId="23" xfId="0" applyNumberFormat="1" applyFont="1" applyFill="1" applyBorder="1" applyAlignment="1">
      <alignment horizontal="center" vertical="center"/>
    </xf>
    <xf numFmtId="165" fontId="17" fillId="9" borderId="23" xfId="0" applyNumberFormat="1" applyFont="1" applyFill="1" applyBorder="1"/>
    <xf numFmtId="0" fontId="17" fillId="9" borderId="25" xfId="0" applyFont="1" applyFill="1" applyBorder="1" applyAlignment="1">
      <alignment vertical="top"/>
    </xf>
    <xf numFmtId="0" fontId="17" fillId="13" borderId="24" xfId="0" applyFont="1" applyFill="1" applyBorder="1"/>
    <xf numFmtId="0" fontId="2" fillId="0" borderId="0" xfId="0" applyFont="1"/>
    <xf numFmtId="0" fontId="2" fillId="2" borderId="27" xfId="0" applyFont="1" applyFill="1" applyBorder="1"/>
    <xf numFmtId="0" fontId="16" fillId="10" borderId="26" xfId="0" applyFont="1" applyFill="1" applyBorder="1" applyAlignment="1">
      <alignment horizontal="center" wrapText="1"/>
    </xf>
    <xf numFmtId="0" fontId="17" fillId="10" borderId="26" xfId="0" applyFont="1" applyFill="1" applyBorder="1" applyAlignment="1">
      <alignment horizontal="right"/>
    </xf>
    <xf numFmtId="165" fontId="17" fillId="10" borderId="26" xfId="0" applyNumberFormat="1" applyFont="1" applyFill="1" applyBorder="1" applyAlignment="1">
      <alignment horizontal="center" vertical="center"/>
    </xf>
    <xf numFmtId="165" fontId="17" fillId="10" borderId="26" xfId="0" applyNumberFormat="1" applyFont="1" applyFill="1" applyBorder="1"/>
    <xf numFmtId="0" fontId="17" fillId="10" borderId="26" xfId="0" applyFont="1" applyFill="1" applyBorder="1"/>
    <xf numFmtId="165" fontId="17" fillId="10" borderId="30" xfId="0" applyNumberFormat="1" applyFont="1" applyFill="1" applyBorder="1"/>
    <xf numFmtId="0" fontId="17" fillId="9" borderId="17" xfId="0" applyFont="1" applyFill="1" applyBorder="1"/>
    <xf numFmtId="0" fontId="17" fillId="0" borderId="26" xfId="0" applyFont="1" applyBorder="1" applyAlignment="1">
      <alignment wrapText="1"/>
    </xf>
    <xf numFmtId="0" fontId="17" fillId="0" borderId="26" xfId="0" applyFont="1" applyBorder="1" applyAlignment="1">
      <alignment horizontal="right" wrapText="1"/>
    </xf>
    <xf numFmtId="0" fontId="17" fillId="0" borderId="26" xfId="0" applyFont="1" applyBorder="1" applyAlignment="1">
      <alignment horizontal="center" vertical="center" wrapText="1"/>
    </xf>
    <xf numFmtId="0" fontId="17" fillId="0" borderId="26" xfId="0" applyFont="1" applyBorder="1"/>
    <xf numFmtId="0" fontId="16" fillId="0" borderId="26" xfId="0" applyFont="1" applyBorder="1"/>
    <xf numFmtId="0" fontId="16" fillId="0" borderId="30" xfId="0" applyFont="1" applyBorder="1"/>
    <xf numFmtId="164" fontId="17" fillId="0" borderId="26" xfId="0" applyNumberFormat="1" applyFont="1" applyBorder="1"/>
    <xf numFmtId="44" fontId="17" fillId="0" borderId="26" xfId="0" applyNumberFormat="1" applyFont="1" applyBorder="1" applyAlignment="1">
      <alignment horizontal="center" vertical="center"/>
    </xf>
    <xf numFmtId="165" fontId="17" fillId="0" borderId="26" xfId="0" applyNumberFormat="1" applyFont="1" applyBorder="1"/>
    <xf numFmtId="9" fontId="17" fillId="0" borderId="26" xfId="0" applyNumberFormat="1" applyFont="1" applyBorder="1"/>
    <xf numFmtId="0" fontId="16" fillId="9" borderId="0" xfId="0" applyFont="1" applyFill="1"/>
    <xf numFmtId="0" fontId="17" fillId="9" borderId="0" xfId="0" applyFont="1" applyFill="1" applyAlignment="1">
      <alignment horizontal="center" vertical="center"/>
    </xf>
    <xf numFmtId="0" fontId="17" fillId="9" borderId="0" xfId="0" applyFont="1" applyFill="1"/>
    <xf numFmtId="0" fontId="17" fillId="9" borderId="19" xfId="0" applyFont="1" applyFill="1" applyBorder="1"/>
    <xf numFmtId="0" fontId="16" fillId="10" borderId="12" xfId="0" applyFont="1" applyFill="1" applyBorder="1" applyAlignment="1">
      <alignment horizontal="center" wrapText="1"/>
    </xf>
    <xf numFmtId="0" fontId="16" fillId="10" borderId="12" xfId="0" applyFont="1" applyFill="1" applyBorder="1" applyAlignment="1">
      <alignment wrapText="1"/>
    </xf>
    <xf numFmtId="0" fontId="16" fillId="10" borderId="12" xfId="0" applyFont="1" applyFill="1" applyBorder="1" applyAlignment="1">
      <alignment horizontal="center" vertical="center" wrapText="1"/>
    </xf>
    <xf numFmtId="0" fontId="16" fillId="10" borderId="26" xfId="0" applyFont="1" applyFill="1" applyBorder="1" applyAlignment="1">
      <alignment wrapText="1"/>
    </xf>
    <xf numFmtId="0" fontId="16" fillId="10" borderId="21" xfId="0" applyFont="1" applyFill="1" applyBorder="1" applyAlignment="1">
      <alignment wrapText="1"/>
    </xf>
    <xf numFmtId="0" fontId="16" fillId="10" borderId="4" xfId="0" applyFont="1" applyFill="1" applyBorder="1" applyAlignment="1">
      <alignment wrapText="1"/>
    </xf>
    <xf numFmtId="0" fontId="17" fillId="0" borderId="26" xfId="0" applyFont="1" applyBorder="1" applyAlignment="1">
      <alignment horizontal="left" wrapText="1"/>
    </xf>
    <xf numFmtId="0" fontId="17" fillId="0" borderId="26" xfId="0" applyFont="1" applyBorder="1" applyAlignment="1">
      <alignment horizontal="center" wrapText="1"/>
    </xf>
    <xf numFmtId="3" fontId="17" fillId="0" borderId="26" xfId="0" applyNumberFormat="1" applyFont="1" applyBorder="1" applyAlignment="1">
      <alignment horizontal="center"/>
    </xf>
    <xf numFmtId="3" fontId="17" fillId="0" borderId="26" xfId="0" applyNumberFormat="1" applyFont="1" applyBorder="1" applyAlignment="1">
      <alignment horizontal="left" wrapText="1"/>
    </xf>
    <xf numFmtId="44" fontId="17" fillId="11" borderId="26" xfId="0" applyNumberFormat="1" applyFont="1" applyFill="1" applyBorder="1"/>
    <xf numFmtId="44" fontId="18" fillId="0" borderId="31" xfId="0" applyNumberFormat="1" applyFont="1" applyBorder="1" applyAlignment="1">
      <alignment wrapText="1"/>
    </xf>
    <xf numFmtId="0" fontId="17" fillId="0" borderId="22" xfId="0" applyFont="1" applyBorder="1" applyAlignment="1">
      <alignment horizontal="left" wrapText="1"/>
    </xf>
    <xf numFmtId="0" fontId="16" fillId="9" borderId="17" xfId="0" applyFont="1" applyFill="1" applyBorder="1" applyAlignment="1">
      <alignment wrapText="1"/>
    </xf>
    <xf numFmtId="0" fontId="17" fillId="0" borderId="32" xfId="0" applyFont="1" applyBorder="1" applyAlignment="1">
      <alignment horizontal="left" wrapText="1"/>
    </xf>
    <xf numFmtId="3" fontId="17" fillId="0" borderId="32" xfId="0" applyNumberFormat="1" applyFont="1" applyBorder="1" applyAlignment="1">
      <alignment horizontal="center"/>
    </xf>
    <xf numFmtId="3" fontId="17" fillId="0" borderId="32" xfId="0" applyNumberFormat="1" applyFont="1" applyBorder="1" applyAlignment="1">
      <alignment horizontal="left" vertical="top" wrapText="1"/>
    </xf>
    <xf numFmtId="44" fontId="17" fillId="11" borderId="32" xfId="0" applyNumberFormat="1" applyFont="1" applyFill="1" applyBorder="1"/>
    <xf numFmtId="44" fontId="18" fillId="0" borderId="0" xfId="0" applyNumberFormat="1" applyFont="1" applyAlignment="1">
      <alignment wrapText="1"/>
    </xf>
    <xf numFmtId="0" fontId="17" fillId="0" borderId="33" xfId="0" applyFont="1" applyBorder="1" applyAlignment="1">
      <alignment horizontal="left" wrapText="1"/>
    </xf>
    <xf numFmtId="0" fontId="17" fillId="9" borderId="23" xfId="0" applyFont="1" applyFill="1" applyBorder="1" applyAlignment="1">
      <alignment wrapText="1"/>
    </xf>
    <xf numFmtId="0" fontId="17" fillId="9" borderId="23" xfId="0" applyFont="1" applyFill="1" applyBorder="1"/>
    <xf numFmtId="0" fontId="17" fillId="9" borderId="23" xfId="0" applyFont="1" applyFill="1" applyBorder="1" applyAlignment="1">
      <alignment horizontal="center" vertical="center"/>
    </xf>
    <xf numFmtId="0" fontId="17" fillId="9" borderId="23" xfId="0" applyFont="1" applyFill="1" applyBorder="1" applyAlignment="1">
      <alignment horizontal="center" wrapText="1"/>
    </xf>
    <xf numFmtId="0" fontId="17" fillId="9" borderId="23" xfId="0" applyFont="1" applyFill="1" applyBorder="1" applyAlignment="1">
      <alignment horizontal="center"/>
    </xf>
    <xf numFmtId="3" fontId="17" fillId="9" borderId="23" xfId="0" applyNumberFormat="1" applyFont="1" applyFill="1" applyBorder="1" applyAlignment="1">
      <alignment horizontal="left"/>
    </xf>
    <xf numFmtId="0" fontId="17" fillId="12" borderId="20" xfId="0" applyFont="1" applyFill="1" applyBorder="1"/>
    <xf numFmtId="10" fontId="0" fillId="0" borderId="0" xfId="3" applyNumberFormat="1" applyFont="1"/>
    <xf numFmtId="6" fontId="0" fillId="0" borderId="36" xfId="0" applyNumberFormat="1" applyBorder="1"/>
    <xf numFmtId="6" fontId="7" fillId="5" borderId="36" xfId="0" applyNumberFormat="1" applyFont="1" applyFill="1" applyBorder="1"/>
    <xf numFmtId="6" fontId="0" fillId="4" borderId="36" xfId="0" applyNumberFormat="1" applyFill="1" applyBorder="1"/>
    <xf numFmtId="6" fontId="0" fillId="0" borderId="1" xfId="0" applyNumberFormat="1" applyBorder="1"/>
    <xf numFmtId="6" fontId="7" fillId="5" borderId="1" xfId="0" applyNumberFormat="1" applyFont="1" applyFill="1" applyBorder="1"/>
    <xf numFmtId="6" fontId="0" fillId="4" borderId="1" xfId="0" applyNumberFormat="1" applyFill="1" applyBorder="1"/>
    <xf numFmtId="6" fontId="0" fillId="3" borderId="1" xfId="0" applyNumberFormat="1" applyFill="1" applyBorder="1"/>
    <xf numFmtId="6" fontId="7" fillId="5" borderId="6" xfId="0" applyNumberFormat="1" applyFont="1" applyFill="1" applyBorder="1"/>
    <xf numFmtId="6" fontId="0" fillId="4" borderId="6" xfId="2" applyNumberFormat="1" applyFont="1" applyFill="1" applyBorder="1"/>
    <xf numFmtId="6" fontId="0" fillId="0" borderId="6" xfId="0" applyNumberFormat="1" applyBorder="1"/>
    <xf numFmtId="6" fontId="0" fillId="3" borderId="6" xfId="0" applyNumberFormat="1" applyFill="1" applyBorder="1"/>
    <xf numFmtId="6" fontId="7" fillId="5" borderId="11" xfId="0" applyNumberFormat="1" applyFont="1" applyFill="1" applyBorder="1"/>
    <xf numFmtId="6" fontId="0" fillId="4" borderId="11" xfId="0" applyNumberFormat="1" applyFill="1" applyBorder="1"/>
    <xf numFmtId="6" fontId="0" fillId="3" borderId="11" xfId="0" applyNumberFormat="1" applyFill="1" applyBorder="1"/>
    <xf numFmtId="0" fontId="13" fillId="2" borderId="35" xfId="0" applyFont="1" applyFill="1" applyBorder="1" applyAlignment="1">
      <alignment horizontal="center" vertical="top"/>
    </xf>
    <xf numFmtId="6" fontId="0" fillId="4" borderId="6" xfId="0" applyNumberFormat="1" applyFill="1" applyBorder="1"/>
    <xf numFmtId="44" fontId="17" fillId="0" borderId="2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2" fillId="2" borderId="17" xfId="0" applyFont="1" applyFill="1" applyBorder="1"/>
    <xf numFmtId="0" fontId="11" fillId="0" borderId="0" xfId="0" applyFont="1"/>
    <xf numFmtId="0" fontId="0" fillId="6" borderId="5" xfId="0" applyFill="1" applyBorder="1" applyAlignment="1">
      <alignment wrapText="1"/>
    </xf>
    <xf numFmtId="6" fontId="0" fillId="6" borderId="1" xfId="0" applyNumberFormat="1" applyFill="1" applyBorder="1"/>
    <xf numFmtId="6" fontId="0" fillId="6" borderId="6" xfId="0" applyNumberFormat="1" applyFill="1" applyBorder="1"/>
    <xf numFmtId="0" fontId="0" fillId="14" borderId="5" xfId="0" applyFill="1" applyBorder="1" applyAlignment="1">
      <alignment wrapText="1"/>
    </xf>
    <xf numFmtId="6" fontId="0" fillId="14" borderId="1" xfId="0" applyNumberFormat="1" applyFill="1" applyBorder="1"/>
    <xf numFmtId="6" fontId="0" fillId="14" borderId="6" xfId="0" applyNumberFormat="1" applyFill="1" applyBorder="1"/>
    <xf numFmtId="0" fontId="0" fillId="0" borderId="1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21" xfId="0" applyBorder="1"/>
    <xf numFmtId="0" fontId="0" fillId="0" borderId="10" xfId="0" applyBorder="1"/>
    <xf numFmtId="0" fontId="0" fillId="0" borderId="2" xfId="0" applyBorder="1" applyAlignment="1">
      <alignment wrapText="1"/>
    </xf>
    <xf numFmtId="0" fontId="0" fillId="0" borderId="4" xfId="0" applyBorder="1"/>
    <xf numFmtId="166" fontId="0" fillId="6" borderId="1" xfId="3" applyNumberFormat="1" applyFont="1" applyFill="1" applyBorder="1" applyAlignment="1">
      <alignment wrapText="1"/>
    </xf>
    <xf numFmtId="0" fontId="0" fillId="6" borderId="13" xfId="0" applyFill="1" applyBorder="1" applyAlignment="1">
      <alignment wrapText="1"/>
    </xf>
    <xf numFmtId="6" fontId="0" fillId="6" borderId="11" xfId="0" applyNumberFormat="1" applyFill="1" applyBorder="1"/>
    <xf numFmtId="9" fontId="0" fillId="6" borderId="1" xfId="0" applyNumberFormat="1" applyFill="1" applyBorder="1" applyAlignment="1">
      <alignment horizontal="center" vertical="center" wrapText="1"/>
    </xf>
    <xf numFmtId="6" fontId="0" fillId="6" borderId="36" xfId="0" applyNumberFormat="1" applyFill="1" applyBorder="1"/>
    <xf numFmtId="0" fontId="0" fillId="14" borderId="13" xfId="0" applyFill="1" applyBorder="1" applyAlignment="1">
      <alignment wrapText="1"/>
    </xf>
    <xf numFmtId="9" fontId="0" fillId="14" borderId="1" xfId="0" applyNumberFormat="1" applyFill="1" applyBorder="1" applyAlignment="1">
      <alignment horizontal="center" vertical="center"/>
    </xf>
    <xf numFmtId="6" fontId="0" fillId="14" borderId="36" xfId="0" applyNumberFormat="1" applyFill="1" applyBorder="1"/>
    <xf numFmtId="166" fontId="0" fillId="14" borderId="1" xfId="3" applyNumberFormat="1" applyFont="1" applyFill="1" applyBorder="1" applyAlignment="1">
      <alignment wrapText="1"/>
    </xf>
    <xf numFmtId="6" fontId="0" fillId="14" borderId="11" xfId="0" applyNumberFormat="1" applyFill="1" applyBorder="1"/>
    <xf numFmtId="0" fontId="0" fillId="15" borderId="5" xfId="0" applyFill="1" applyBorder="1" applyAlignment="1">
      <alignment wrapText="1"/>
    </xf>
    <xf numFmtId="6" fontId="0" fillId="15" borderId="1" xfId="0" applyNumberFormat="1" applyFill="1" applyBorder="1" applyAlignment="1">
      <alignment wrapText="1"/>
    </xf>
    <xf numFmtId="6" fontId="0" fillId="15" borderId="6" xfId="0" applyNumberFormat="1" applyFill="1" applyBorder="1" applyAlignment="1">
      <alignment wrapText="1"/>
    </xf>
    <xf numFmtId="0" fontId="0" fillId="16" borderId="7" xfId="0" applyFill="1" applyBorder="1" applyAlignment="1">
      <alignment wrapText="1"/>
    </xf>
    <xf numFmtId="6" fontId="0" fillId="16" borderId="8" xfId="0" applyNumberFormat="1" applyFill="1" applyBorder="1" applyAlignment="1">
      <alignment wrapText="1"/>
    </xf>
    <xf numFmtId="6" fontId="0" fillId="16" borderId="9" xfId="0" applyNumberFormat="1" applyFill="1" applyBorder="1" applyAlignment="1">
      <alignment wrapText="1"/>
    </xf>
    <xf numFmtId="164" fontId="0" fillId="0" borderId="1" xfId="1" applyNumberFormat="1" applyFont="1" applyFill="1" applyBorder="1" applyAlignment="1">
      <alignment horizontal="center" vertical="center"/>
    </xf>
    <xf numFmtId="166" fontId="8" fillId="7" borderId="1" xfId="3" applyNumberFormat="1" applyFont="1" applyFill="1" applyBorder="1" applyAlignment="1">
      <alignment horizontal="center" vertical="center" wrapText="1"/>
    </xf>
    <xf numFmtId="0" fontId="12" fillId="7" borderId="11" xfId="0" applyFont="1" applyFill="1" applyBorder="1"/>
    <xf numFmtId="0" fontId="12" fillId="3" borderId="39" xfId="0" applyFont="1" applyFill="1" applyBorder="1"/>
    <xf numFmtId="0" fontId="12" fillId="3" borderId="41" xfId="0" applyFont="1" applyFill="1" applyBorder="1" applyAlignment="1">
      <alignment wrapText="1"/>
    </xf>
    <xf numFmtId="165" fontId="0" fillId="0" borderId="1" xfId="2" applyNumberFormat="1" applyFont="1" applyBorder="1"/>
    <xf numFmtId="166" fontId="0" fillId="15" borderId="1" xfId="3" applyNumberFormat="1" applyFont="1" applyFill="1" applyBorder="1" applyAlignment="1">
      <alignment wrapText="1"/>
    </xf>
    <xf numFmtId="6" fontId="0" fillId="15" borderId="6" xfId="0" applyNumberFormat="1" applyFill="1" applyBorder="1"/>
    <xf numFmtId="6" fontId="0" fillId="16" borderId="6" xfId="0" applyNumberFormat="1" applyFill="1" applyBorder="1"/>
    <xf numFmtId="166" fontId="0" fillId="16" borderId="8" xfId="3" applyNumberFormat="1" applyFont="1" applyFill="1" applyBorder="1" applyAlignment="1">
      <alignment wrapText="1"/>
    </xf>
    <xf numFmtId="0" fontId="0" fillId="2" borderId="40" xfId="0" applyFill="1" applyBorder="1"/>
    <xf numFmtId="0" fontId="0" fillId="2" borderId="38" xfId="0" applyFill="1" applyBorder="1"/>
    <xf numFmtId="0" fontId="6" fillId="3" borderId="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15" borderId="13" xfId="0" applyFill="1" applyBorder="1" applyAlignment="1">
      <alignment wrapText="1"/>
    </xf>
    <xf numFmtId="9" fontId="0" fillId="15" borderId="1" xfId="0" applyNumberFormat="1" applyFill="1" applyBorder="1" applyAlignment="1">
      <alignment horizontal="center" vertical="center"/>
    </xf>
    <xf numFmtId="6" fontId="0" fillId="15" borderId="36" xfId="0" applyNumberFormat="1" applyFill="1" applyBorder="1" applyAlignment="1">
      <alignment wrapText="1"/>
    </xf>
    <xf numFmtId="0" fontId="0" fillId="16" borderId="14" xfId="0" applyFill="1" applyBorder="1" applyAlignment="1">
      <alignment wrapText="1"/>
    </xf>
    <xf numFmtId="9" fontId="0" fillId="16" borderId="8" xfId="0" applyNumberFormat="1" applyFill="1" applyBorder="1" applyAlignment="1">
      <alignment horizontal="center" vertical="center"/>
    </xf>
    <xf numFmtId="6" fontId="0" fillId="16" borderId="37" xfId="0" applyNumberFormat="1" applyFill="1" applyBorder="1" applyAlignment="1">
      <alignment wrapText="1"/>
    </xf>
    <xf numFmtId="0" fontId="12" fillId="2" borderId="0" xfId="0" applyFont="1" applyFill="1" applyAlignment="1">
      <alignment wrapText="1"/>
    </xf>
    <xf numFmtId="0" fontId="0" fillId="2" borderId="0" xfId="0" applyFill="1"/>
    <xf numFmtId="0" fontId="0" fillId="0" borderId="43" xfId="0" applyBorder="1" applyAlignment="1">
      <alignment horizontal="center" vertical="center"/>
    </xf>
    <xf numFmtId="0" fontId="0" fillId="5" borderId="44" xfId="0" applyFill="1" applyBorder="1"/>
    <xf numFmtId="6" fontId="0" fillId="4" borderId="44" xfId="0" applyNumberFormat="1" applyFill="1" applyBorder="1"/>
    <xf numFmtId="6" fontId="0" fillId="6" borderId="44" xfId="0" applyNumberFormat="1" applyFill="1" applyBorder="1"/>
    <xf numFmtId="6" fontId="0" fillId="14" borderId="44" xfId="0" applyNumberFormat="1" applyFill="1" applyBorder="1"/>
    <xf numFmtId="6" fontId="0" fillId="3" borderId="44" xfId="0" applyNumberFormat="1" applyFill="1" applyBorder="1"/>
    <xf numFmtId="6" fontId="0" fillId="15" borderId="44" xfId="0" applyNumberFormat="1" applyFill="1" applyBorder="1"/>
    <xf numFmtId="6" fontId="0" fillId="16" borderId="42" xfId="0" applyNumberFormat="1" applyFill="1" applyBorder="1"/>
    <xf numFmtId="0" fontId="5" fillId="2" borderId="45" xfId="0" applyFont="1" applyFill="1" applyBorder="1" applyAlignment="1">
      <alignment wrapText="1"/>
    </xf>
    <xf numFmtId="0" fontId="7" fillId="5" borderId="16" xfId="0" applyFont="1" applyFill="1" applyBorder="1" applyAlignment="1">
      <alignment wrapText="1"/>
    </xf>
    <xf numFmtId="6" fontId="0" fillId="0" borderId="3" xfId="0" applyNumberFormat="1" applyBorder="1"/>
    <xf numFmtId="6" fontId="0" fillId="0" borderId="4" xfId="0" applyNumberFormat="1" applyBorder="1"/>
    <xf numFmtId="0" fontId="13" fillId="2" borderId="27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0" fillId="8" borderId="24" xfId="0" applyFill="1" applyBorder="1"/>
    <xf numFmtId="0" fontId="6" fillId="2" borderId="17" xfId="0" applyFont="1" applyFill="1" applyBorder="1"/>
    <xf numFmtId="0" fontId="6" fillId="3" borderId="10" xfId="0" applyFont="1" applyFill="1" applyBorder="1" applyAlignment="1">
      <alignment wrapText="1"/>
    </xf>
    <xf numFmtId="9" fontId="0" fillId="0" borderId="11" xfId="0" applyNumberFormat="1" applyBorder="1"/>
    <xf numFmtId="166" fontId="0" fillId="0" borderId="39" xfId="0" applyNumberFormat="1" applyBorder="1"/>
    <xf numFmtId="0" fontId="0" fillId="8" borderId="17" xfId="0" applyFill="1" applyBorder="1"/>
    <xf numFmtId="0" fontId="0" fillId="8" borderId="47" xfId="0" applyFill="1" applyBorder="1"/>
    <xf numFmtId="165" fontId="0" fillId="0" borderId="11" xfId="2" applyNumberFormat="1" applyFont="1" applyBorder="1"/>
    <xf numFmtId="0" fontId="0" fillId="2" borderId="35" xfId="0" applyFill="1" applyBorder="1"/>
    <xf numFmtId="0" fontId="12" fillId="2" borderId="27" xfId="0" applyFont="1" applyFill="1" applyBorder="1" applyAlignment="1">
      <alignment wrapText="1"/>
    </xf>
    <xf numFmtId="9" fontId="0" fillId="0" borderId="0" xfId="3" applyFont="1"/>
    <xf numFmtId="0" fontId="0" fillId="0" borderId="0" xfId="0" applyAlignment="1">
      <alignment horizontal="center"/>
    </xf>
    <xf numFmtId="0" fontId="1" fillId="0" borderId="0" xfId="0" applyFont="1"/>
    <xf numFmtId="0" fontId="20" fillId="18" borderId="1" xfId="0" applyFont="1" applyFill="1" applyBorder="1"/>
    <xf numFmtId="0" fontId="20" fillId="0" borderId="0" xfId="0" applyFont="1"/>
    <xf numFmtId="0" fontId="0" fillId="0" borderId="4" xfId="0" applyBorder="1" applyAlignment="1">
      <alignment horizontal="center" vertical="center"/>
    </xf>
    <xf numFmtId="0" fontId="0" fillId="0" borderId="5" xfId="0" applyBorder="1"/>
    <xf numFmtId="2" fontId="0" fillId="0" borderId="6" xfId="3" applyNumberFormat="1" applyFont="1" applyBorder="1"/>
    <xf numFmtId="2" fontId="0" fillId="0" borderId="9" xfId="3" applyNumberFormat="1" applyFont="1" applyBorder="1"/>
    <xf numFmtId="0" fontId="0" fillId="0" borderId="2" xfId="0" applyBorder="1" applyAlignment="1">
      <alignment horizontal="center" vertical="center"/>
    </xf>
    <xf numFmtId="168" fontId="0" fillId="4" borderId="15" xfId="0" applyNumberFormat="1" applyFill="1" applyBorder="1" applyAlignment="1">
      <alignment horizontal="center" vertical="center"/>
    </xf>
    <xf numFmtId="17" fontId="0" fillId="4" borderId="15" xfId="0" applyNumberFormat="1" applyFill="1" applyBorder="1" applyAlignment="1">
      <alignment horizontal="center" vertical="center"/>
    </xf>
    <xf numFmtId="168" fontId="0" fillId="17" borderId="15" xfId="0" applyNumberFormat="1" applyFill="1" applyBorder="1" applyAlignment="1">
      <alignment horizontal="center" vertical="center"/>
    </xf>
    <xf numFmtId="165" fontId="0" fillId="17" borderId="1" xfId="2" applyNumberFormat="1" applyFont="1" applyFill="1" applyBorder="1"/>
    <xf numFmtId="44" fontId="0" fillId="17" borderId="15" xfId="2" applyFont="1" applyFill="1" applyBorder="1" applyAlignment="1">
      <alignment horizontal="center" vertical="center"/>
    </xf>
    <xf numFmtId="165" fontId="20" fillId="18" borderId="6" xfId="2" applyNumberFormat="1" applyFont="1" applyFill="1" applyBorder="1"/>
    <xf numFmtId="164" fontId="0" fillId="0" borderId="0" xfId="1" applyNumberFormat="1" applyFont="1" applyBorder="1"/>
    <xf numFmtId="169" fontId="0" fillId="0" borderId="7" xfId="3" applyNumberFormat="1" applyFont="1" applyBorder="1"/>
    <xf numFmtId="169" fontId="0" fillId="0" borderId="5" xfId="3" applyNumberFormat="1" applyFont="1" applyBorder="1"/>
    <xf numFmtId="0" fontId="0" fillId="0" borderId="6" xfId="0" applyBorder="1"/>
    <xf numFmtId="8" fontId="0" fillId="0" borderId="9" xfId="0" applyNumberFormat="1" applyBorder="1"/>
    <xf numFmtId="0" fontId="0" fillId="0" borderId="22" xfId="0" applyBorder="1"/>
    <xf numFmtId="164" fontId="0" fillId="0" borderId="5" xfId="0" applyNumberFormat="1" applyBorder="1"/>
    <xf numFmtId="164" fontId="0" fillId="0" borderId="7" xfId="0" applyNumberFormat="1" applyBorder="1"/>
    <xf numFmtId="164" fontId="0" fillId="0" borderId="49" xfId="0" applyNumberFormat="1" applyBorder="1"/>
    <xf numFmtId="165" fontId="0" fillId="17" borderId="1" xfId="1" applyNumberFormat="1" applyFont="1" applyFill="1" applyBorder="1"/>
    <xf numFmtId="166" fontId="17" fillId="0" borderId="26" xfId="0" applyNumberFormat="1" applyFont="1" applyBorder="1"/>
    <xf numFmtId="166" fontId="17" fillId="0" borderId="32" xfId="0" applyNumberFormat="1" applyFont="1" applyBorder="1" applyAlignment="1">
      <alignment horizontal="center" vertical="center" wrapText="1"/>
    </xf>
    <xf numFmtId="9" fontId="17" fillId="0" borderId="26" xfId="0" applyNumberFormat="1" applyFont="1" applyBorder="1" applyAlignment="1">
      <alignment horizontal="center" vertical="center"/>
    </xf>
    <xf numFmtId="17" fontId="0" fillId="4" borderId="15" xfId="2" applyNumberFormat="1" applyFont="1" applyFill="1" applyBorder="1" applyAlignment="1">
      <alignment horizontal="center" vertical="center"/>
    </xf>
    <xf numFmtId="168" fontId="0" fillId="4" borderId="15" xfId="2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7" xfId="0" applyBorder="1" applyAlignment="1">
      <alignment shrinkToFit="1"/>
    </xf>
    <xf numFmtId="0" fontId="0" fillId="4" borderId="15" xfId="0" applyFill="1" applyBorder="1" applyAlignment="1">
      <alignment horizontal="center" vertical="center" shrinkToFit="1"/>
    </xf>
    <xf numFmtId="0" fontId="0" fillId="0" borderId="0" xfId="0" applyAlignment="1">
      <alignment shrinkToFit="1"/>
    </xf>
    <xf numFmtId="165" fontId="0" fillId="3" borderId="8" xfId="2" applyNumberFormat="1" applyFont="1" applyFill="1" applyBorder="1"/>
    <xf numFmtId="0" fontId="20" fillId="3" borderId="8" xfId="0" applyFont="1" applyFill="1" applyBorder="1"/>
    <xf numFmtId="0" fontId="0" fillId="0" borderId="2" xfId="0" applyBorder="1" applyAlignment="1">
      <alignment shrinkToFit="1"/>
    </xf>
    <xf numFmtId="165" fontId="0" fillId="0" borderId="3" xfId="2" applyNumberFormat="1" applyFont="1" applyBorder="1"/>
    <xf numFmtId="165" fontId="0" fillId="17" borderId="3" xfId="1" applyNumberFormat="1" applyFont="1" applyFill="1" applyBorder="1"/>
    <xf numFmtId="165" fontId="0" fillId="17" borderId="3" xfId="2" applyNumberFormat="1" applyFont="1" applyFill="1" applyBorder="1"/>
    <xf numFmtId="0" fontId="20" fillId="18" borderId="3" xfId="0" applyFont="1" applyFill="1" applyBorder="1"/>
    <xf numFmtId="165" fontId="20" fillId="18" borderId="4" xfId="2" applyNumberFormat="1" applyFont="1" applyFill="1" applyBorder="1"/>
    <xf numFmtId="0" fontId="0" fillId="0" borderId="5" xfId="0" applyBorder="1" applyAlignment="1">
      <alignment shrinkToFit="1"/>
    </xf>
    <xf numFmtId="0" fontId="0" fillId="3" borderId="7" xfId="0" applyFill="1" applyBorder="1" applyAlignment="1">
      <alignment shrinkToFit="1"/>
    </xf>
    <xf numFmtId="0" fontId="0" fillId="3" borderId="8" xfId="0" applyFill="1" applyBorder="1"/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9" fontId="0" fillId="0" borderId="22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164" fontId="0" fillId="0" borderId="22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 vertical="center"/>
    </xf>
    <xf numFmtId="17" fontId="10" fillId="4" borderId="40" xfId="0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shrinkToFit="1"/>
    </xf>
    <xf numFmtId="1" fontId="0" fillId="21" borderId="3" xfId="0" applyNumberFormat="1" applyFill="1" applyBorder="1" applyAlignment="1">
      <alignment wrapText="1"/>
    </xf>
    <xf numFmtId="0" fontId="21" fillId="0" borderId="0" xfId="0" applyFont="1"/>
    <xf numFmtId="0" fontId="13" fillId="0" borderId="0" xfId="0" applyFont="1"/>
    <xf numFmtId="0" fontId="8" fillId="0" borderId="0" xfId="0" applyFont="1"/>
    <xf numFmtId="164" fontId="19" fillId="3" borderId="34" xfId="1" applyNumberFormat="1" applyFont="1" applyFill="1" applyBorder="1" applyAlignment="1">
      <alignment wrapText="1"/>
    </xf>
    <xf numFmtId="0" fontId="0" fillId="7" borderId="5" xfId="0" applyFill="1" applyBorder="1" applyAlignment="1">
      <alignment horizontal="right" shrinkToFit="1"/>
    </xf>
    <xf numFmtId="0" fontId="0" fillId="3" borderId="5" xfId="0" applyFill="1" applyBorder="1" applyAlignment="1">
      <alignment horizontal="right" wrapText="1" shrinkToFit="1"/>
    </xf>
    <xf numFmtId="0" fontId="0" fillId="7" borderId="5" xfId="0" applyFill="1" applyBorder="1" applyAlignment="1">
      <alignment horizontal="right" wrapText="1" shrinkToFit="1"/>
    </xf>
    <xf numFmtId="9" fontId="6" fillId="21" borderId="34" xfId="3" applyFont="1" applyFill="1" applyBorder="1" applyAlignment="1">
      <alignment wrapText="1"/>
    </xf>
    <xf numFmtId="1" fontId="0" fillId="21" borderId="36" xfId="0" applyNumberFormat="1" applyFill="1" applyBorder="1" applyAlignment="1">
      <alignment wrapText="1"/>
    </xf>
    <xf numFmtId="9" fontId="8" fillId="21" borderId="8" xfId="3" applyFont="1" applyFill="1" applyBorder="1" applyAlignment="1">
      <alignment horizontal="center" vertical="center"/>
    </xf>
    <xf numFmtId="164" fontId="8" fillId="21" borderId="1" xfId="1" applyNumberFormat="1" applyFont="1" applyFill="1" applyBorder="1" applyAlignment="1">
      <alignment horizontal="center" vertical="center" wrapText="1"/>
    </xf>
    <xf numFmtId="167" fontId="8" fillId="21" borderId="1" xfId="1" applyNumberFormat="1" applyFont="1" applyFill="1" applyBorder="1" applyAlignment="1">
      <alignment horizontal="center" vertical="center" wrapText="1"/>
    </xf>
    <xf numFmtId="8" fontId="0" fillId="21" borderId="1" xfId="0" applyNumberFormat="1" applyFill="1" applyBorder="1"/>
    <xf numFmtId="1" fontId="0" fillId="21" borderId="4" xfId="0" applyNumberFormat="1" applyFill="1" applyBorder="1" applyAlignment="1">
      <alignment wrapText="1"/>
    </xf>
    <xf numFmtId="169" fontId="0" fillId="0" borderId="49" xfId="3" applyNumberFormat="1" applyFont="1" applyBorder="1" applyAlignment="1">
      <alignment shrinkToFit="1"/>
    </xf>
    <xf numFmtId="0" fontId="0" fillId="0" borderId="49" xfId="0" applyBorder="1" applyAlignment="1">
      <alignment shrinkToFit="1"/>
    </xf>
    <xf numFmtId="164" fontId="0" fillId="16" borderId="0" xfId="1" applyNumberFormat="1" applyFont="1" applyFill="1"/>
    <xf numFmtId="164" fontId="0" fillId="0" borderId="0" xfId="1" applyNumberFormat="1" applyFont="1" applyFill="1"/>
    <xf numFmtId="165" fontId="0" fillId="2" borderId="8" xfId="1" applyNumberFormat="1" applyFont="1" applyFill="1" applyBorder="1"/>
    <xf numFmtId="165" fontId="0" fillId="2" borderId="8" xfId="2" applyNumberFormat="1" applyFont="1" applyFill="1" applyBorder="1"/>
    <xf numFmtId="165" fontId="20" fillId="2" borderId="9" xfId="2" applyNumberFormat="1" applyFont="1" applyFill="1" applyBorder="1"/>
    <xf numFmtId="164" fontId="0" fillId="19" borderId="0" xfId="1" applyNumberFormat="1" applyFont="1" applyFill="1"/>
    <xf numFmtId="164" fontId="0" fillId="19" borderId="0" xfId="1" applyNumberFormat="1" applyFont="1" applyFill="1" applyAlignment="1">
      <alignment wrapText="1"/>
    </xf>
    <xf numFmtId="164" fontId="0" fillId="16" borderId="0" xfId="1" applyNumberFormat="1" applyFont="1" applyFill="1" applyBorder="1" applyAlignment="1">
      <alignment wrapText="1"/>
    </xf>
    <xf numFmtId="0" fontId="22" fillId="0" borderId="0" xfId="0" applyFont="1" applyAlignment="1">
      <alignment horizontal="right"/>
    </xf>
    <xf numFmtId="164" fontId="23" fillId="0" borderId="0" xfId="1" applyNumberFormat="1" applyFont="1"/>
    <xf numFmtId="164" fontId="4" fillId="0" borderId="0" xfId="1" applyNumberFormat="1" applyFont="1"/>
    <xf numFmtId="164" fontId="24" fillId="0" borderId="0" xfId="1" applyNumberFormat="1" applyFont="1"/>
    <xf numFmtId="164" fontId="25" fillId="0" borderId="0" xfId="1" applyNumberFormat="1" applyFont="1"/>
    <xf numFmtId="0" fontId="22" fillId="0" borderId="0" xfId="0" applyFont="1"/>
    <xf numFmtId="0" fontId="0" fillId="0" borderId="0" xfId="0" applyAlignment="1">
      <alignment horizontal="right"/>
    </xf>
    <xf numFmtId="0" fontId="22" fillId="0" borderId="0" xfId="0" applyFont="1" applyAlignment="1">
      <alignment horizontal="center"/>
    </xf>
    <xf numFmtId="43" fontId="23" fillId="0" borderId="0" xfId="1" applyFont="1"/>
    <xf numFmtId="0" fontId="0" fillId="0" borderId="0" xfId="0" applyAlignment="1">
      <alignment vertical="center"/>
    </xf>
    <xf numFmtId="0" fontId="26" fillId="0" borderId="0" xfId="0" applyFont="1" applyAlignment="1">
      <alignment horizontal="center" vertical="center"/>
    </xf>
    <xf numFmtId="164" fontId="27" fillId="0" borderId="0" xfId="1" applyNumberFormat="1" applyFont="1"/>
    <xf numFmtId="0" fontId="5" fillId="22" borderId="0" xfId="0" applyFont="1" applyFill="1"/>
    <xf numFmtId="165" fontId="0" fillId="0" borderId="0" xfId="0" applyNumberFormat="1"/>
    <xf numFmtId="0" fontId="0" fillId="3" borderId="0" xfId="0" applyFill="1"/>
    <xf numFmtId="164" fontId="0" fillId="3" borderId="0" xfId="0" applyNumberFormat="1" applyFill="1"/>
    <xf numFmtId="164" fontId="0" fillId="2" borderId="0" xfId="0" applyNumberFormat="1" applyFill="1"/>
    <xf numFmtId="164" fontId="20" fillId="2" borderId="0" xfId="1" applyNumberFormat="1" applyFont="1" applyFill="1"/>
    <xf numFmtId="164" fontId="0" fillId="17" borderId="0" xfId="1" applyNumberFormat="1" applyFont="1" applyFill="1"/>
    <xf numFmtId="164" fontId="25" fillId="17" borderId="0" xfId="1" applyNumberFormat="1" applyFont="1" applyFill="1"/>
    <xf numFmtId="164" fontId="20" fillId="18" borderId="0" xfId="1" applyNumberFormat="1" applyFont="1" applyFill="1"/>
    <xf numFmtId="164" fontId="28" fillId="18" borderId="0" xfId="1" applyNumberFormat="1" applyFont="1" applyFill="1"/>
    <xf numFmtId="0" fontId="20" fillId="0" borderId="3" xfId="0" applyFont="1" applyBorder="1"/>
    <xf numFmtId="164" fontId="0" fillId="0" borderId="0" xfId="1" applyNumberFormat="1" applyFont="1" applyFill="1" applyBorder="1"/>
    <xf numFmtId="0" fontId="20" fillId="0" borderId="8" xfId="0" applyFont="1" applyBorder="1"/>
    <xf numFmtId="164" fontId="0" fillId="3" borderId="0" xfId="1" applyNumberFormat="1" applyFont="1" applyFill="1"/>
    <xf numFmtId="164" fontId="29" fillId="3" borderId="0" xfId="1" applyNumberFormat="1" applyFont="1" applyFill="1"/>
    <xf numFmtId="164" fontId="0" fillId="2" borderId="0" xfId="1" applyNumberFormat="1" applyFont="1" applyFill="1"/>
    <xf numFmtId="164" fontId="29" fillId="2" borderId="0" xfId="1" applyNumberFormat="1" applyFont="1" applyFill="1"/>
    <xf numFmtId="164" fontId="30" fillId="2" borderId="0" xfId="1" applyNumberFormat="1" applyFont="1" applyFill="1"/>
    <xf numFmtId="0" fontId="25" fillId="0" borderId="0" xfId="0" applyFont="1"/>
    <xf numFmtId="0" fontId="29" fillId="0" borderId="0" xfId="0" applyFont="1"/>
    <xf numFmtId="0" fontId="31" fillId="0" borderId="50" xfId="0" applyFont="1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31" xfId="0" applyBorder="1"/>
    <xf numFmtId="165" fontId="0" fillId="0" borderId="32" xfId="2" applyNumberFormat="1" applyFont="1" applyBorder="1"/>
    <xf numFmtId="165" fontId="0" fillId="0" borderId="26" xfId="2" applyNumberFormat="1" applyFont="1" applyBorder="1"/>
    <xf numFmtId="0" fontId="22" fillId="0" borderId="28" xfId="0" applyFont="1" applyBorder="1" applyAlignment="1">
      <alignment horizontal="center"/>
    </xf>
    <xf numFmtId="0" fontId="22" fillId="0" borderId="51" xfId="0" applyFont="1" applyBorder="1" applyAlignment="1">
      <alignment horizontal="center"/>
    </xf>
    <xf numFmtId="165" fontId="0" fillId="0" borderId="0" xfId="2" applyNumberFormat="1" applyFont="1" applyBorder="1"/>
    <xf numFmtId="165" fontId="0" fillId="0" borderId="31" xfId="2" applyNumberFormat="1" applyFont="1" applyBorder="1"/>
    <xf numFmtId="44" fontId="0" fillId="0" borderId="0" xfId="2" applyFont="1"/>
    <xf numFmtId="165" fontId="0" fillId="0" borderId="0" xfId="2" applyNumberFormat="1" applyFont="1"/>
    <xf numFmtId="0" fontId="6" fillId="7" borderId="40" xfId="0" applyFont="1" applyFill="1" applyBorder="1"/>
    <xf numFmtId="170" fontId="6" fillId="7" borderId="15" xfId="0" applyNumberFormat="1" applyFont="1" applyFill="1" applyBorder="1"/>
    <xf numFmtId="9" fontId="6" fillId="7" borderId="15" xfId="0" applyNumberFormat="1" applyFont="1" applyFill="1" applyBorder="1"/>
    <xf numFmtId="0" fontId="6" fillId="7" borderId="46" xfId="0" applyFont="1" applyFill="1" applyBorder="1"/>
    <xf numFmtId="0" fontId="6" fillId="7" borderId="16" xfId="0" applyFont="1" applyFill="1" applyBorder="1"/>
    <xf numFmtId="170" fontId="6" fillId="7" borderId="0" xfId="0" applyNumberFormat="1" applyFont="1" applyFill="1"/>
    <xf numFmtId="9" fontId="6" fillId="7" borderId="0" xfId="0" applyNumberFormat="1" applyFont="1" applyFill="1"/>
    <xf numFmtId="0" fontId="6" fillId="7" borderId="17" xfId="0" applyFont="1" applyFill="1" applyBorder="1"/>
    <xf numFmtId="0" fontId="6" fillId="7" borderId="54" xfId="0" applyFont="1" applyFill="1" applyBorder="1"/>
    <xf numFmtId="8" fontId="6" fillId="7" borderId="18" xfId="0" applyNumberFormat="1" applyFont="1" applyFill="1" applyBorder="1"/>
    <xf numFmtId="9" fontId="6" fillId="7" borderId="18" xfId="0" applyNumberFormat="1" applyFont="1" applyFill="1" applyBorder="1"/>
    <xf numFmtId="0" fontId="6" fillId="7" borderId="18" xfId="0" applyFont="1" applyFill="1" applyBorder="1"/>
    <xf numFmtId="0" fontId="6" fillId="7" borderId="47" xfId="0" applyFont="1" applyFill="1" applyBorder="1"/>
    <xf numFmtId="0" fontId="6" fillId="7" borderId="15" xfId="0" applyFont="1" applyFill="1" applyBorder="1" applyAlignment="1">
      <alignment wrapText="1"/>
    </xf>
    <xf numFmtId="0" fontId="19" fillId="7" borderId="0" xfId="0" applyFont="1" applyFill="1" applyAlignment="1">
      <alignment horizontal="center" vertical="center"/>
    </xf>
    <xf numFmtId="0" fontId="33" fillId="0" borderId="0" xfId="0" applyFont="1"/>
    <xf numFmtId="3" fontId="0" fillId="0" borderId="0" xfId="0" applyNumberFormat="1"/>
    <xf numFmtId="3" fontId="32" fillId="0" borderId="0" xfId="0" applyNumberFormat="1" applyFont="1"/>
    <xf numFmtId="14" fontId="32" fillId="0" borderId="0" xfId="0" applyNumberFormat="1" applyFont="1"/>
    <xf numFmtId="0" fontId="35" fillId="0" borderId="0" xfId="0" applyFont="1"/>
    <xf numFmtId="3" fontId="34" fillId="0" borderId="0" xfId="0" applyNumberFormat="1" applyFont="1"/>
    <xf numFmtId="14" fontId="34" fillId="0" borderId="0" xfId="0" applyNumberFormat="1" applyFont="1"/>
    <xf numFmtId="49" fontId="0" fillId="4" borderId="15" xfId="0" applyNumberFormat="1" applyFill="1" applyBorder="1" applyAlignment="1">
      <alignment horizontal="center" vertical="center"/>
    </xf>
    <xf numFmtId="165" fontId="0" fillId="0" borderId="0" xfId="2" applyNumberFormat="1" applyFont="1" applyFill="1" applyBorder="1"/>
    <xf numFmtId="0" fontId="0" fillId="6" borderId="1" xfId="0" applyFill="1" applyBorder="1" applyAlignment="1">
      <alignment shrinkToFit="1"/>
    </xf>
    <xf numFmtId="0" fontId="0" fillId="6" borderId="1" xfId="0" applyFill="1" applyBorder="1"/>
    <xf numFmtId="165" fontId="0" fillId="6" borderId="1" xfId="2" applyNumberFormat="1" applyFont="1" applyFill="1" applyBorder="1"/>
    <xf numFmtId="165" fontId="0" fillId="3" borderId="0" xfId="2" applyNumberFormat="1" applyFont="1" applyFill="1"/>
    <xf numFmtId="165" fontId="29" fillId="3" borderId="0" xfId="2" applyNumberFormat="1" applyFont="1" applyFill="1"/>
    <xf numFmtId="44" fontId="0" fillId="0" borderId="0" xfId="0" applyNumberFormat="1"/>
    <xf numFmtId="168" fontId="20" fillId="18" borderId="15" xfId="0" applyNumberFormat="1" applyFont="1" applyFill="1" applyBorder="1" applyAlignment="1">
      <alignment horizontal="center" vertical="center"/>
    </xf>
    <xf numFmtId="168" fontId="20" fillId="18" borderId="46" xfId="0" applyNumberFormat="1" applyFont="1" applyFill="1" applyBorder="1" applyAlignment="1">
      <alignment horizontal="center" vertical="center"/>
    </xf>
    <xf numFmtId="0" fontId="20" fillId="18" borderId="15" xfId="0" applyFont="1" applyFill="1" applyBorder="1" applyAlignment="1">
      <alignment horizontal="center" vertical="center"/>
    </xf>
    <xf numFmtId="0" fontId="20" fillId="18" borderId="46" xfId="0" applyFont="1" applyFill="1" applyBorder="1" applyAlignment="1">
      <alignment horizontal="center" vertical="center"/>
    </xf>
    <xf numFmtId="0" fontId="0" fillId="20" borderId="48" xfId="0" applyFill="1" applyBorder="1" applyAlignment="1">
      <alignment horizontal="center"/>
    </xf>
    <xf numFmtId="0" fontId="0" fillId="20" borderId="24" xfId="0" applyFill="1" applyBorder="1" applyAlignment="1">
      <alignment horizontal="center"/>
    </xf>
    <xf numFmtId="164" fontId="0" fillId="20" borderId="48" xfId="0" applyNumberFormat="1" applyFill="1" applyBorder="1" applyAlignment="1">
      <alignment horizontal="center" shrinkToFit="1"/>
    </xf>
    <xf numFmtId="164" fontId="0" fillId="20" borderId="24" xfId="0" applyNumberFormat="1" applyFill="1" applyBorder="1" applyAlignment="1">
      <alignment horizontal="center" shrinkToFit="1"/>
    </xf>
    <xf numFmtId="169" fontId="0" fillId="20" borderId="40" xfId="3" applyNumberFormat="1" applyFont="1" applyFill="1" applyBorder="1" applyAlignment="1">
      <alignment horizontal="center" vertical="center"/>
    </xf>
    <xf numFmtId="169" fontId="0" fillId="20" borderId="46" xfId="3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ill>
        <patternFill patternType="solid">
          <fgColor indexed="64"/>
          <bgColor theme="5" tint="-0.249977111117893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13" formatCode="0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5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rgbClr val="92D050"/>
                </a:solidFill>
              </a:rPr>
              <a:t>ZUKI GROUP </a:t>
            </a:r>
          </a:p>
          <a:p>
            <a:pPr>
              <a:defRPr/>
            </a:pPr>
            <a:r>
              <a:rPr lang="en-US" baseline="0">
                <a:solidFill>
                  <a:srgbClr val="92D050"/>
                </a:solidFill>
              </a:rPr>
              <a:t>Proforma Revenues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'Combined Proformas'!$B$7</c:f>
              <c:strCache>
                <c:ptCount val="1"/>
                <c:pt idx="0">
                  <c:v>Zuki Inc.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'Combined Proformas'!$D$6:$G$6</c:f>
              <c:strCach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strCache>
            </c:strRef>
          </c:cat>
          <c:val>
            <c:numRef>
              <c:f>'Combined Proformas'!$D$7:$G$7</c:f>
              <c:numCache>
                <c:formatCode>_("$"* #,##0_);_("$"* \(#,##0\);_("$"* "-"??_);_(@_)</c:formatCode>
                <c:ptCount val="4"/>
                <c:pt idx="0">
                  <c:v>11700</c:v>
                </c:pt>
                <c:pt idx="1">
                  <c:v>66602518.430194259</c:v>
                </c:pt>
                <c:pt idx="2">
                  <c:v>953157429.27424765</c:v>
                </c:pt>
                <c:pt idx="3">
                  <c:v>4497588071.6385183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A-7747-80A5-A643F78ADE95}"/>
            </c:ext>
          </c:extLst>
        </c:ser>
        <c:ser>
          <c:idx val="1"/>
          <c:order val="1"/>
          <c:tx>
            <c:strRef>
              <c:f>'Combined Proformas'!$B$8</c:f>
              <c:strCache>
                <c:ptCount val="1"/>
                <c:pt idx="0">
                  <c:v>Billion Graves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'Combined Proformas'!$D$6:$G$6</c:f>
              <c:strCach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strCache>
            </c:strRef>
          </c:cat>
          <c:val>
            <c:numRef>
              <c:f>'Combined Proformas'!$D$8:$G$8</c:f>
              <c:numCache>
                <c:formatCode>_("$"* #,##0_);_("$"* \(#,##0\);_("$"* "-"??_);_(@_)</c:formatCode>
                <c:ptCount val="4"/>
                <c:pt idx="0">
                  <c:v>489821</c:v>
                </c:pt>
                <c:pt idx="1">
                  <c:v>2528212</c:v>
                </c:pt>
                <c:pt idx="2">
                  <c:v>10849128</c:v>
                </c:pt>
                <c:pt idx="3">
                  <c:v>22864108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6A-7747-80A5-A643F78ADE95}"/>
            </c:ext>
          </c:extLst>
        </c:ser>
        <c:ser>
          <c:idx val="2"/>
          <c:order val="2"/>
          <c:tx>
            <c:strRef>
              <c:f>'Combined Proformas'!$B$9</c:f>
              <c:strCache>
                <c:ptCount val="1"/>
                <c:pt idx="0">
                  <c:v>D-Life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'Combined Proformas'!$D$6:$G$6</c:f>
              <c:strCach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strCache>
            </c:strRef>
          </c:cat>
          <c:val>
            <c:numRef>
              <c:f>'Combined Proformas'!$D$9:$G$9</c:f>
              <c:numCache>
                <c:formatCode>_("$"* #,##0_);_("$"* \(#,##0\);_("$"* "-"??_);_(@_)</c:formatCode>
                <c:ptCount val="4"/>
                <c:pt idx="0">
                  <c:v>0</c:v>
                </c:pt>
                <c:pt idx="1">
                  <c:v>4824000</c:v>
                </c:pt>
                <c:pt idx="2">
                  <c:v>25920000</c:v>
                </c:pt>
                <c:pt idx="3">
                  <c:v>97200000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6A-7747-80A5-A643F78ADE95}"/>
            </c:ext>
          </c:extLst>
        </c:ser>
        <c:ser>
          <c:idx val="3"/>
          <c:order val="3"/>
          <c:tx>
            <c:strRef>
              <c:f>'Combined Proformas'!$B$10</c:f>
              <c:strCache>
                <c:ptCount val="1"/>
                <c:pt idx="0">
                  <c:v>GTR24H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'Combined Proformas'!$D$6:$G$6</c:f>
              <c:strCach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strCache>
            </c:strRef>
          </c:cat>
          <c:val>
            <c:numRef>
              <c:f>'Combined Proformas'!$D$10:$G$10</c:f>
              <c:numCache>
                <c:formatCode>_("$"* #,##0_);_("$"* \(#,##0\);_("$"* "-"??_);_(@_)</c:formatCode>
                <c:ptCount val="4"/>
                <c:pt idx="0">
                  <c:v>36000</c:v>
                </c:pt>
                <c:pt idx="1">
                  <c:v>6135000</c:v>
                </c:pt>
                <c:pt idx="2">
                  <c:v>7327000</c:v>
                </c:pt>
                <c:pt idx="3">
                  <c:v>8166000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6A-7747-80A5-A643F78ADE95}"/>
            </c:ext>
          </c:extLst>
        </c:ser>
        <c:ser>
          <c:idx val="4"/>
          <c:order val="4"/>
          <c:tx>
            <c:strRef>
              <c:f>'Combined Proformas'!$B$11</c:f>
              <c:strCache>
                <c:ptCount val="1"/>
                <c:pt idx="0">
                  <c:v>Moneyball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'Combined Proformas'!$D$6:$G$6</c:f>
              <c:strCach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strCache>
            </c:strRef>
          </c:cat>
          <c:val>
            <c:numRef>
              <c:f>'Combined Proformas'!$D$11:$G$11</c:f>
              <c:numCache>
                <c:formatCode>_("$"* #,##0_);_("$"* \(#,##0\);_("$"* "-"??_);_(@_)</c:formatCode>
                <c:ptCount val="4"/>
                <c:pt idx="0">
                  <c:v>421800</c:v>
                </c:pt>
                <c:pt idx="1">
                  <c:v>11388600</c:v>
                </c:pt>
                <c:pt idx="2">
                  <c:v>15944040</c:v>
                </c:pt>
                <c:pt idx="3">
                  <c:v>22777200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6A-7747-80A5-A643F78ADE95}"/>
            </c:ext>
          </c:extLst>
        </c:ser>
        <c:ser>
          <c:idx val="5"/>
          <c:order val="5"/>
          <c:tx>
            <c:strRef>
              <c:f>'Combined Proformas'!$B$12</c:f>
              <c:strCache>
                <c:ptCount val="1"/>
                <c:pt idx="0">
                  <c:v>Delivery Drop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'Combined Proformas'!$D$6:$G$6</c:f>
              <c:strCach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strCache>
            </c:strRef>
          </c:cat>
          <c:val>
            <c:numRef>
              <c:f>'Combined Proformas'!$D$12:$G$12</c:f>
              <c:numCache>
                <c:formatCode>_("$"* #,##0_);_("$"* \(#,##0\);_("$"* "-"??_);_(@_)</c:formatCode>
                <c:ptCount val="4"/>
                <c:pt idx="0">
                  <c:v>242439.99999999997</c:v>
                </c:pt>
                <c:pt idx="1">
                  <c:v>2411062.3199999998</c:v>
                </c:pt>
                <c:pt idx="2">
                  <c:v>11037865.16</c:v>
                </c:pt>
                <c:pt idx="3">
                  <c:v>16004904.481999999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6A-7747-80A5-A643F78AD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7748872"/>
        <c:axId val="593662048"/>
      </c:barChart>
      <c:catAx>
        <c:axId val="477748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662048"/>
        <c:crosses val="autoZero"/>
        <c:auto val="1"/>
        <c:lblAlgn val="ctr"/>
        <c:lblOffset val="100"/>
        <c:noMultiLvlLbl val="0"/>
      </c:catAx>
      <c:valAx>
        <c:axId val="59366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748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rgbClr val="92D050"/>
                </a:solidFill>
              </a:rPr>
              <a:t>ZUKI  </a:t>
            </a:r>
          </a:p>
          <a:p>
            <a:pPr>
              <a:defRPr/>
            </a:pPr>
            <a:r>
              <a:rPr lang="en-US" baseline="0">
                <a:solidFill>
                  <a:srgbClr val="92D050"/>
                </a:solidFill>
              </a:rPr>
              <a:t>Proforma EBITDA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'Combined Proformas'!$D$6:$G$6</c:f>
              <c:strCach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strCache>
            </c:strRef>
          </c:cat>
          <c:val>
            <c:numRef>
              <c:f>'Combined Proformas'!$D$38:$G$38</c:f>
              <c:numCache>
                <c:formatCode>_("$"* #,##0_);_("$"* \(#,##0\);_("$"* "-"??_);_(@_)</c:formatCode>
                <c:ptCount val="4"/>
                <c:pt idx="0">
                  <c:v>-2164916.8219677736</c:v>
                </c:pt>
                <c:pt idx="1">
                  <c:v>12184651.378768519</c:v>
                </c:pt>
                <c:pt idx="2">
                  <c:v>83594151.032421052</c:v>
                </c:pt>
                <c:pt idx="3">
                  <c:v>598771349.42989874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9-9C40-AC8E-75E12F8428E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77748872"/>
        <c:axId val="593662048"/>
      </c:barChart>
      <c:catAx>
        <c:axId val="477748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662048"/>
        <c:crosses val="autoZero"/>
        <c:auto val="1"/>
        <c:lblAlgn val="ctr"/>
        <c:lblOffset val="100"/>
        <c:noMultiLvlLbl val="0"/>
      </c:catAx>
      <c:valAx>
        <c:axId val="59366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748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rgbClr val="92D050"/>
                </a:solidFill>
              </a:rPr>
              <a:t>ZUKI Inc. </a:t>
            </a:r>
          </a:p>
          <a:p>
            <a:pPr>
              <a:defRPr/>
            </a:pPr>
            <a:r>
              <a:rPr lang="en-US" baseline="0">
                <a:solidFill>
                  <a:srgbClr val="92D050"/>
                </a:solidFill>
              </a:rPr>
              <a:t>Proforma Net Income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'Combined Proformas'!$D$6:$G$6</c:f>
              <c:strCach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strCache>
            </c:strRef>
          </c:cat>
          <c:val>
            <c:numRef>
              <c:f>'Combined Proformas'!$D$47:$G$47</c:f>
              <c:numCache>
                <c:formatCode>_("$"* #,##0_);_("$"* \(#,##0\);_("$"* "-"??_);_(@_)</c:formatCode>
                <c:ptCount val="4"/>
                <c:pt idx="0">
                  <c:v>-2924916.8219677736</c:v>
                </c:pt>
                <c:pt idx="1">
                  <c:v>7140023.3961995374</c:v>
                </c:pt>
                <c:pt idx="2">
                  <c:v>53556198.17107369</c:v>
                </c:pt>
                <c:pt idx="3">
                  <c:v>388421377.12943423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B-244E-8316-5CBC5B1A95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77748872"/>
        <c:axId val="593662048"/>
      </c:barChart>
      <c:catAx>
        <c:axId val="477748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662048"/>
        <c:crosses val="autoZero"/>
        <c:auto val="1"/>
        <c:lblAlgn val="ctr"/>
        <c:lblOffset val="100"/>
        <c:noMultiLvlLbl val="0"/>
      </c:catAx>
      <c:valAx>
        <c:axId val="59366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748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rgbClr val="92D050"/>
                </a:solidFill>
              </a:rPr>
              <a:t>ZUKI Inc. </a:t>
            </a:r>
          </a:p>
          <a:p>
            <a:pPr>
              <a:defRPr/>
            </a:pPr>
            <a:r>
              <a:rPr lang="en-US" baseline="0">
                <a:solidFill>
                  <a:srgbClr val="92D050"/>
                </a:solidFill>
              </a:rPr>
              <a:t>Proforma Valuation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'Combined Proformas'!$B$55</c:f>
              <c:strCache>
                <c:ptCount val="1"/>
                <c:pt idx="0">
                  <c:v>10x Net Income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'Combined Proformas'!$E$6:$G$6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cat>
          <c:val>
            <c:numRef>
              <c:f>'Combined Proformas'!$E$55:$G$55</c:f>
              <c:numCache>
                <c:formatCode>_("$"* #,##0_);_("$"* \(#,##0\);_("$"* "-"??_);_(@_)</c:formatCode>
                <c:ptCount val="3"/>
                <c:pt idx="0">
                  <c:v>71400233.961995378</c:v>
                </c:pt>
                <c:pt idx="1">
                  <c:v>535561981.71073687</c:v>
                </c:pt>
                <c:pt idx="2">
                  <c:v>3884213771.294342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2B-4441-AC34-B8877D619232}"/>
            </c:ext>
          </c:extLst>
        </c:ser>
        <c:ser>
          <c:idx val="1"/>
          <c:order val="1"/>
          <c:tx>
            <c:strRef>
              <c:f>'Combined Proformas'!$B$56</c:f>
              <c:strCache>
                <c:ptCount val="1"/>
                <c:pt idx="0">
                  <c:v>15x Net Income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'Combined Proformas'!$E$6:$G$6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cat>
          <c:val>
            <c:numRef>
              <c:f>'Combined Proformas'!$E$56:$G$56</c:f>
              <c:numCache>
                <c:formatCode>_("$"* #,##0_);_("$"* \(#,##0\);_("$"* "-"??_);_(@_)</c:formatCode>
                <c:ptCount val="3"/>
                <c:pt idx="0">
                  <c:v>107100350.94299306</c:v>
                </c:pt>
                <c:pt idx="1">
                  <c:v>803342972.56610537</c:v>
                </c:pt>
                <c:pt idx="2">
                  <c:v>5826320656.9415131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2B-4441-AC34-B8877D619232}"/>
            </c:ext>
          </c:extLst>
        </c:ser>
        <c:ser>
          <c:idx val="2"/>
          <c:order val="2"/>
          <c:tx>
            <c:strRef>
              <c:f>'Combined Proformas'!$B$57</c:f>
              <c:strCache>
                <c:ptCount val="1"/>
                <c:pt idx="0">
                  <c:v>20x Net Income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'Combined Proformas'!$E$6:$G$6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cat>
          <c:val>
            <c:numRef>
              <c:f>'Combined Proformas'!$E$57:$G$57</c:f>
              <c:numCache>
                <c:formatCode>_("$"* #,##0_);_("$"* \(#,##0\);_("$"* "-"??_);_(@_)</c:formatCode>
                <c:ptCount val="3"/>
                <c:pt idx="0">
                  <c:v>142800467.92399076</c:v>
                </c:pt>
                <c:pt idx="1">
                  <c:v>1071123963.4214737</c:v>
                </c:pt>
                <c:pt idx="2">
                  <c:v>7768427542.5886841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2B-4441-AC34-B8877D619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7748872"/>
        <c:axId val="593662048"/>
      </c:lineChart>
      <c:catAx>
        <c:axId val="477748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662048"/>
        <c:crosses val="autoZero"/>
        <c:auto val="1"/>
        <c:lblAlgn val="ctr"/>
        <c:lblOffset val="100"/>
        <c:noMultiLvlLbl val="0"/>
      </c:catAx>
      <c:valAx>
        <c:axId val="59366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748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195341</xdr:rowOff>
    </xdr:from>
    <xdr:to>
      <xdr:col>12</xdr:col>
      <xdr:colOff>600075</xdr:colOff>
      <xdr:row>23</xdr:row>
      <xdr:rowOff>199945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4D4487-4A39-CA4D-A8DD-2D03F94ED7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28</xdr:row>
      <xdr:rowOff>3889</xdr:rowOff>
    </xdr:from>
    <xdr:to>
      <xdr:col>13</xdr:col>
      <xdr:colOff>114300</xdr:colOff>
      <xdr:row>49</xdr:row>
      <xdr:rowOff>185023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D617E63-3FCB-5146-984D-F23253840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13</xdr:col>
      <xdr:colOff>114300</xdr:colOff>
      <xdr:row>74</xdr:row>
      <xdr:rowOff>128588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D6E10B7-33A1-3342-A803-3FBD8FD87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78</xdr:row>
      <xdr:rowOff>0</xdr:rowOff>
    </xdr:from>
    <xdr:to>
      <xdr:col>13</xdr:col>
      <xdr:colOff>114300</xdr:colOff>
      <xdr:row>98</xdr:row>
      <xdr:rowOff>128588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AC1D7F7-6F68-134B-B965-107455EB69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3BD175-6D4A-AB4D-80F1-8121FC2AD61D}" name="Table13" displayName="Table13" ref="D4:G8" totalsRowShown="0" headerRowDxfId="7" headerRowBorderDxfId="6" tableBorderDxfId="5" totalsRowBorderDxfId="4">
  <autoFilter ref="D4:G8" xr:uid="{8A3BD175-6D4A-AB4D-80F1-8121FC2AD61D}"/>
  <sortState xmlns:xlrd2="http://schemas.microsoft.com/office/spreadsheetml/2017/richdata2" ref="D5:E8">
    <sortCondition descending="1" ref="E4:E8"/>
  </sortState>
  <tableColumns count="4">
    <tableColumn id="1" xr3:uid="{F7990A36-897B-B741-B73B-40426C78B19A}" name="Z Level (Z1 - Z4)" dataDxfId="3"/>
    <tableColumn id="2" xr3:uid="{87A91245-26B8-6F42-97D0-25030AB7A58C}" name="% Share of Production Pool" dataDxfId="2"/>
    <tableColumn id="3" xr3:uid="{ABC31211-4E0D-A94E-9DE0-64BE51F8BDC9}" name="Rate of Refunds &amp; Rebates" dataDxfId="1"/>
    <tableColumn id="4" xr3:uid="{F2FC4072-FDC1-EE4F-B7E2-F05406A5B4D0}" name="0%" dataDxfId="0" dataCellStyle="Comma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6E417-3AFA-4F43-9675-CBFBFF912630}">
  <sheetPr>
    <pageSetUpPr fitToPage="1"/>
  </sheetPr>
  <dimension ref="B2:H57"/>
  <sheetViews>
    <sheetView topLeftCell="A17" workbookViewId="0">
      <selection activeCell="P36" sqref="P36"/>
    </sheetView>
  </sheetViews>
  <sheetFormatPr baseColWidth="10" defaultColWidth="8.83203125" defaultRowHeight="15"/>
  <cols>
    <col min="2" max="2" width="37.6640625" customWidth="1"/>
    <col min="4" max="4" width="17" customWidth="1"/>
    <col min="5" max="5" width="17.5" customWidth="1"/>
    <col min="6" max="6" width="17.1640625" customWidth="1"/>
    <col min="7" max="7" width="18.5" customWidth="1"/>
    <col min="8" max="8" width="11.1640625" bestFit="1" customWidth="1"/>
  </cols>
  <sheetData>
    <row r="2" spans="2:7" ht="26">
      <c r="B2" s="151" t="s">
        <v>286</v>
      </c>
    </row>
    <row r="3" spans="2:7" ht="21">
      <c r="B3" s="289" t="s">
        <v>287</v>
      </c>
    </row>
    <row r="4" spans="2:7">
      <c r="B4" s="73" t="s">
        <v>298</v>
      </c>
    </row>
    <row r="5" spans="2:7" ht="16" thickBot="1"/>
    <row r="6" spans="2:7" ht="20" thickBot="1">
      <c r="B6" s="284" t="s">
        <v>289</v>
      </c>
      <c r="C6" s="262"/>
      <c r="D6" s="378">
        <v>2022</v>
      </c>
      <c r="E6" s="378" t="s">
        <v>284</v>
      </c>
      <c r="F6" s="378" t="s">
        <v>285</v>
      </c>
      <c r="G6" s="378" t="s">
        <v>293</v>
      </c>
    </row>
    <row r="7" spans="2:7" ht="16" thickBot="1">
      <c r="B7" s="266" t="s">
        <v>288</v>
      </c>
      <c r="C7" s="160"/>
      <c r="D7" s="267">
        <f>+'Income Projection (MRV)'!F6+'Income Projection (MRV)'!J6</f>
        <v>11700</v>
      </c>
      <c r="E7" s="267">
        <f>+'Income Projection (MRV)'!N6+'Income Projection (MRV)'!R6+'Income Projection (MRV)'!F36+'Income Projection (MRV)'!J36</f>
        <v>66602518.430194259</v>
      </c>
      <c r="F7" s="267">
        <f>+'Income Projection (MRV)'!N36+'Income Projection (MRV)'!R36+'Income Projection (MRV)'!F66+'Income Projection (MRV)'!J66</f>
        <v>953157429.27424765</v>
      </c>
      <c r="G7" s="267">
        <f>+'Income Projection (MRV)'!N66+'Income Projection (MRV)'!R66*3</f>
        <v>4497588071.6385183</v>
      </c>
    </row>
    <row r="8" spans="2:7" ht="16" thickBot="1">
      <c r="B8" s="302" t="s">
        <v>290</v>
      </c>
      <c r="C8" s="61"/>
      <c r="D8" s="267">
        <v>489821</v>
      </c>
      <c r="E8" s="267">
        <v>2528212</v>
      </c>
      <c r="F8" s="267">
        <v>10849128</v>
      </c>
      <c r="G8" s="267">
        <v>22864108</v>
      </c>
    </row>
    <row r="9" spans="2:7" ht="16" thickBot="1">
      <c r="B9" s="302" t="s">
        <v>292</v>
      </c>
      <c r="C9" s="61"/>
      <c r="D9" s="267">
        <v>0</v>
      </c>
      <c r="E9" s="267">
        <v>4824000</v>
      </c>
      <c r="F9" s="267">
        <v>25920000</v>
      </c>
      <c r="G9" s="267">
        <v>97200000</v>
      </c>
    </row>
    <row r="10" spans="2:7" ht="16" thickBot="1">
      <c r="B10" s="302" t="s">
        <v>294</v>
      </c>
      <c r="C10" s="61"/>
      <c r="D10" s="267">
        <v>36000</v>
      </c>
      <c r="E10" s="267">
        <v>6135000</v>
      </c>
      <c r="F10" s="267">
        <v>7327000</v>
      </c>
      <c r="G10" s="267">
        <v>8166000</v>
      </c>
    </row>
    <row r="11" spans="2:7" ht="16" thickBot="1">
      <c r="B11" s="302" t="s">
        <v>295</v>
      </c>
      <c r="C11" s="61"/>
      <c r="D11" s="267">
        <v>421800</v>
      </c>
      <c r="E11" s="267">
        <v>11388600</v>
      </c>
      <c r="F11" s="267">
        <v>15944040</v>
      </c>
      <c r="G11" s="267">
        <v>22777200</v>
      </c>
    </row>
    <row r="12" spans="2:7" ht="16" thickBot="1">
      <c r="B12" s="302" t="s">
        <v>296</v>
      </c>
      <c r="C12" s="61"/>
      <c r="D12" s="267">
        <f>209000*1.16</f>
        <v>242439.99999999997</v>
      </c>
      <c r="E12" s="267">
        <f>2078502*1.16</f>
        <v>2411062.3199999998</v>
      </c>
      <c r="F12" s="267">
        <f>9515401*1.16</f>
        <v>11037865.16</v>
      </c>
      <c r="G12" s="267">
        <f>+F12*1.25*1.16</f>
        <v>16004904.481999999</v>
      </c>
    </row>
    <row r="13" spans="2:7">
      <c r="B13" s="302"/>
      <c r="C13" s="61"/>
      <c r="D13" s="267"/>
      <c r="E13" s="267"/>
      <c r="F13" s="267"/>
      <c r="G13" s="267"/>
    </row>
    <row r="14" spans="2:7" ht="16" thickBot="1">
      <c r="B14" s="273" t="s">
        <v>291</v>
      </c>
      <c r="C14" s="274"/>
      <c r="D14" s="264">
        <f>SUM(D7:D13)</f>
        <v>1201761</v>
      </c>
      <c r="E14" s="264">
        <f>SUM(E7:E13)</f>
        <v>93889392.750194252</v>
      </c>
      <c r="F14" s="264">
        <f>SUM(F7:F13)</f>
        <v>1024235462.4342476</v>
      </c>
      <c r="G14" s="264">
        <f>SUM(G7:G13)</f>
        <v>4664600284.1205187</v>
      </c>
    </row>
    <row r="15" spans="2:7" ht="16" thickBot="1"/>
    <row r="16" spans="2:7" ht="20" thickBot="1">
      <c r="B16" s="284" t="s">
        <v>305</v>
      </c>
      <c r="C16" s="262"/>
      <c r="D16" s="378"/>
      <c r="E16" s="378"/>
      <c r="F16" s="378"/>
      <c r="G16" s="378"/>
    </row>
    <row r="17" spans="2:7" ht="16" thickBot="1">
      <c r="B17" s="266" t="s">
        <v>288</v>
      </c>
      <c r="C17" s="160"/>
      <c r="D17" s="267">
        <f>+'Income Projection (MRV)'!F7+'Income Projection (MRV)'!J7</f>
        <v>9945</v>
      </c>
      <c r="E17" s="267">
        <f>+'Income Projection (MRV)'!N7+'Income Projection (MRV)'!R7+'Income Projection (MRV)'!F37+'Income Projection (MRV)'!J37</f>
        <v>56612140.66566512</v>
      </c>
      <c r="F17" s="267">
        <f>+'Income Projection (MRV)'!N37+'Income Projection (MRV)'!R37+'Income Projection (MRV)'!F67+'Income Projection (MRV)'!J67</f>
        <v>810183814.88311052</v>
      </c>
      <c r="G17" s="267">
        <f>+'Income Projection (MRV)'!N67+'Income Projection (MRV)'!R67*3</f>
        <v>3822949860.8927412</v>
      </c>
    </row>
    <row r="18" spans="2:7" ht="16" thickBot="1">
      <c r="B18" s="302" t="s">
        <v>290</v>
      </c>
      <c r="C18" s="61"/>
      <c r="D18" s="267">
        <v>114334</v>
      </c>
      <c r="E18" s="267">
        <v>206442</v>
      </c>
      <c r="F18" s="267">
        <v>372753</v>
      </c>
      <c r="G18" s="267">
        <v>673045</v>
      </c>
    </row>
    <row r="19" spans="2:7" ht="16" thickBot="1">
      <c r="B19" s="302" t="s">
        <v>292</v>
      </c>
      <c r="C19" s="61"/>
      <c r="D19" s="267">
        <v>0</v>
      </c>
      <c r="E19" s="267">
        <v>1447200</v>
      </c>
      <c r="F19" s="267">
        <v>5184000</v>
      </c>
      <c r="G19" s="267">
        <v>14580000</v>
      </c>
    </row>
    <row r="20" spans="2:7" ht="16" thickBot="1">
      <c r="B20" s="302" t="s">
        <v>294</v>
      </c>
      <c r="C20" s="61"/>
      <c r="D20" s="267">
        <v>150000</v>
      </c>
      <c r="E20" s="267">
        <v>527000</v>
      </c>
      <c r="F20" s="267">
        <v>530750</v>
      </c>
      <c r="G20" s="267">
        <v>633625</v>
      </c>
    </row>
    <row r="21" spans="2:7" ht="16" thickBot="1">
      <c r="B21" s="302" t="s">
        <v>295</v>
      </c>
      <c r="C21" s="61"/>
      <c r="D21" s="267">
        <v>298000</v>
      </c>
      <c r="E21" s="267">
        <v>570000</v>
      </c>
      <c r="F21" s="267">
        <v>768000</v>
      </c>
      <c r="G21" s="267">
        <v>1025000</v>
      </c>
    </row>
    <row r="22" spans="2:7" ht="16" thickBot="1">
      <c r="B22" s="302" t="s">
        <v>296</v>
      </c>
      <c r="C22" s="61"/>
      <c r="D22" s="267">
        <f>35000*1.16</f>
        <v>40600</v>
      </c>
      <c r="E22" s="267">
        <f>1706177*1.16</f>
        <v>1979165.3199999998</v>
      </c>
      <c r="F22" s="267">
        <f>10262807*1.16</f>
        <v>11904856.119999999</v>
      </c>
      <c r="G22" s="267">
        <f>+F22*1.25*1.16</f>
        <v>17262041.373999998</v>
      </c>
    </row>
    <row r="23" spans="2:7">
      <c r="B23" s="302"/>
      <c r="C23" s="61"/>
      <c r="D23" s="267"/>
      <c r="E23" s="267"/>
      <c r="F23" s="267"/>
      <c r="G23" s="267"/>
    </row>
    <row r="24" spans="2:7" ht="16" thickBot="1">
      <c r="B24" s="273" t="s">
        <v>306</v>
      </c>
      <c r="C24" s="274"/>
      <c r="D24" s="264">
        <f>SUM(D17:D23)</f>
        <v>612879</v>
      </c>
      <c r="E24" s="264">
        <f>SUM(E17:E23)</f>
        <v>61341947.98566512</v>
      </c>
      <c r="F24" s="264">
        <f>SUM(F17:F23)</f>
        <v>828944174.00311053</v>
      </c>
      <c r="G24" s="264">
        <f>SUM(G17:G23)</f>
        <v>3857123572.2667413</v>
      </c>
    </row>
    <row r="25" spans="2:7">
      <c r="B25" s="263"/>
      <c r="D25" s="379"/>
      <c r="E25" s="379"/>
      <c r="F25" s="379"/>
      <c r="G25" s="379"/>
    </row>
    <row r="26" spans="2:7">
      <c r="B26" s="380" t="s">
        <v>297</v>
      </c>
      <c r="C26" s="381"/>
      <c r="D26" s="382">
        <f>+D14-D24</f>
        <v>588882</v>
      </c>
      <c r="E26" s="382">
        <f>+E14-E24</f>
        <v>32547444.764529131</v>
      </c>
      <c r="F26" s="382">
        <f>+F14-F24</f>
        <v>195291288.43113708</v>
      </c>
      <c r="G26" s="382">
        <f>+G14-G24</f>
        <v>807476711.85377741</v>
      </c>
    </row>
    <row r="27" spans="2:7" ht="16" thickBot="1">
      <c r="B27" s="263"/>
      <c r="D27" s="379"/>
      <c r="E27" s="379"/>
      <c r="F27" s="379"/>
      <c r="G27" s="379"/>
    </row>
    <row r="28" spans="2:7" ht="20" thickBot="1">
      <c r="B28" s="284" t="s">
        <v>308</v>
      </c>
      <c r="C28" s="262"/>
      <c r="D28" s="378"/>
      <c r="E28" s="378"/>
      <c r="F28" s="378"/>
      <c r="G28" s="378"/>
    </row>
    <row r="29" spans="2:7" ht="16" thickBot="1">
      <c r="B29" s="266" t="s">
        <v>288</v>
      </c>
      <c r="C29" s="160"/>
      <c r="D29" s="267">
        <f>+'Income Projection (MRV)'!F17+'Income Projection (MRV)'!J17</f>
        <v>662276.14196777344</v>
      </c>
      <c r="E29" s="267">
        <f>+'Income Projection (MRV)'!N17+'Income Projection (MRV)'!F47+'Income Projection (MRV)'!J47</f>
        <v>8991329.7457606122</v>
      </c>
      <c r="F29" s="267">
        <f>+'Income Projection (MRV)'!N47+'Income Projection (MRV)'!R47+'Income Projection (MRV)'!F77+'Income Projection (MRV)'!J77</f>
        <v>77260134.398716033</v>
      </c>
      <c r="G29" s="267">
        <f>+'Income Projection (MRV)'!N77+'Income Projection (MRV)'!R77*3</f>
        <v>137823935.44787863</v>
      </c>
    </row>
    <row r="30" spans="2:7" ht="16" thickBot="1">
      <c r="B30" s="302" t="s">
        <v>290</v>
      </c>
      <c r="C30" s="61"/>
      <c r="D30" s="267">
        <v>355569</v>
      </c>
      <c r="E30" s="267">
        <v>642018</v>
      </c>
      <c r="F30" s="267">
        <v>1608146</v>
      </c>
      <c r="G30" s="267">
        <v>2743771</v>
      </c>
    </row>
    <row r="31" spans="2:7" ht="16" thickBot="1">
      <c r="B31" s="302" t="s">
        <v>292</v>
      </c>
      <c r="C31" s="61"/>
      <c r="D31" s="267">
        <v>0</v>
      </c>
      <c r="E31" s="267">
        <v>4067280</v>
      </c>
      <c r="F31" s="267">
        <v>15493800</v>
      </c>
      <c r="G31" s="267">
        <v>46267200</v>
      </c>
    </row>
    <row r="32" spans="2:7" ht="16" thickBot="1">
      <c r="B32" s="302" t="s">
        <v>294</v>
      </c>
      <c r="C32" s="61"/>
      <c r="D32" s="267">
        <v>765000</v>
      </c>
      <c r="E32" s="267">
        <v>1202166</v>
      </c>
      <c r="F32" s="267">
        <v>1241231</v>
      </c>
      <c r="G32" s="267">
        <v>1281618</v>
      </c>
    </row>
    <row r="33" spans="2:8" ht="16" thickBot="1">
      <c r="B33" s="302" t="s">
        <v>295</v>
      </c>
      <c r="C33" s="61"/>
      <c r="D33" s="267">
        <v>566000</v>
      </c>
      <c r="E33" s="267">
        <v>873500</v>
      </c>
      <c r="F33" s="267">
        <v>1159000</v>
      </c>
      <c r="G33" s="267">
        <v>1532000</v>
      </c>
    </row>
    <row r="34" spans="2:8" ht="16" thickBot="1">
      <c r="B34" s="302" t="s">
        <v>296</v>
      </c>
      <c r="C34" s="61"/>
      <c r="D34" s="267">
        <f>349098*1.16</f>
        <v>404953.68</v>
      </c>
      <c r="E34" s="267">
        <f>3953879*1.16</f>
        <v>4586499.6399999997</v>
      </c>
      <c r="F34" s="267">
        <f>12874850*1.16</f>
        <v>14934825.999999998</v>
      </c>
      <c r="G34" s="267">
        <f>+F34*1.1*1.16</f>
        <v>19056837.976</v>
      </c>
    </row>
    <row r="35" spans="2:8">
      <c r="B35" s="302"/>
      <c r="C35" s="61"/>
      <c r="D35" s="267"/>
      <c r="E35" s="267"/>
      <c r="F35" s="267"/>
      <c r="G35" s="267"/>
      <c r="H35" s="385"/>
    </row>
    <row r="36" spans="2:8" ht="16" thickBot="1">
      <c r="B36" s="273" t="s">
        <v>309</v>
      </c>
      <c r="C36" s="274"/>
      <c r="D36" s="264">
        <f>SUM(D29:D35)</f>
        <v>2753798.8219677736</v>
      </c>
      <c r="E36" s="264">
        <f>SUM(E29:E35)</f>
        <v>20362793.385760613</v>
      </c>
      <c r="F36" s="264">
        <f>SUM(F29:F35)</f>
        <v>111697137.39871603</v>
      </c>
      <c r="G36" s="264">
        <f>SUM(G29:G35)</f>
        <v>208705362.42387864</v>
      </c>
    </row>
    <row r="37" spans="2:8">
      <c r="B37" s="263"/>
      <c r="D37" s="379"/>
      <c r="E37" s="379"/>
      <c r="F37" s="379"/>
      <c r="G37" s="379"/>
    </row>
    <row r="38" spans="2:8">
      <c r="B38" s="380" t="s">
        <v>265</v>
      </c>
      <c r="C38" s="381"/>
      <c r="D38" s="382">
        <f>+D26-D36</f>
        <v>-2164916.8219677736</v>
      </c>
      <c r="E38" s="382">
        <f>+E26-E36</f>
        <v>12184651.378768519</v>
      </c>
      <c r="F38" s="382">
        <f>+F26-F36</f>
        <v>83594151.032421052</v>
      </c>
      <c r="G38" s="382">
        <f>+G26-G36</f>
        <v>598771349.42989874</v>
      </c>
    </row>
    <row r="39" spans="2:8">
      <c r="D39" s="24"/>
    </row>
    <row r="40" spans="2:8">
      <c r="B40" t="s">
        <v>267</v>
      </c>
      <c r="D40" s="24">
        <f>+'Income Projection (MRV)'!F21+'Income Projection (MRV)'!J21</f>
        <v>260000</v>
      </c>
      <c r="E40" s="24">
        <v>0</v>
      </c>
      <c r="F40" s="24">
        <v>0</v>
      </c>
      <c r="G40" s="24">
        <v>0</v>
      </c>
    </row>
    <row r="41" spans="2:8" ht="18">
      <c r="B41" t="s">
        <v>266</v>
      </c>
      <c r="D41" s="315">
        <f>+'Income Projection (MRV)'!F22+'Income Projection (MRV)'!J22</f>
        <v>500000</v>
      </c>
      <c r="E41" s="315">
        <f>+'Income Projection (MRV)'!N22+'Income Projection (MRV)'!R22+'Income Projection (MRV)'!F52+'Income Projection (MRV)'!J52</f>
        <v>1200000</v>
      </c>
      <c r="F41" s="315">
        <f>+'Income Projection (MRV)'!N52+'Income Projection (MRV)'!R52+'Income Projection (MRV)'!F82+'Income Projection (MRV)'!J82</f>
        <v>1200000</v>
      </c>
      <c r="G41" s="315">
        <f>+F41</f>
        <v>1200000</v>
      </c>
    </row>
    <row r="42" spans="2:8">
      <c r="D42" s="24"/>
    </row>
    <row r="43" spans="2:8">
      <c r="B43" s="325" t="s">
        <v>268</v>
      </c>
      <c r="C43" s="325"/>
      <c r="D43" s="383">
        <f>+D38-D40-D41</f>
        <v>-2924916.8219677736</v>
      </c>
      <c r="E43" s="383">
        <f>+E38-E40-E41</f>
        <v>10984651.378768519</v>
      </c>
      <c r="F43" s="383">
        <f>+F38-F40-F41</f>
        <v>82394151.032421052</v>
      </c>
      <c r="G43" s="383">
        <f>+G38-G40-G41</f>
        <v>597571349.42989874</v>
      </c>
    </row>
    <row r="44" spans="2:8">
      <c r="D44" s="24"/>
    </row>
    <row r="45" spans="2:8" ht="18">
      <c r="B45" t="s">
        <v>269</v>
      </c>
      <c r="D45" s="315">
        <v>0</v>
      </c>
      <c r="E45" s="315">
        <f>+E43*0.35</f>
        <v>3844627.9825689811</v>
      </c>
      <c r="F45" s="315">
        <f>+F43*0.35</f>
        <v>28837952.861347366</v>
      </c>
      <c r="G45" s="315">
        <f>+G43*0.35</f>
        <v>209149972.30046454</v>
      </c>
    </row>
    <row r="46" spans="2:8">
      <c r="D46" s="24"/>
    </row>
    <row r="47" spans="2:8" ht="18">
      <c r="B47" s="325" t="s">
        <v>270</v>
      </c>
      <c r="C47" s="325"/>
      <c r="D47" s="384">
        <f>+D43-D45</f>
        <v>-2924916.8219677736</v>
      </c>
      <c r="E47" s="384">
        <f>+E43-E45</f>
        <v>7140023.3961995374</v>
      </c>
      <c r="F47" s="384">
        <f>+F43-F45</f>
        <v>53556198.17107369</v>
      </c>
      <c r="G47" s="384">
        <f>+G43-G45</f>
        <v>388421377.12943423</v>
      </c>
    </row>
    <row r="50" spans="2:7">
      <c r="B50" t="s">
        <v>299</v>
      </c>
    </row>
    <row r="51" spans="2:7">
      <c r="B51" t="s">
        <v>300</v>
      </c>
    </row>
    <row r="53" spans="2:7">
      <c r="B53" t="s">
        <v>301</v>
      </c>
    </row>
    <row r="55" spans="2:7">
      <c r="B55" t="s">
        <v>302</v>
      </c>
      <c r="D55" s="304"/>
      <c r="E55" s="383">
        <f>+E47*10</f>
        <v>71400233.961995378</v>
      </c>
      <c r="F55" s="383">
        <f>+F47*10</f>
        <v>535561981.71073687</v>
      </c>
      <c r="G55" s="383">
        <f>+G47*10</f>
        <v>3884213771.294342</v>
      </c>
    </row>
    <row r="56" spans="2:7">
      <c r="B56" t="s">
        <v>303</v>
      </c>
      <c r="D56" s="304"/>
      <c r="E56" s="383">
        <f>+E47*15</f>
        <v>107100350.94299306</v>
      </c>
      <c r="F56" s="383">
        <f>+F47*15</f>
        <v>803342972.56610537</v>
      </c>
      <c r="G56" s="383">
        <f>+G47*15</f>
        <v>5826320656.9415131</v>
      </c>
    </row>
    <row r="57" spans="2:7">
      <c r="B57" t="s">
        <v>304</v>
      </c>
      <c r="D57" s="304"/>
      <c r="E57" s="383">
        <f>+E47*20</f>
        <v>142800467.92399076</v>
      </c>
      <c r="F57" s="383">
        <f>+F47*20</f>
        <v>1071123963.4214737</v>
      </c>
      <c r="G57" s="383">
        <f>+G47*20</f>
        <v>7768427542.5886841</v>
      </c>
    </row>
  </sheetData>
  <pageMargins left="0.7" right="0.7" top="0.75" bottom="0.75" header="0.3" footer="0.3"/>
  <pageSetup scale="6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E5C9-0D4C-4642-9F5A-1EC2E7C318C3}">
  <dimension ref="A4:H91"/>
  <sheetViews>
    <sheetView topLeftCell="A28" workbookViewId="0">
      <selection activeCell="X67" sqref="X66:X67"/>
    </sheetView>
  </sheetViews>
  <sheetFormatPr baseColWidth="10" defaultColWidth="8.83203125" defaultRowHeight="15"/>
  <cols>
    <col min="2" max="2" width="36.5" customWidth="1"/>
    <col min="3" max="3" width="8.6640625" customWidth="1"/>
    <col min="4" max="4" width="14.5" customWidth="1"/>
    <col min="5" max="5" width="13.1640625" customWidth="1"/>
    <col min="6" max="6" width="14.6640625" customWidth="1"/>
    <col min="7" max="7" width="9.6640625" customWidth="1"/>
  </cols>
  <sheetData>
    <row r="4" spans="1:6">
      <c r="B4" s="73" t="s">
        <v>168</v>
      </c>
    </row>
    <row r="5" spans="1:6">
      <c r="C5" s="230"/>
      <c r="D5" s="317" t="s">
        <v>188</v>
      </c>
      <c r="E5" s="317" t="s">
        <v>169</v>
      </c>
      <c r="F5" s="317" t="s">
        <v>169</v>
      </c>
    </row>
    <row r="6" spans="1:6">
      <c r="C6" s="318"/>
      <c r="D6" s="311">
        <v>2023</v>
      </c>
      <c r="E6" s="311">
        <v>2024</v>
      </c>
      <c r="F6" s="311">
        <v>2025</v>
      </c>
    </row>
    <row r="7" spans="1:6">
      <c r="A7">
        <v>1</v>
      </c>
      <c r="B7" t="s">
        <v>173</v>
      </c>
      <c r="D7" s="312">
        <f>+E7/4*3</f>
        <v>90000</v>
      </c>
      <c r="E7" s="313">
        <v>120000</v>
      </c>
      <c r="F7" s="313">
        <f t="shared" ref="F7:F19" si="0">+E7*1.1</f>
        <v>132000</v>
      </c>
    </row>
    <row r="8" spans="1:6">
      <c r="A8">
        <f>+A7+1</f>
        <v>2</v>
      </c>
      <c r="B8" t="s">
        <v>174</v>
      </c>
      <c r="D8" s="312">
        <f t="shared" ref="D8:D10" si="1">+E8/4*3</f>
        <v>75000</v>
      </c>
      <c r="E8" s="313">
        <v>100000</v>
      </c>
      <c r="F8" s="313">
        <f t="shared" si="0"/>
        <v>110000.00000000001</v>
      </c>
    </row>
    <row r="9" spans="1:6">
      <c r="A9">
        <f t="shared" ref="A9:A21" si="2">+A8+1</f>
        <v>3</v>
      </c>
      <c r="B9" t="s">
        <v>175</v>
      </c>
      <c r="D9" s="312">
        <f t="shared" si="1"/>
        <v>75000</v>
      </c>
      <c r="E9" s="313">
        <v>100000</v>
      </c>
      <c r="F9" s="313">
        <f t="shared" si="0"/>
        <v>110000.00000000001</v>
      </c>
    </row>
    <row r="10" spans="1:6">
      <c r="A10">
        <f t="shared" si="2"/>
        <v>4</v>
      </c>
      <c r="B10" t="s">
        <v>176</v>
      </c>
      <c r="D10" s="312">
        <f t="shared" si="1"/>
        <v>75000</v>
      </c>
      <c r="E10" s="313">
        <v>100000</v>
      </c>
      <c r="F10" s="313">
        <f t="shared" si="0"/>
        <v>110000.00000000001</v>
      </c>
    </row>
    <row r="11" spans="1:6">
      <c r="A11">
        <f t="shared" si="2"/>
        <v>5</v>
      </c>
      <c r="B11" t="s">
        <v>183</v>
      </c>
      <c r="D11" s="312">
        <v>0</v>
      </c>
      <c r="E11" s="313">
        <v>75000</v>
      </c>
      <c r="F11" s="313">
        <f t="shared" si="0"/>
        <v>82500</v>
      </c>
    </row>
    <row r="12" spans="1:6">
      <c r="A12">
        <f t="shared" si="2"/>
        <v>6</v>
      </c>
      <c r="B12" t="s">
        <v>184</v>
      </c>
      <c r="D12" s="312">
        <v>0</v>
      </c>
      <c r="E12" s="313">
        <v>75000</v>
      </c>
      <c r="F12" s="313">
        <f t="shared" si="0"/>
        <v>82500</v>
      </c>
    </row>
    <row r="13" spans="1:6">
      <c r="A13">
        <f t="shared" si="2"/>
        <v>7</v>
      </c>
      <c r="B13" t="s">
        <v>185</v>
      </c>
      <c r="D13" s="312">
        <f>+E13/4*3</f>
        <v>27000</v>
      </c>
      <c r="E13" s="313">
        <v>36000</v>
      </c>
      <c r="F13" s="313">
        <f t="shared" si="0"/>
        <v>39600</v>
      </c>
    </row>
    <row r="14" spans="1:6">
      <c r="A14">
        <f t="shared" si="2"/>
        <v>8</v>
      </c>
      <c r="B14" t="s">
        <v>186</v>
      </c>
      <c r="D14" s="312">
        <v>0</v>
      </c>
      <c r="E14" s="313">
        <v>36000</v>
      </c>
      <c r="F14" s="313">
        <f t="shared" si="0"/>
        <v>39600</v>
      </c>
    </row>
    <row r="15" spans="1:6">
      <c r="A15">
        <f t="shared" ref="A15:A18" si="3">+A14+1</f>
        <v>9</v>
      </c>
      <c r="B15" t="s">
        <v>187</v>
      </c>
      <c r="D15" s="312">
        <f t="shared" ref="D15:D16" si="4">+E15/4*3</f>
        <v>30000</v>
      </c>
      <c r="E15" s="313">
        <v>40000</v>
      </c>
      <c r="F15" s="313">
        <f t="shared" si="0"/>
        <v>44000</v>
      </c>
    </row>
    <row r="16" spans="1:6">
      <c r="A16">
        <f t="shared" si="3"/>
        <v>10</v>
      </c>
      <c r="B16" t="s">
        <v>182</v>
      </c>
      <c r="D16" s="312">
        <f t="shared" si="4"/>
        <v>36000</v>
      </c>
      <c r="E16" s="313">
        <v>48000</v>
      </c>
      <c r="F16" s="313">
        <f t="shared" si="0"/>
        <v>52800.000000000007</v>
      </c>
    </row>
    <row r="17" spans="1:8">
      <c r="A17">
        <f t="shared" si="3"/>
        <v>11</v>
      </c>
      <c r="B17" t="s">
        <v>181</v>
      </c>
      <c r="D17" s="312">
        <v>0</v>
      </c>
      <c r="E17" s="313">
        <v>48000</v>
      </c>
      <c r="F17" s="313">
        <f t="shared" si="0"/>
        <v>52800.000000000007</v>
      </c>
    </row>
    <row r="18" spans="1:8">
      <c r="A18">
        <f t="shared" si="3"/>
        <v>12</v>
      </c>
      <c r="B18" t="s">
        <v>180</v>
      </c>
      <c r="D18" s="312">
        <f>+E18/4*3</f>
        <v>45000</v>
      </c>
      <c r="E18" s="313">
        <v>60000</v>
      </c>
      <c r="F18" s="313">
        <f t="shared" si="0"/>
        <v>66000</v>
      </c>
    </row>
    <row r="19" spans="1:8">
      <c r="A19">
        <f t="shared" si="2"/>
        <v>13</v>
      </c>
      <c r="B19" t="s">
        <v>179</v>
      </c>
      <c r="D19" s="312">
        <v>0</v>
      </c>
      <c r="E19" s="313">
        <v>60000</v>
      </c>
      <c r="F19" s="313">
        <f t="shared" si="0"/>
        <v>66000</v>
      </c>
    </row>
    <row r="20" spans="1:8">
      <c r="A20">
        <f t="shared" si="2"/>
        <v>14</v>
      </c>
      <c r="B20" t="s">
        <v>177</v>
      </c>
      <c r="D20" s="312">
        <v>0</v>
      </c>
      <c r="E20" s="313">
        <v>60000</v>
      </c>
      <c r="F20" s="313">
        <f>+E20*1.1</f>
        <v>66000</v>
      </c>
    </row>
    <row r="21" spans="1:8" ht="18">
      <c r="A21">
        <f t="shared" si="2"/>
        <v>15</v>
      </c>
      <c r="B21" t="s">
        <v>178</v>
      </c>
      <c r="D21" s="314">
        <f>+E21/4*3</f>
        <v>30000</v>
      </c>
      <c r="E21" s="315">
        <v>40000</v>
      </c>
      <c r="F21" s="315">
        <f>+E21*1.1</f>
        <v>44000</v>
      </c>
    </row>
    <row r="22" spans="1:8">
      <c r="B22" t="s">
        <v>170</v>
      </c>
      <c r="D22" s="24">
        <f>SUM(D7:D21)</f>
        <v>483000</v>
      </c>
      <c r="E22" s="24">
        <f>SUM(E7:E21)</f>
        <v>998000</v>
      </c>
      <c r="F22" s="24">
        <f>SUM(F7:F21)</f>
        <v>1097800</v>
      </c>
    </row>
    <row r="23" spans="1:8" ht="18">
      <c r="B23" t="s">
        <v>171</v>
      </c>
      <c r="C23" s="229">
        <v>0.2</v>
      </c>
      <c r="D23" s="315">
        <f>+D22*$C$23</f>
        <v>96600</v>
      </c>
      <c r="E23" s="315">
        <f t="shared" ref="E23:F23" si="5">+E22*$C$23</f>
        <v>199600</v>
      </c>
      <c r="F23" s="315">
        <f t="shared" si="5"/>
        <v>219560</v>
      </c>
    </row>
    <row r="24" spans="1:8">
      <c r="D24" s="24"/>
      <c r="E24" s="24"/>
      <c r="F24" s="24"/>
    </row>
    <row r="25" spans="1:8">
      <c r="B25" t="s">
        <v>172</v>
      </c>
      <c r="D25" s="24">
        <f>+D22+D23</f>
        <v>579600</v>
      </c>
      <c r="E25" s="24">
        <f t="shared" ref="E25:F25" si="6">+E22+E23</f>
        <v>1197600</v>
      </c>
      <c r="F25" s="24">
        <f t="shared" si="6"/>
        <v>1317360</v>
      </c>
    </row>
    <row r="26" spans="1:8">
      <c r="D26" s="24"/>
      <c r="E26" s="24"/>
      <c r="F26" s="24"/>
    </row>
    <row r="27" spans="1:8">
      <c r="A27" s="317" t="s">
        <v>92</v>
      </c>
      <c r="B27" t="s">
        <v>189</v>
      </c>
      <c r="D27" s="24"/>
      <c r="E27" s="24"/>
      <c r="F27" s="24"/>
    </row>
    <row r="31" spans="1:8">
      <c r="B31" s="73" t="s">
        <v>192</v>
      </c>
    </row>
    <row r="32" spans="1:8">
      <c r="D32" s="311">
        <v>2023</v>
      </c>
      <c r="E32" s="311">
        <v>2024</v>
      </c>
      <c r="F32" s="311">
        <v>2025</v>
      </c>
      <c r="H32" s="316" t="s">
        <v>247</v>
      </c>
    </row>
    <row r="33" spans="1:8">
      <c r="A33" s="323" t="s">
        <v>254</v>
      </c>
      <c r="D33" s="24"/>
      <c r="E33" s="24"/>
      <c r="F33" s="24"/>
    </row>
    <row r="34" spans="1:8">
      <c r="B34" s="320" t="s">
        <v>235</v>
      </c>
      <c r="D34" s="312">
        <f>'Moderate Revenue Model (MRV)'!$T$17*0.035</f>
        <v>518841.59875488287</v>
      </c>
      <c r="E34" s="24">
        <f>'Moderate Revenue Model (MRV)'!$T$28*0.035</f>
        <v>10248093.344687415</v>
      </c>
      <c r="F34" s="24">
        <f>'Moderate Revenue Model (MRV)'!$T$39*0.035</f>
        <v>94818790.813515052</v>
      </c>
      <c r="G34" s="319"/>
      <c r="H34" t="s">
        <v>246</v>
      </c>
    </row>
    <row r="35" spans="1:8">
      <c r="B35" s="320" t="s">
        <v>238</v>
      </c>
      <c r="D35" s="312">
        <v>0</v>
      </c>
      <c r="E35" s="24">
        <v>0</v>
      </c>
      <c r="F35" s="24">
        <v>0</v>
      </c>
      <c r="G35" s="319"/>
      <c r="H35" t="s">
        <v>244</v>
      </c>
    </row>
    <row r="36" spans="1:8">
      <c r="B36" s="320" t="s">
        <v>252</v>
      </c>
      <c r="D36" s="312">
        <f>'Moderate Revenue Model (MRV)'!$T$17*0.02</f>
        <v>296480.91357421875</v>
      </c>
      <c r="E36" s="24">
        <f>'Moderate Revenue Model (MRV)'!$T$28*0.02</f>
        <v>5856053.3398213796</v>
      </c>
      <c r="F36" s="24">
        <f>'Moderate Revenue Model (MRV)'!$T$39*0.02</f>
        <v>54182166.179151453</v>
      </c>
      <c r="G36" s="319"/>
      <c r="H36" t="s">
        <v>251</v>
      </c>
    </row>
    <row r="37" spans="1:8">
      <c r="B37" s="320" t="s">
        <v>243</v>
      </c>
      <c r="D37" s="312">
        <f>'Moderate Revenue Model (MRV)'!$T$17*0.015</f>
        <v>222360.68518066406</v>
      </c>
      <c r="E37" s="24">
        <f>'Moderate Revenue Model (MRV)'!$T$28*0.015</f>
        <v>4392040.0048660338</v>
      </c>
      <c r="F37" s="24">
        <f>'Moderate Revenue Model (MRV)'!$T$39*0.015</f>
        <v>40636624.634363584</v>
      </c>
      <c r="G37" s="319"/>
      <c r="H37" t="s">
        <v>245</v>
      </c>
    </row>
    <row r="38" spans="1:8">
      <c r="B38" s="320"/>
      <c r="D38" s="312"/>
      <c r="E38" s="24"/>
      <c r="F38" s="24"/>
      <c r="G38" s="319"/>
    </row>
    <row r="39" spans="1:8">
      <c r="A39" s="73" t="s">
        <v>239</v>
      </c>
      <c r="B39" s="320"/>
      <c r="D39" s="312"/>
      <c r="E39" s="24"/>
      <c r="F39" s="24"/>
      <c r="G39" s="319"/>
    </row>
    <row r="40" spans="1:8">
      <c r="B40" s="320" t="s">
        <v>208</v>
      </c>
      <c r="D40" s="312">
        <f>500*6+5000*6</f>
        <v>33000</v>
      </c>
      <c r="E40" s="24">
        <f>5000*12</f>
        <v>60000</v>
      </c>
      <c r="F40" s="24">
        <f>+E40*1.1</f>
        <v>66000</v>
      </c>
      <c r="G40" s="319"/>
      <c r="H40" t="s">
        <v>194</v>
      </c>
    </row>
    <row r="41" spans="1:8">
      <c r="B41" s="320" t="s">
        <v>214</v>
      </c>
      <c r="D41" s="312">
        <f>+E41/2</f>
        <v>3900</v>
      </c>
      <c r="E41" s="24">
        <f>650*12</f>
        <v>7800</v>
      </c>
      <c r="F41" s="24">
        <f t="shared" ref="F41:F48" si="7">+E41*1.1</f>
        <v>8580</v>
      </c>
      <c r="G41" s="319"/>
      <c r="H41" t="s">
        <v>216</v>
      </c>
    </row>
    <row r="42" spans="1:8">
      <c r="B42" s="320" t="s">
        <v>211</v>
      </c>
      <c r="D42" s="312">
        <f t="shared" ref="D42:D48" si="8">+E42/2</f>
        <v>2400</v>
      </c>
      <c r="E42" s="24">
        <f>400*12</f>
        <v>4800</v>
      </c>
      <c r="F42" s="24">
        <f t="shared" si="7"/>
        <v>5280</v>
      </c>
      <c r="G42" s="319"/>
      <c r="H42" t="s">
        <v>193</v>
      </c>
    </row>
    <row r="43" spans="1:8">
      <c r="B43" s="320" t="s">
        <v>233</v>
      </c>
      <c r="D43" s="312">
        <f t="shared" si="8"/>
        <v>600</v>
      </c>
      <c r="E43" s="24">
        <f>100*12</f>
        <v>1200</v>
      </c>
      <c r="F43" s="24">
        <f t="shared" si="7"/>
        <v>1320</v>
      </c>
      <c r="G43" s="319"/>
      <c r="H43" t="s">
        <v>229</v>
      </c>
    </row>
    <row r="44" spans="1:8">
      <c r="B44" s="320" t="s">
        <v>204</v>
      </c>
      <c r="D44" s="312">
        <f t="shared" si="8"/>
        <v>450</v>
      </c>
      <c r="E44" s="24">
        <f>75*12</f>
        <v>900</v>
      </c>
      <c r="F44" s="24">
        <f t="shared" si="7"/>
        <v>990.00000000000011</v>
      </c>
      <c r="G44" s="319"/>
      <c r="H44" t="s">
        <v>205</v>
      </c>
    </row>
    <row r="45" spans="1:8">
      <c r="B45" s="320" t="s">
        <v>203</v>
      </c>
      <c r="D45" s="312">
        <f t="shared" si="8"/>
        <v>3000</v>
      </c>
      <c r="E45" s="24">
        <v>6000</v>
      </c>
      <c r="F45" s="24">
        <f t="shared" si="7"/>
        <v>6600.0000000000009</v>
      </c>
      <c r="G45" s="319"/>
      <c r="H45" t="s">
        <v>196</v>
      </c>
    </row>
    <row r="46" spans="1:8">
      <c r="B46" s="320" t="s">
        <v>197</v>
      </c>
      <c r="D46" s="312">
        <f t="shared" si="8"/>
        <v>3000</v>
      </c>
      <c r="E46" s="24">
        <f>500*12</f>
        <v>6000</v>
      </c>
      <c r="F46" s="24">
        <f t="shared" si="7"/>
        <v>6600.0000000000009</v>
      </c>
      <c r="G46" s="319"/>
      <c r="H46" t="s">
        <v>196</v>
      </c>
    </row>
    <row r="47" spans="1:8">
      <c r="B47" s="320" t="s">
        <v>201</v>
      </c>
      <c r="D47" s="312">
        <f t="shared" si="8"/>
        <v>1800</v>
      </c>
      <c r="E47" s="24">
        <f>300*12</f>
        <v>3600</v>
      </c>
      <c r="F47" s="24">
        <f t="shared" si="7"/>
        <v>3960.0000000000005</v>
      </c>
      <c r="G47" s="319"/>
      <c r="H47" t="s">
        <v>202</v>
      </c>
    </row>
    <row r="48" spans="1:8">
      <c r="B48" s="320" t="s">
        <v>219</v>
      </c>
      <c r="D48" s="312">
        <f t="shared" si="8"/>
        <v>3000</v>
      </c>
      <c r="E48" s="24">
        <f>500*12</f>
        <v>6000</v>
      </c>
      <c r="F48" s="24">
        <f t="shared" si="7"/>
        <v>6600.0000000000009</v>
      </c>
      <c r="H48" t="s">
        <v>220</v>
      </c>
    </row>
    <row r="49" spans="2:8">
      <c r="B49" s="320" t="s">
        <v>227</v>
      </c>
      <c r="D49" s="24">
        <f>9000*9</f>
        <v>81000</v>
      </c>
      <c r="E49" s="24">
        <f>D49*2</f>
        <v>162000</v>
      </c>
      <c r="F49" s="24">
        <f>E49*2</f>
        <v>324000</v>
      </c>
      <c r="H49" t="s">
        <v>230</v>
      </c>
    </row>
    <row r="50" spans="2:8">
      <c r="B50" s="320" t="s">
        <v>236</v>
      </c>
      <c r="D50" s="312">
        <f t="shared" ref="D50:D52" si="9">+E50/2</f>
        <v>1500</v>
      </c>
      <c r="E50" s="24">
        <f>250*12</f>
        <v>3000</v>
      </c>
      <c r="F50" s="24">
        <f t="shared" ref="F50:F52" si="10">+E50*1.1</f>
        <v>3300.0000000000005</v>
      </c>
      <c r="H50" t="s">
        <v>237</v>
      </c>
    </row>
    <row r="51" spans="2:8">
      <c r="B51" s="320" t="s">
        <v>240</v>
      </c>
      <c r="D51" s="312">
        <f t="shared" si="9"/>
        <v>900</v>
      </c>
      <c r="E51" s="24">
        <f>150*12</f>
        <v>1800</v>
      </c>
      <c r="F51" s="24">
        <f t="shared" si="10"/>
        <v>1980.0000000000002</v>
      </c>
      <c r="H51" t="s">
        <v>241</v>
      </c>
    </row>
    <row r="52" spans="2:8">
      <c r="B52" s="320" t="s">
        <v>209</v>
      </c>
      <c r="D52" s="312">
        <f t="shared" si="9"/>
        <v>3000</v>
      </c>
      <c r="E52" s="24">
        <v>6000</v>
      </c>
      <c r="F52" s="24">
        <f t="shared" si="10"/>
        <v>6600.0000000000009</v>
      </c>
      <c r="G52" s="319"/>
      <c r="H52" t="s">
        <v>210</v>
      </c>
    </row>
    <row r="54" spans="2:8">
      <c r="B54" s="320" t="s">
        <v>198</v>
      </c>
      <c r="D54" s="312">
        <f t="shared" ref="D54:D60" si="11">+E54/2</f>
        <v>20000</v>
      </c>
      <c r="E54" s="24">
        <v>40000</v>
      </c>
      <c r="F54" s="24">
        <f t="shared" ref="F54:F60" si="12">+E54*1.1</f>
        <v>44000</v>
      </c>
      <c r="G54" s="319"/>
      <c r="H54" t="s">
        <v>195</v>
      </c>
    </row>
    <row r="55" spans="2:8">
      <c r="B55" s="320" t="s">
        <v>199</v>
      </c>
      <c r="D55" s="312">
        <f t="shared" si="11"/>
        <v>30000</v>
      </c>
      <c r="E55" s="24">
        <v>60000</v>
      </c>
      <c r="F55" s="24">
        <f t="shared" si="12"/>
        <v>66000</v>
      </c>
      <c r="G55" s="319"/>
      <c r="H55" t="s">
        <v>200</v>
      </c>
    </row>
    <row r="56" spans="2:8">
      <c r="B56" s="320" t="s">
        <v>221</v>
      </c>
      <c r="D56" s="312">
        <f t="shared" si="11"/>
        <v>7000</v>
      </c>
      <c r="E56" s="24">
        <f>750*12+5000</f>
        <v>14000</v>
      </c>
      <c r="F56" s="24">
        <f t="shared" si="12"/>
        <v>15400.000000000002</v>
      </c>
      <c r="G56" s="319"/>
      <c r="H56" t="s">
        <v>222</v>
      </c>
    </row>
    <row r="57" spans="2:8">
      <c r="B57" s="320" t="s">
        <v>223</v>
      </c>
      <c r="D57" s="312">
        <f t="shared" si="11"/>
        <v>2500</v>
      </c>
      <c r="E57" s="24">
        <v>5000</v>
      </c>
      <c r="F57" s="24">
        <f t="shared" si="12"/>
        <v>5500</v>
      </c>
      <c r="G57" s="319"/>
      <c r="H57" t="s">
        <v>224</v>
      </c>
    </row>
    <row r="58" spans="2:8">
      <c r="B58" s="320" t="s">
        <v>231</v>
      </c>
      <c r="D58" s="312">
        <f t="shared" si="11"/>
        <v>2500</v>
      </c>
      <c r="E58" s="24">
        <v>5000</v>
      </c>
      <c r="F58" s="24">
        <f t="shared" si="12"/>
        <v>5500</v>
      </c>
      <c r="G58" s="319"/>
      <c r="H58" t="s">
        <v>232</v>
      </c>
    </row>
    <row r="59" spans="2:8">
      <c r="B59" s="320" t="s">
        <v>234</v>
      </c>
      <c r="D59" s="312">
        <f t="shared" si="11"/>
        <v>12000</v>
      </c>
      <c r="E59" s="24">
        <v>24000</v>
      </c>
      <c r="F59" s="24">
        <f t="shared" si="12"/>
        <v>26400.000000000004</v>
      </c>
      <c r="G59" s="319"/>
      <c r="H59" t="s">
        <v>228</v>
      </c>
    </row>
    <row r="60" spans="2:8">
      <c r="B60" s="320" t="s">
        <v>215</v>
      </c>
      <c r="D60" s="312">
        <f t="shared" si="11"/>
        <v>1250</v>
      </c>
      <c r="E60" s="24">
        <v>2500</v>
      </c>
      <c r="F60" s="24">
        <f t="shared" si="12"/>
        <v>2750</v>
      </c>
      <c r="G60" s="319"/>
      <c r="H60" t="s">
        <v>217</v>
      </c>
    </row>
    <row r="61" spans="2:8">
      <c r="B61" s="320"/>
      <c r="D61" s="312"/>
      <c r="E61" s="24"/>
      <c r="F61" s="24"/>
      <c r="G61" s="319"/>
    </row>
    <row r="62" spans="2:8">
      <c r="B62" s="320" t="s">
        <v>225</v>
      </c>
      <c r="D62" s="24">
        <f>+D25</f>
        <v>579600</v>
      </c>
      <c r="E62" s="24">
        <f>+E25</f>
        <v>1197600</v>
      </c>
      <c r="F62" s="24">
        <f>+F25</f>
        <v>1317360</v>
      </c>
      <c r="G62" s="319"/>
      <c r="H62" t="s">
        <v>226</v>
      </c>
    </row>
    <row r="63" spans="2:8">
      <c r="B63" s="320" t="s">
        <v>206</v>
      </c>
      <c r="D63" s="312">
        <f t="shared" ref="D63:D64" si="13">+E63/2</f>
        <v>6000</v>
      </c>
      <c r="E63" s="24">
        <v>12000</v>
      </c>
      <c r="F63" s="24">
        <f t="shared" ref="F63:F64" si="14">+E63*1.1</f>
        <v>13200.000000000002</v>
      </c>
      <c r="G63" s="319"/>
      <c r="H63" t="s">
        <v>207</v>
      </c>
    </row>
    <row r="64" spans="2:8">
      <c r="B64" s="320" t="s">
        <v>212</v>
      </c>
      <c r="D64" s="312">
        <f t="shared" si="13"/>
        <v>12000</v>
      </c>
      <c r="E64" s="24">
        <v>24000</v>
      </c>
      <c r="F64" s="24">
        <f t="shared" si="14"/>
        <v>26400.000000000004</v>
      </c>
      <c r="G64" s="319"/>
      <c r="H64" t="s">
        <v>213</v>
      </c>
    </row>
    <row r="66" spans="2:8">
      <c r="B66" s="320" t="s">
        <v>253</v>
      </c>
      <c r="D66" s="312">
        <f>'Moderate Revenue Model (MRV)'!$T$17*0.05</f>
        <v>741202.28393554688</v>
      </c>
      <c r="E66" s="24">
        <f>'Moderate Revenue Model (MRV)'!$T$28*0.05</f>
        <v>14640133.349553449</v>
      </c>
      <c r="F66" s="24">
        <f>'Moderate Revenue Model (MRV)'!$T$39*0.05</f>
        <v>135455415.44787863</v>
      </c>
      <c r="G66" s="319"/>
      <c r="H66" t="s">
        <v>277</v>
      </c>
    </row>
    <row r="67" spans="2:8">
      <c r="B67" s="320" t="s">
        <v>242</v>
      </c>
      <c r="D67" s="312">
        <f t="shared" ref="D67" si="15">+E67/2</f>
        <v>6000</v>
      </c>
      <c r="E67" s="24">
        <v>12000</v>
      </c>
      <c r="F67" s="24">
        <f t="shared" ref="F67" si="16">+E67*1.1</f>
        <v>13200.000000000002</v>
      </c>
      <c r="G67" s="319"/>
      <c r="H67" t="s">
        <v>207</v>
      </c>
    </row>
    <row r="68" spans="2:8">
      <c r="B68" s="320"/>
      <c r="D68" s="312"/>
      <c r="E68" s="24"/>
      <c r="F68" s="24"/>
      <c r="G68" s="319"/>
    </row>
    <row r="69" spans="2:8">
      <c r="B69" s="320" t="s">
        <v>248</v>
      </c>
      <c r="D69" s="24">
        <v>100000</v>
      </c>
      <c r="E69" s="24">
        <v>100000</v>
      </c>
      <c r="F69" s="24">
        <v>100000</v>
      </c>
      <c r="G69" s="319"/>
    </row>
    <row r="70" spans="2:8">
      <c r="B70" s="320" t="s">
        <v>249</v>
      </c>
      <c r="D70" s="24">
        <v>95000</v>
      </c>
      <c r="E70" s="24">
        <v>95000</v>
      </c>
      <c r="F70" s="24">
        <v>95000</v>
      </c>
      <c r="G70" s="319"/>
    </row>
    <row r="71" spans="2:8">
      <c r="B71" s="320" t="s">
        <v>250</v>
      </c>
      <c r="D71" s="24">
        <v>84000</v>
      </c>
      <c r="E71" s="24">
        <v>84000</v>
      </c>
      <c r="F71" s="24">
        <v>84000</v>
      </c>
      <c r="G71" s="319"/>
    </row>
    <row r="72" spans="2:8">
      <c r="B72" s="320" t="s">
        <v>255</v>
      </c>
      <c r="C72" t="s">
        <v>190</v>
      </c>
      <c r="D72" s="24">
        <v>100000</v>
      </c>
      <c r="E72" s="24">
        <v>100000</v>
      </c>
      <c r="F72" s="24">
        <v>100000</v>
      </c>
      <c r="G72" s="319"/>
    </row>
    <row r="74" spans="2:8" ht="18">
      <c r="B74" s="320" t="s">
        <v>218</v>
      </c>
      <c r="D74" s="315">
        <v>12000</v>
      </c>
      <c r="E74" s="315">
        <v>12000</v>
      </c>
      <c r="F74" s="315">
        <v>12000</v>
      </c>
      <c r="G74" s="319"/>
      <c r="H74" t="s">
        <v>207</v>
      </c>
    </row>
    <row r="76" spans="2:8" ht="18">
      <c r="B76" s="321" t="s">
        <v>191</v>
      </c>
      <c r="D76" s="322">
        <f>SUM(D33:D74)</f>
        <v>2986285.4814453125</v>
      </c>
      <c r="E76" s="322">
        <f>SUM(E33:E74)</f>
        <v>37192520.038928278</v>
      </c>
      <c r="F76" s="322">
        <f>SUM(F33:F74)</f>
        <v>327461517.07490873</v>
      </c>
      <c r="G76" s="319"/>
    </row>
    <row r="77" spans="2:8">
      <c r="B77" s="320"/>
      <c r="D77" s="312"/>
      <c r="E77" s="24"/>
      <c r="F77" s="24"/>
      <c r="G77" s="319"/>
    </row>
    <row r="78" spans="2:8">
      <c r="B78" s="320"/>
      <c r="D78" s="312"/>
      <c r="E78" s="24"/>
      <c r="F78" s="24"/>
      <c r="G78" s="319"/>
    </row>
    <row r="79" spans="2:8">
      <c r="B79" s="320"/>
      <c r="D79" s="312"/>
      <c r="E79" s="24"/>
      <c r="F79" s="24"/>
      <c r="G79" s="319"/>
    </row>
    <row r="82" spans="2:7">
      <c r="B82" s="320"/>
      <c r="D82" s="312"/>
      <c r="E82" s="24"/>
      <c r="F82" s="24"/>
      <c r="G82" s="319"/>
    </row>
    <row r="83" spans="2:7">
      <c r="B83" s="320"/>
      <c r="D83" s="312"/>
      <c r="E83" s="24"/>
      <c r="F83" s="24"/>
      <c r="G83" s="319"/>
    </row>
    <row r="84" spans="2:7">
      <c r="B84" s="320"/>
      <c r="D84" s="312"/>
      <c r="E84" s="24"/>
      <c r="F84" s="24"/>
      <c r="G84" s="319"/>
    </row>
    <row r="85" spans="2:7">
      <c r="B85" s="320"/>
      <c r="D85" s="312"/>
      <c r="E85" s="24"/>
      <c r="F85" s="24"/>
      <c r="G85" s="319"/>
    </row>
    <row r="90" spans="2:7">
      <c r="D90" s="24"/>
      <c r="E90" s="24"/>
      <c r="F90" s="24"/>
    </row>
    <row r="91" spans="2:7">
      <c r="D91" s="24"/>
      <c r="E91" s="24"/>
      <c r="F91" s="24"/>
    </row>
  </sheetData>
  <pageMargins left="0.7" right="0.7" top="0.75" bottom="0.75" header="0.3" footer="0.3"/>
  <ignoredErrors>
    <ignoredError sqref="E4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D7A15-E69E-7641-AA68-4AB9BBBB6470}">
  <dimension ref="A1"/>
  <sheetViews>
    <sheetView workbookViewId="0">
      <selection activeCell="P29" sqref="P29"/>
    </sheetView>
  </sheetViews>
  <sheetFormatPr baseColWidth="10"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F1EA2-1F6D-4798-8243-AE73D7BF4F40}">
  <dimension ref="A1:T96"/>
  <sheetViews>
    <sheetView topLeftCell="A38" workbookViewId="0">
      <selection activeCell="D39" sqref="D39"/>
    </sheetView>
  </sheetViews>
  <sheetFormatPr baseColWidth="10" defaultColWidth="8.83203125" defaultRowHeight="15"/>
  <cols>
    <col min="1" max="1" width="36.83203125" customWidth="1"/>
    <col min="2" max="2" width="7.6640625" customWidth="1"/>
    <col min="3" max="4" width="14.6640625" customWidth="1"/>
    <col min="5" max="5" width="16.6640625" customWidth="1"/>
    <col min="6" max="6" width="17.33203125" customWidth="1"/>
    <col min="7" max="18" width="14.6640625" customWidth="1"/>
    <col min="19" max="19" width="8.5" customWidth="1"/>
    <col min="20" max="20" width="22.33203125" customWidth="1"/>
  </cols>
  <sheetData>
    <row r="1" spans="1:20" ht="26">
      <c r="A1" s="151" t="s">
        <v>256</v>
      </c>
    </row>
    <row r="2" spans="1:20" ht="21">
      <c r="A2" s="289" t="s">
        <v>257</v>
      </c>
    </row>
    <row r="4" spans="1:20" ht="16" thickBot="1"/>
    <row r="5" spans="1:20" ht="20" thickBot="1">
      <c r="A5" s="284" t="s">
        <v>115</v>
      </c>
      <c r="B5" s="262"/>
      <c r="C5" s="239">
        <v>44743</v>
      </c>
      <c r="D5" s="240">
        <v>44774</v>
      </c>
      <c r="E5" s="239">
        <v>44805</v>
      </c>
      <c r="F5" s="241" t="s">
        <v>111</v>
      </c>
      <c r="G5" s="239">
        <v>44856</v>
      </c>
      <c r="H5" s="239">
        <v>44887</v>
      </c>
      <c r="I5" s="239">
        <v>44917</v>
      </c>
      <c r="J5" s="241" t="s">
        <v>112</v>
      </c>
      <c r="K5" s="239">
        <v>44949</v>
      </c>
      <c r="L5" s="239">
        <v>44980</v>
      </c>
      <c r="M5" s="239">
        <v>45008</v>
      </c>
      <c r="N5" s="241" t="s">
        <v>113</v>
      </c>
      <c r="O5" s="239">
        <v>45039</v>
      </c>
      <c r="P5" s="239">
        <v>45069</v>
      </c>
      <c r="Q5" s="239">
        <v>45100</v>
      </c>
      <c r="R5" s="241" t="s">
        <v>114</v>
      </c>
      <c r="S5" s="386" t="s">
        <v>123</v>
      </c>
      <c r="T5" s="387"/>
    </row>
    <row r="6" spans="1:20" ht="20" thickBot="1">
      <c r="A6" s="266" t="s">
        <v>139</v>
      </c>
      <c r="B6" s="160"/>
      <c r="C6" s="267">
        <f>+'Moderate Revenue Model (MRV)'!C17</f>
        <v>0</v>
      </c>
      <c r="D6" s="267">
        <f>+'Moderate Revenue Model (MRV)'!D17</f>
        <v>0</v>
      </c>
      <c r="E6" s="267">
        <f>+'Moderate Revenue Model (MRV)'!E17</f>
        <v>0</v>
      </c>
      <c r="F6" s="268">
        <f>SUM(C6:E6)</f>
        <v>0</v>
      </c>
      <c r="G6" s="267">
        <f>+'Moderate Revenue Model (MRV)'!G17</f>
        <v>0</v>
      </c>
      <c r="H6" s="267">
        <f>+'Moderate Revenue Model (MRV)'!H17</f>
        <v>0</v>
      </c>
      <c r="I6" s="267">
        <f>+'Moderate Revenue Model (MRV)'!I17</f>
        <v>11700</v>
      </c>
      <c r="J6" s="268">
        <f>SUM(G6:I6)</f>
        <v>11700</v>
      </c>
      <c r="K6" s="267">
        <f>+'Moderate Revenue Model (MRV)'!K17</f>
        <v>400725</v>
      </c>
      <c r="L6" s="267">
        <f>+'Moderate Revenue Model (MRV)'!L17</f>
        <v>701268.75</v>
      </c>
      <c r="M6" s="267">
        <f>+'Moderate Revenue Model (MRV)'!M17</f>
        <v>1227220.3125</v>
      </c>
      <c r="N6" s="269">
        <f>SUM(K6:M6)</f>
        <v>2329214.0625</v>
      </c>
      <c r="O6" s="267">
        <f>+'Moderate Revenue Model (MRV)'!O17</f>
        <v>2147635.546875</v>
      </c>
      <c r="P6" s="267">
        <f>+'Moderate Revenue Model (MRV)'!P17</f>
        <v>3758362.20703125</v>
      </c>
      <c r="Q6" s="267">
        <f>+'Moderate Revenue Model (MRV)'!Q17</f>
        <v>6577133.8623046875</v>
      </c>
      <c r="R6" s="269">
        <f>SUM(O6:Q6)</f>
        <v>12483131.616210938</v>
      </c>
      <c r="S6" s="333"/>
      <c r="T6" s="271">
        <f>SUM(R6+N6+J6+F6)</f>
        <v>14824045.678710938</v>
      </c>
    </row>
    <row r="7" spans="1:20" ht="19">
      <c r="A7" s="272" t="s">
        <v>110</v>
      </c>
      <c r="B7" s="2"/>
      <c r="C7" s="267">
        <f>+'Moderate Revenue Model (MRV)'!C18</f>
        <v>0</v>
      </c>
      <c r="D7" s="267">
        <f>+'Moderate Revenue Model (MRV)'!D18</f>
        <v>0</v>
      </c>
      <c r="E7" s="267">
        <f>+'Moderate Revenue Model (MRV)'!E18</f>
        <v>0</v>
      </c>
      <c r="F7" s="254">
        <f>SUM(C7:E7)</f>
        <v>0</v>
      </c>
      <c r="G7" s="267">
        <f>+'Moderate Revenue Model (MRV)'!G18</f>
        <v>0</v>
      </c>
      <c r="H7" s="267">
        <f>+'Moderate Revenue Model (MRV)'!H18</f>
        <v>0</v>
      </c>
      <c r="I7" s="267">
        <f>+'Moderate Revenue Model (MRV)'!I18</f>
        <v>9945</v>
      </c>
      <c r="J7" s="254">
        <f>SUM(G7:I7)</f>
        <v>9945</v>
      </c>
      <c r="K7" s="267">
        <f>+'Moderate Revenue Model (MRV)'!K18</f>
        <v>340616.25</v>
      </c>
      <c r="L7" s="267">
        <f>+'Moderate Revenue Model (MRV)'!L18</f>
        <v>596078.4375</v>
      </c>
      <c r="M7" s="267">
        <f>+'Moderate Revenue Model (MRV)'!M18</f>
        <v>1043137.265625</v>
      </c>
      <c r="N7" s="242">
        <f>SUM(K7:M7)</f>
        <v>1979831.953125</v>
      </c>
      <c r="O7" s="267">
        <f>+'Moderate Revenue Model (MRV)'!O18</f>
        <v>1825490.21484375</v>
      </c>
      <c r="P7" s="267">
        <f>+'Moderate Revenue Model (MRV)'!P18</f>
        <v>3194607.8759765625</v>
      </c>
      <c r="Q7" s="267">
        <f>+'Moderate Revenue Model (MRV)'!Q18</f>
        <v>5590563.7829589844</v>
      </c>
      <c r="R7" s="242">
        <f>SUM(O7:Q7)</f>
        <v>10610661.873779297</v>
      </c>
      <c r="S7" s="334"/>
      <c r="T7" s="244">
        <f>SUM(R7+N7+J7+F7)</f>
        <v>12600438.826904297</v>
      </c>
    </row>
    <row r="8" spans="1:20" ht="20" thickBot="1">
      <c r="A8" s="273" t="s">
        <v>140</v>
      </c>
      <c r="B8" s="274"/>
      <c r="C8" s="264">
        <v>0</v>
      </c>
      <c r="D8" s="264">
        <f>+D6-D7</f>
        <v>0</v>
      </c>
      <c r="E8" s="264">
        <f>+E6-E7</f>
        <v>0</v>
      </c>
      <c r="F8" s="305">
        <f>+F6-F7</f>
        <v>0</v>
      </c>
      <c r="G8" s="264">
        <f t="shared" ref="G8:I8" si="0">+G6-G7</f>
        <v>0</v>
      </c>
      <c r="H8" s="264">
        <f t="shared" si="0"/>
        <v>0</v>
      </c>
      <c r="I8" s="264">
        <f t="shared" si="0"/>
        <v>1755</v>
      </c>
      <c r="J8" s="305">
        <f>+J6-J7</f>
        <v>1755</v>
      </c>
      <c r="K8" s="264">
        <f t="shared" ref="K8" si="1">+K6-K7</f>
        <v>60108.75</v>
      </c>
      <c r="L8" s="264">
        <f t="shared" ref="L8" si="2">+L6-L7</f>
        <v>105190.3125</v>
      </c>
      <c r="M8" s="264">
        <f t="shared" ref="M8" si="3">+M6-M7</f>
        <v>184083.046875</v>
      </c>
      <c r="N8" s="306">
        <f>+N6-N7</f>
        <v>349382.109375</v>
      </c>
      <c r="O8" s="264">
        <f t="shared" ref="O8" si="4">+O6-O7</f>
        <v>322145.33203125</v>
      </c>
      <c r="P8" s="264">
        <f t="shared" ref="P8" si="5">+P6-P7</f>
        <v>563754.3310546875</v>
      </c>
      <c r="Q8" s="264">
        <f t="shared" ref="Q8" si="6">+Q6-Q7</f>
        <v>986570.07934570312</v>
      </c>
      <c r="R8" s="306">
        <f>SUM(O8:Q8)</f>
        <v>1872469.7424316406</v>
      </c>
      <c r="S8" s="335"/>
      <c r="T8" s="307">
        <f>SUM(R8+N8+J8+F8)</f>
        <v>2223606.8518066406</v>
      </c>
    </row>
    <row r="10" spans="1:20" ht="19">
      <c r="A10" t="s">
        <v>258</v>
      </c>
      <c r="C10" s="24">
        <f t="shared" ref="C10:E16" si="7">+$R10/3</f>
        <v>86473.599792480469</v>
      </c>
      <c r="D10" s="24">
        <f t="shared" si="7"/>
        <v>86473.599792480469</v>
      </c>
      <c r="E10" s="24">
        <f>+$R10/3</f>
        <v>86473.599792480469</v>
      </c>
      <c r="F10" s="329">
        <f>+$T10/4</f>
        <v>259420.79937744141</v>
      </c>
      <c r="G10" s="24">
        <f t="shared" ref="G10:I16" si="8">+$R10/3</f>
        <v>86473.599792480469</v>
      </c>
      <c r="H10" s="24">
        <f t="shared" si="8"/>
        <v>86473.599792480469</v>
      </c>
      <c r="I10" s="24">
        <f>+$R10/3</f>
        <v>86473.599792480469</v>
      </c>
      <c r="J10" s="329">
        <f>+$T10/4</f>
        <v>259420.79937744141</v>
      </c>
      <c r="K10" s="24">
        <f t="shared" ref="K10:M16" si="9">+$R10/3</f>
        <v>86473.599792480469</v>
      </c>
      <c r="L10" s="24">
        <f t="shared" si="9"/>
        <v>86473.599792480469</v>
      </c>
      <c r="M10" s="24">
        <f>+$R10/3</f>
        <v>86473.599792480469</v>
      </c>
      <c r="N10" s="329">
        <f>+$T10/4</f>
        <v>259420.79937744141</v>
      </c>
      <c r="O10" s="24">
        <f t="shared" ref="O10:Q16" si="10">+$R10/3</f>
        <v>86473.599792480469</v>
      </c>
      <c r="P10" s="24">
        <f t="shared" si="10"/>
        <v>86473.599792480469</v>
      </c>
      <c r="Q10" s="24">
        <f>+$R10/3</f>
        <v>86473.599792480469</v>
      </c>
      <c r="R10" s="329">
        <f>+$T10/4</f>
        <v>259420.79937744141</v>
      </c>
      <c r="T10" s="331">
        <f>SUM('All Other Expenses Detail'!D34:D37)</f>
        <v>1037683.1975097656</v>
      </c>
    </row>
    <row r="11" spans="1:20" ht="19">
      <c r="A11" t="s">
        <v>259</v>
      </c>
      <c r="C11" s="24">
        <f t="shared" ref="C11:D11" si="11">+$F11/3</f>
        <v>6258.333333333333</v>
      </c>
      <c r="D11" s="24">
        <f t="shared" si="11"/>
        <v>6258.333333333333</v>
      </c>
      <c r="E11" s="24">
        <f>+$F11/3</f>
        <v>6258.333333333333</v>
      </c>
      <c r="F11" s="329">
        <v>18775</v>
      </c>
      <c r="G11" s="24">
        <f t="shared" ref="G11:H11" si="12">+$J11/3</f>
        <v>6258.333333333333</v>
      </c>
      <c r="H11" s="24">
        <f t="shared" si="12"/>
        <v>6258.333333333333</v>
      </c>
      <c r="I11" s="24">
        <f>+$J11/3</f>
        <v>6258.333333333333</v>
      </c>
      <c r="J11" s="329">
        <f>37550/2</f>
        <v>18775</v>
      </c>
      <c r="K11" s="24">
        <f t="shared" si="9"/>
        <v>16666.666666666668</v>
      </c>
      <c r="L11" s="24">
        <f t="shared" si="9"/>
        <v>16666.666666666668</v>
      </c>
      <c r="M11" s="24">
        <f>+$R11/3</f>
        <v>16666.666666666668</v>
      </c>
      <c r="N11" s="329">
        <v>50000</v>
      </c>
      <c r="O11" s="24">
        <f t="shared" si="10"/>
        <v>16666.666666666668</v>
      </c>
      <c r="P11" s="24">
        <f t="shared" si="10"/>
        <v>16666.666666666668</v>
      </c>
      <c r="Q11" s="24">
        <f>+$R11/3</f>
        <v>16666.666666666668</v>
      </c>
      <c r="R11" s="329">
        <v>50000</v>
      </c>
      <c r="T11" s="331">
        <f>SUM('All Other Expenses Detail'!D40:D52)</f>
        <v>137550</v>
      </c>
    </row>
    <row r="12" spans="1:20" ht="19">
      <c r="A12" t="s">
        <v>260</v>
      </c>
      <c r="C12" s="24">
        <f t="shared" si="7"/>
        <v>6270.833333333333</v>
      </c>
      <c r="D12" s="24">
        <f t="shared" si="7"/>
        <v>6270.833333333333</v>
      </c>
      <c r="E12" s="24">
        <f t="shared" si="7"/>
        <v>6270.833333333333</v>
      </c>
      <c r="F12" s="329">
        <f t="shared" ref="F12:F16" si="13">+$T12/4</f>
        <v>18812.5</v>
      </c>
      <c r="G12" s="24">
        <f t="shared" si="8"/>
        <v>6270.833333333333</v>
      </c>
      <c r="H12" s="24">
        <f t="shared" si="8"/>
        <v>6270.833333333333</v>
      </c>
      <c r="I12" s="24">
        <f t="shared" si="8"/>
        <v>6270.833333333333</v>
      </c>
      <c r="J12" s="329">
        <f t="shared" ref="J12:J16" si="14">+$T12/4</f>
        <v>18812.5</v>
      </c>
      <c r="K12" s="24">
        <f t="shared" si="9"/>
        <v>6270.833333333333</v>
      </c>
      <c r="L12" s="24">
        <f t="shared" si="9"/>
        <v>6270.833333333333</v>
      </c>
      <c r="M12" s="24">
        <f t="shared" si="9"/>
        <v>6270.833333333333</v>
      </c>
      <c r="N12" s="329">
        <f t="shared" ref="N12:N16" si="15">+$T12/4</f>
        <v>18812.5</v>
      </c>
      <c r="O12" s="24">
        <f t="shared" si="10"/>
        <v>6270.833333333333</v>
      </c>
      <c r="P12" s="24">
        <f t="shared" si="10"/>
        <v>6270.833333333333</v>
      </c>
      <c r="Q12" s="24">
        <f t="shared" si="10"/>
        <v>6270.833333333333</v>
      </c>
      <c r="R12" s="329">
        <f t="shared" ref="R12:R16" si="16">+$T12/4</f>
        <v>18812.5</v>
      </c>
      <c r="T12" s="331">
        <f>SUM('All Other Expenses Detail'!D54:D60)</f>
        <v>75250</v>
      </c>
    </row>
    <row r="13" spans="1:20" ht="19">
      <c r="A13" t="s">
        <v>225</v>
      </c>
      <c r="C13" s="24">
        <f>+F13/3</f>
        <v>3000</v>
      </c>
      <c r="D13" s="24">
        <f>+F13/3</f>
        <v>3000</v>
      </c>
      <c r="E13" s="24">
        <f>+F13/3</f>
        <v>3000</v>
      </c>
      <c r="F13" s="329">
        <v>9000</v>
      </c>
      <c r="G13" s="24">
        <f>+J13/3</f>
        <v>3000</v>
      </c>
      <c r="H13" s="24">
        <f>+J13/3</f>
        <v>3000</v>
      </c>
      <c r="I13" s="24">
        <f>+J13/3</f>
        <v>3000</v>
      </c>
      <c r="J13" s="329">
        <v>9000</v>
      </c>
      <c r="K13" s="24">
        <f t="shared" si="9"/>
        <v>96600</v>
      </c>
      <c r="L13" s="24">
        <f t="shared" si="9"/>
        <v>96600</v>
      </c>
      <c r="M13" s="24">
        <f t="shared" si="9"/>
        <v>96600</v>
      </c>
      <c r="N13" s="329">
        <f>+R13</f>
        <v>289800</v>
      </c>
      <c r="O13" s="24">
        <f t="shared" si="10"/>
        <v>96600</v>
      </c>
      <c r="P13" s="24">
        <f t="shared" si="10"/>
        <v>96600</v>
      </c>
      <c r="Q13" s="24">
        <f t="shared" si="10"/>
        <v>96600</v>
      </c>
      <c r="R13" s="329">
        <f>(+T13-18000)/2</f>
        <v>289800</v>
      </c>
      <c r="T13" s="331">
        <f>SUM('All Other Expenses Detail'!D62:D64)</f>
        <v>597600</v>
      </c>
    </row>
    <row r="14" spans="1:20" ht="19">
      <c r="A14" t="s">
        <v>261</v>
      </c>
      <c r="C14" s="24">
        <f t="shared" si="7"/>
        <v>62266.856994628906</v>
      </c>
      <c r="D14" s="24">
        <f t="shared" si="7"/>
        <v>62266.856994628906</v>
      </c>
      <c r="E14" s="24">
        <f t="shared" si="7"/>
        <v>62266.856994628906</v>
      </c>
      <c r="F14" s="329">
        <f t="shared" si="13"/>
        <v>186800.57098388672</v>
      </c>
      <c r="G14" s="24">
        <f t="shared" si="8"/>
        <v>62266.856994628906</v>
      </c>
      <c r="H14" s="24">
        <f t="shared" si="8"/>
        <v>62266.856994628906</v>
      </c>
      <c r="I14" s="24">
        <f t="shared" si="8"/>
        <v>62266.856994628906</v>
      </c>
      <c r="J14" s="329">
        <f t="shared" si="14"/>
        <v>186800.57098388672</v>
      </c>
      <c r="K14" s="24">
        <f t="shared" si="9"/>
        <v>62266.856994628906</v>
      </c>
      <c r="L14" s="24">
        <f t="shared" si="9"/>
        <v>62266.856994628906</v>
      </c>
      <c r="M14" s="24">
        <f t="shared" si="9"/>
        <v>62266.856994628906</v>
      </c>
      <c r="N14" s="329">
        <f t="shared" si="15"/>
        <v>186800.57098388672</v>
      </c>
      <c r="O14" s="24">
        <f t="shared" si="10"/>
        <v>62266.856994628906</v>
      </c>
      <c r="P14" s="24">
        <f t="shared" si="10"/>
        <v>62266.856994628906</v>
      </c>
      <c r="Q14" s="24">
        <f t="shared" si="10"/>
        <v>62266.856994628906</v>
      </c>
      <c r="R14" s="329">
        <f t="shared" si="16"/>
        <v>186800.57098388672</v>
      </c>
      <c r="T14" s="331">
        <f>SUM('All Other Expenses Detail'!D66:D67)</f>
        <v>747202.28393554688</v>
      </c>
    </row>
    <row r="15" spans="1:20" ht="19">
      <c r="A15" t="s">
        <v>278</v>
      </c>
      <c r="C15" s="24">
        <f t="shared" si="7"/>
        <v>31583.333333333332</v>
      </c>
      <c r="D15" s="24">
        <f t="shared" si="7"/>
        <v>31583.333333333332</v>
      </c>
      <c r="E15" s="24">
        <f t="shared" si="7"/>
        <v>31583.333333333332</v>
      </c>
      <c r="F15" s="329">
        <f t="shared" si="13"/>
        <v>94750</v>
      </c>
      <c r="G15" s="24">
        <f t="shared" si="8"/>
        <v>31583.333333333332</v>
      </c>
      <c r="H15" s="24">
        <f t="shared" si="8"/>
        <v>31583.333333333332</v>
      </c>
      <c r="I15" s="24">
        <f t="shared" si="8"/>
        <v>31583.333333333332</v>
      </c>
      <c r="J15" s="329">
        <f t="shared" si="14"/>
        <v>94750</v>
      </c>
      <c r="K15" s="24">
        <f t="shared" si="9"/>
        <v>31583.333333333332</v>
      </c>
      <c r="L15" s="24">
        <f t="shared" si="9"/>
        <v>31583.333333333332</v>
      </c>
      <c r="M15" s="24">
        <f t="shared" si="9"/>
        <v>31583.333333333332</v>
      </c>
      <c r="N15" s="329">
        <f t="shared" si="15"/>
        <v>94750</v>
      </c>
      <c r="O15" s="24">
        <f t="shared" si="10"/>
        <v>31583.333333333332</v>
      </c>
      <c r="P15" s="24">
        <f t="shared" si="10"/>
        <v>31583.333333333332</v>
      </c>
      <c r="Q15" s="24">
        <f t="shared" si="10"/>
        <v>31583.333333333332</v>
      </c>
      <c r="R15" s="329">
        <f t="shared" si="16"/>
        <v>94750</v>
      </c>
      <c r="T15" s="331">
        <f>SUM('All Other Expenses Detail'!D69:D72)</f>
        <v>379000</v>
      </c>
    </row>
    <row r="16" spans="1:20" ht="22">
      <c r="A16" t="s">
        <v>263</v>
      </c>
      <c r="C16" s="315">
        <f t="shared" si="7"/>
        <v>1000</v>
      </c>
      <c r="D16" s="315">
        <f t="shared" si="7"/>
        <v>1000</v>
      </c>
      <c r="E16" s="315">
        <f t="shared" si="7"/>
        <v>1000</v>
      </c>
      <c r="F16" s="330">
        <f t="shared" si="13"/>
        <v>3000</v>
      </c>
      <c r="G16" s="315">
        <f t="shared" si="8"/>
        <v>1000</v>
      </c>
      <c r="H16" s="315">
        <f t="shared" si="8"/>
        <v>1000</v>
      </c>
      <c r="I16" s="315">
        <f t="shared" si="8"/>
        <v>1000</v>
      </c>
      <c r="J16" s="330">
        <f t="shared" si="14"/>
        <v>3000</v>
      </c>
      <c r="K16" s="315">
        <f t="shared" si="9"/>
        <v>1000</v>
      </c>
      <c r="L16" s="315">
        <f t="shared" si="9"/>
        <v>1000</v>
      </c>
      <c r="M16" s="315">
        <f t="shared" si="9"/>
        <v>1000</v>
      </c>
      <c r="N16" s="330">
        <f t="shared" si="15"/>
        <v>3000</v>
      </c>
      <c r="O16" s="315">
        <f t="shared" si="10"/>
        <v>1000</v>
      </c>
      <c r="P16" s="315">
        <f t="shared" si="10"/>
        <v>1000</v>
      </c>
      <c r="Q16" s="315">
        <f t="shared" si="10"/>
        <v>1000</v>
      </c>
      <c r="R16" s="330">
        <f t="shared" si="16"/>
        <v>3000</v>
      </c>
      <c r="T16" s="332">
        <f>SUM('All Other Expenses Detail'!D74)</f>
        <v>12000</v>
      </c>
    </row>
    <row r="17" spans="1:20" ht="19">
      <c r="A17" s="325" t="s">
        <v>264</v>
      </c>
      <c r="B17" s="325"/>
      <c r="C17" s="326">
        <f t="shared" ref="C17" si="17">SUM(C11:C16)</f>
        <v>110379.35699462891</v>
      </c>
      <c r="D17" s="326">
        <f t="shared" ref="D17" si="18">SUM(D11:D16)</f>
        <v>110379.35699462891</v>
      </c>
      <c r="E17" s="326">
        <f>SUM(E11:E16)</f>
        <v>110379.35699462891</v>
      </c>
      <c r="F17" s="327">
        <f>SUM(F11:F16)</f>
        <v>331138.07098388672</v>
      </c>
      <c r="G17" s="326">
        <f t="shared" ref="G17" si="19">SUM(G11:G16)</f>
        <v>110379.35699462891</v>
      </c>
      <c r="H17" s="326">
        <f t="shared" ref="H17" si="20">SUM(H11:H16)</f>
        <v>110379.35699462891</v>
      </c>
      <c r="I17" s="326">
        <f>SUM(I11:I16)</f>
        <v>110379.35699462891</v>
      </c>
      <c r="J17" s="327">
        <f>SUM(J11:J16)</f>
        <v>331138.07098388672</v>
      </c>
      <c r="K17" s="326">
        <f t="shared" ref="K17" si="21">SUM(K11:K16)</f>
        <v>214387.69032796225</v>
      </c>
      <c r="L17" s="326">
        <f t="shared" ref="L17" si="22">SUM(L11:L16)</f>
        <v>214387.69032796225</v>
      </c>
      <c r="M17" s="326">
        <f>SUM(M11:M16)</f>
        <v>214387.69032796225</v>
      </c>
      <c r="N17" s="327">
        <f>SUM(N11:N16)</f>
        <v>643163.07098388672</v>
      </c>
      <c r="O17" s="326">
        <f t="shared" ref="O17" si="23">SUM(O11:O16)</f>
        <v>214387.69032796225</v>
      </c>
      <c r="P17" s="326">
        <f t="shared" ref="P17" si="24">SUM(P11:P16)</f>
        <v>214387.69032796225</v>
      </c>
      <c r="Q17" s="326">
        <f>SUM(Q11:Q16)</f>
        <v>214387.69032796225</v>
      </c>
      <c r="R17" s="327">
        <f>SUM(R11:R16)</f>
        <v>643163.07098388672</v>
      </c>
      <c r="T17" s="328">
        <f>SUM(T10:T16)</f>
        <v>2986285.4814453125</v>
      </c>
    </row>
    <row r="18" spans="1:20" ht="19">
      <c r="T18" s="233"/>
    </row>
    <row r="19" spans="1:20" ht="19">
      <c r="A19" s="325" t="s">
        <v>265</v>
      </c>
      <c r="B19" s="325"/>
      <c r="C19" s="336">
        <f>+C8-C17</f>
        <v>-110379.35699462891</v>
      </c>
      <c r="D19" s="336">
        <f t="shared" ref="D19:R19" si="25">+D8-D17</f>
        <v>-110379.35699462891</v>
      </c>
      <c r="E19" s="336">
        <f t="shared" si="25"/>
        <v>-110379.35699462891</v>
      </c>
      <c r="F19" s="338">
        <f t="shared" si="25"/>
        <v>-331138.07098388672</v>
      </c>
      <c r="G19" s="336">
        <f t="shared" si="25"/>
        <v>-110379.35699462891</v>
      </c>
      <c r="H19" s="336">
        <f t="shared" si="25"/>
        <v>-110379.35699462891</v>
      </c>
      <c r="I19" s="336">
        <f t="shared" si="25"/>
        <v>-108624.35699462891</v>
      </c>
      <c r="J19" s="338">
        <f t="shared" si="25"/>
        <v>-329383.07098388672</v>
      </c>
      <c r="K19" s="336">
        <f t="shared" si="25"/>
        <v>-154278.94032796225</v>
      </c>
      <c r="L19" s="336">
        <f t="shared" si="25"/>
        <v>-109197.37782796225</v>
      </c>
      <c r="M19" s="336">
        <f t="shared" si="25"/>
        <v>-30304.643452962249</v>
      </c>
      <c r="N19" s="338">
        <f t="shared" si="25"/>
        <v>-293780.96160888672</v>
      </c>
      <c r="O19" s="336">
        <f t="shared" si="25"/>
        <v>107757.64170328775</v>
      </c>
      <c r="P19" s="336">
        <f t="shared" si="25"/>
        <v>349366.64072672522</v>
      </c>
      <c r="Q19" s="336">
        <f t="shared" si="25"/>
        <v>772182.38901774085</v>
      </c>
      <c r="R19" s="338">
        <f t="shared" si="25"/>
        <v>1229306.6714477539</v>
      </c>
      <c r="S19" s="304"/>
      <c r="T19" s="328">
        <f t="shared" ref="T19" si="26">+T8-T17</f>
        <v>-762678.62963867188</v>
      </c>
    </row>
    <row r="20" spans="1:20" ht="19">
      <c r="C20" s="24"/>
      <c r="T20" s="233"/>
    </row>
    <row r="21" spans="1:20" ht="19">
      <c r="A21" t="s">
        <v>267</v>
      </c>
      <c r="C21" s="24">
        <f t="shared" ref="C21:D21" si="27">+$F21/3</f>
        <v>43333.333333333336</v>
      </c>
      <c r="D21" s="24">
        <f t="shared" si="27"/>
        <v>43333.333333333336</v>
      </c>
      <c r="E21" s="24">
        <f>+$F21/3</f>
        <v>43333.333333333336</v>
      </c>
      <c r="F21" s="329">
        <v>130000</v>
      </c>
      <c r="G21" s="24">
        <f t="shared" ref="G21:H21" si="28">+$F21/3</f>
        <v>43333.333333333336</v>
      </c>
      <c r="H21" s="24">
        <f t="shared" si="28"/>
        <v>43333.333333333336</v>
      </c>
      <c r="I21" s="24">
        <f>+$F21/3</f>
        <v>43333.333333333336</v>
      </c>
      <c r="J21" s="329">
        <v>130000</v>
      </c>
      <c r="K21" s="24">
        <v>0</v>
      </c>
      <c r="L21" s="24">
        <v>0</v>
      </c>
      <c r="M21" s="24">
        <v>0</v>
      </c>
      <c r="N21" s="329">
        <v>0</v>
      </c>
      <c r="O21" s="24">
        <v>0</v>
      </c>
      <c r="P21" s="24">
        <v>0</v>
      </c>
      <c r="Q21" s="24">
        <v>0</v>
      </c>
      <c r="R21" s="329">
        <v>0</v>
      </c>
      <c r="T21" s="331">
        <f>+J21+F21</f>
        <v>260000</v>
      </c>
    </row>
    <row r="22" spans="1:20" ht="22">
      <c r="A22" t="s">
        <v>266</v>
      </c>
      <c r="C22" s="315">
        <v>0</v>
      </c>
      <c r="D22" s="315">
        <f t="shared" ref="D22:Q22" si="29">+$R22/3</f>
        <v>100000</v>
      </c>
      <c r="E22" s="315">
        <f t="shared" si="29"/>
        <v>100000</v>
      </c>
      <c r="F22" s="330">
        <v>200000</v>
      </c>
      <c r="G22" s="315">
        <f t="shared" si="29"/>
        <v>100000</v>
      </c>
      <c r="H22" s="315">
        <f t="shared" si="29"/>
        <v>100000</v>
      </c>
      <c r="I22" s="315">
        <f t="shared" si="29"/>
        <v>100000</v>
      </c>
      <c r="J22" s="330">
        <v>300000</v>
      </c>
      <c r="K22" s="315">
        <f t="shared" si="29"/>
        <v>100000</v>
      </c>
      <c r="L22" s="315">
        <f t="shared" si="29"/>
        <v>100000</v>
      </c>
      <c r="M22" s="315">
        <f t="shared" si="29"/>
        <v>100000</v>
      </c>
      <c r="N22" s="330">
        <v>300000</v>
      </c>
      <c r="O22" s="315">
        <f t="shared" si="29"/>
        <v>100000</v>
      </c>
      <c r="P22" s="315">
        <f t="shared" si="29"/>
        <v>100000</v>
      </c>
      <c r="Q22" s="315">
        <f t="shared" si="29"/>
        <v>100000</v>
      </c>
      <c r="R22" s="330">
        <v>300000</v>
      </c>
      <c r="S22" s="341"/>
      <c r="T22" s="332">
        <v>1100000</v>
      </c>
    </row>
    <row r="23" spans="1:20" ht="19">
      <c r="C23" s="24"/>
      <c r="G23" s="24"/>
      <c r="K23" s="24"/>
      <c r="O23" s="24"/>
      <c r="T23" s="233"/>
    </row>
    <row r="24" spans="1:20" ht="19">
      <c r="A24" s="325" t="s">
        <v>268</v>
      </c>
      <c r="B24" s="325"/>
      <c r="C24" s="336">
        <f>+C19-C21-C22</f>
        <v>-153712.69032796225</v>
      </c>
      <c r="D24" s="336">
        <f t="shared" ref="D24:E24" si="30">+D19-D21-D22</f>
        <v>-253712.69032796225</v>
      </c>
      <c r="E24" s="336">
        <f t="shared" si="30"/>
        <v>-253712.69032796225</v>
      </c>
      <c r="F24" s="338">
        <f>+F19-F21-F22</f>
        <v>-661138.07098388672</v>
      </c>
      <c r="G24" s="336">
        <f>+G19-G21-G22</f>
        <v>-253712.69032796225</v>
      </c>
      <c r="H24" s="336">
        <f t="shared" ref="H24:I24" si="31">+H19-H21-H22</f>
        <v>-253712.69032796225</v>
      </c>
      <c r="I24" s="336">
        <f t="shared" si="31"/>
        <v>-251957.69032796225</v>
      </c>
      <c r="J24" s="338">
        <f>+J19-J21-J22</f>
        <v>-759383.07098388672</v>
      </c>
      <c r="K24" s="336">
        <f>+K19-K21-K22</f>
        <v>-254278.94032796225</v>
      </c>
      <c r="L24" s="336">
        <f t="shared" ref="L24:M24" si="32">+L19-L21-L22</f>
        <v>-209197.37782796225</v>
      </c>
      <c r="M24" s="336">
        <f t="shared" si="32"/>
        <v>-130304.64345296225</v>
      </c>
      <c r="N24" s="338">
        <f>+N19-N21-N22</f>
        <v>-593780.96160888672</v>
      </c>
      <c r="O24" s="336">
        <f>+O19-O21-O22</f>
        <v>7757.6417032877507</v>
      </c>
      <c r="P24" s="336">
        <f t="shared" ref="P24:Q24" si="33">+P19-P21-P22</f>
        <v>249366.64072672522</v>
      </c>
      <c r="Q24" s="336">
        <f t="shared" si="33"/>
        <v>672182.38901774085</v>
      </c>
      <c r="R24" s="338">
        <f>+R19-R21-R22</f>
        <v>929306.67144775391</v>
      </c>
      <c r="T24" s="328">
        <f>+T19-T21-T22</f>
        <v>-2122678.6296386719</v>
      </c>
    </row>
    <row r="25" spans="1:20" ht="19">
      <c r="C25" s="24"/>
      <c r="G25" s="24"/>
      <c r="K25" s="24"/>
      <c r="O25" s="24"/>
      <c r="T25" s="233"/>
    </row>
    <row r="26" spans="1:20" ht="22">
      <c r="A26" t="s">
        <v>269</v>
      </c>
      <c r="C26" s="315">
        <v>0</v>
      </c>
      <c r="D26" s="315">
        <v>0</v>
      </c>
      <c r="E26" s="315">
        <v>0</v>
      </c>
      <c r="F26" s="330">
        <v>0</v>
      </c>
      <c r="G26" s="315">
        <v>0</v>
      </c>
      <c r="H26" s="315">
        <v>0</v>
      </c>
      <c r="I26" s="315">
        <v>0</v>
      </c>
      <c r="J26" s="330">
        <v>0</v>
      </c>
      <c r="K26" s="315">
        <v>0</v>
      </c>
      <c r="L26" s="315">
        <v>0</v>
      </c>
      <c r="M26" s="315">
        <v>0</v>
      </c>
      <c r="N26" s="330">
        <v>0</v>
      </c>
      <c r="O26" s="315">
        <v>0</v>
      </c>
      <c r="P26" s="315">
        <v>0</v>
      </c>
      <c r="Q26" s="315">
        <v>0</v>
      </c>
      <c r="R26" s="330">
        <v>0</v>
      </c>
      <c r="S26" s="341"/>
      <c r="T26" s="332">
        <v>0</v>
      </c>
    </row>
    <row r="27" spans="1:20" ht="19">
      <c r="C27" s="24"/>
      <c r="G27" s="24"/>
      <c r="K27" s="24"/>
      <c r="O27" s="24"/>
      <c r="T27" s="233"/>
    </row>
    <row r="28" spans="1:20" ht="22">
      <c r="A28" s="325" t="s">
        <v>270</v>
      </c>
      <c r="B28" s="325"/>
      <c r="C28" s="337">
        <f>+C24-C26</f>
        <v>-153712.69032796225</v>
      </c>
      <c r="D28" s="337">
        <f t="shared" ref="D28:E28" si="34">+D24-D26</f>
        <v>-253712.69032796225</v>
      </c>
      <c r="E28" s="337">
        <f t="shared" si="34"/>
        <v>-253712.69032796225</v>
      </c>
      <c r="F28" s="339">
        <f>+F24-F26</f>
        <v>-661138.07098388672</v>
      </c>
      <c r="G28" s="337">
        <f>+G24-G26</f>
        <v>-253712.69032796225</v>
      </c>
      <c r="H28" s="337">
        <f t="shared" ref="H28:I28" si="35">+H24-H26</f>
        <v>-253712.69032796225</v>
      </c>
      <c r="I28" s="337">
        <f t="shared" si="35"/>
        <v>-251957.69032796225</v>
      </c>
      <c r="J28" s="339">
        <f>+J24-J26</f>
        <v>-759383.07098388672</v>
      </c>
      <c r="K28" s="337">
        <f>+K24-K26</f>
        <v>-254278.94032796225</v>
      </c>
      <c r="L28" s="337">
        <f t="shared" ref="L28:M28" si="36">+L24-L26</f>
        <v>-209197.37782796225</v>
      </c>
      <c r="M28" s="337">
        <f t="shared" si="36"/>
        <v>-130304.64345296225</v>
      </c>
      <c r="N28" s="339">
        <f>+N24-N26</f>
        <v>-593780.96160888672</v>
      </c>
      <c r="O28" s="337">
        <f>+O24-O26</f>
        <v>7757.6417032877507</v>
      </c>
      <c r="P28" s="337">
        <f t="shared" ref="P28:Q28" si="37">+P24-P26</f>
        <v>249366.64072672522</v>
      </c>
      <c r="Q28" s="337">
        <f t="shared" si="37"/>
        <v>672182.38901774085</v>
      </c>
      <c r="R28" s="339">
        <f>+R24-R26</f>
        <v>929306.67144775391</v>
      </c>
      <c r="S28" s="342"/>
      <c r="T28" s="340">
        <f>+T24-T26</f>
        <v>-2122678.6296386719</v>
      </c>
    </row>
    <row r="34" spans="1:20" ht="16" thickBot="1"/>
    <row r="35" spans="1:20" ht="20" thickBot="1">
      <c r="A35" s="284" t="s">
        <v>116</v>
      </c>
      <c r="B35" s="262"/>
      <c r="C35" s="239">
        <v>45108</v>
      </c>
      <c r="D35" s="240">
        <f>C35+31</f>
        <v>45139</v>
      </c>
      <c r="E35" s="239">
        <f>D35+31</f>
        <v>45170</v>
      </c>
      <c r="F35" s="241" t="s">
        <v>118</v>
      </c>
      <c r="G35" s="239">
        <f>E35+30.5</f>
        <v>45200.5</v>
      </c>
      <c r="H35" s="239">
        <f>G35+30.5</f>
        <v>45231</v>
      </c>
      <c r="I35" s="239">
        <v>45282</v>
      </c>
      <c r="J35" s="241" t="s">
        <v>119</v>
      </c>
      <c r="K35" s="239">
        <f>I35+30.5</f>
        <v>45312.5</v>
      </c>
      <c r="L35" s="239">
        <f>K35+30.5</f>
        <v>45343</v>
      </c>
      <c r="M35" s="239">
        <f>L35+30.5</f>
        <v>45373.5</v>
      </c>
      <c r="N35" s="241" t="s">
        <v>120</v>
      </c>
      <c r="O35" s="239">
        <f>M35+30.5</f>
        <v>45404</v>
      </c>
      <c r="P35" s="239">
        <f>O35+30.5</f>
        <v>45434.5</v>
      </c>
      <c r="Q35" s="239">
        <f>P35+30.5</f>
        <v>45465</v>
      </c>
      <c r="R35" s="241" t="s">
        <v>121</v>
      </c>
      <c r="S35" s="386" t="s">
        <v>122</v>
      </c>
      <c r="T35" s="387"/>
    </row>
    <row r="36" spans="1:20" ht="20" thickBot="1">
      <c r="A36" s="266" t="s">
        <v>139</v>
      </c>
      <c r="B36" s="160"/>
      <c r="C36" s="267">
        <f>+'Moderate Revenue Model (MRV)'!C28</f>
        <v>3372945.41015625</v>
      </c>
      <c r="D36" s="267">
        <f>+'Moderate Revenue Model (MRV)'!D28</f>
        <v>4637799.9389648438</v>
      </c>
      <c r="E36" s="267">
        <f>+'Moderate Revenue Model (MRV)'!E28</f>
        <v>6376974.9160766602</v>
      </c>
      <c r="F36" s="268">
        <f>SUM(C36:E36)</f>
        <v>14387720.265197754</v>
      </c>
      <c r="G36" s="267">
        <f>+'Moderate Revenue Model (MRV)'!G28</f>
        <v>8768340.5096054077</v>
      </c>
      <c r="H36" s="267">
        <f>+'Moderate Revenue Model (MRV)'!H28</f>
        <v>12056468.200707436</v>
      </c>
      <c r="I36" s="267">
        <f>+'Moderate Revenue Model (MRV)'!I28</f>
        <v>16577643.775972724</v>
      </c>
      <c r="J36" s="268">
        <f>SUM(G36:I36)</f>
        <v>37402452.486285567</v>
      </c>
      <c r="K36" s="267">
        <f>+'Moderate Revenue Model (MRV)'!K28</f>
        <v>22794260.191962495</v>
      </c>
      <c r="L36" s="267">
        <f>+'Moderate Revenue Model (MRV)'!L28</f>
        <v>27068183.977955461</v>
      </c>
      <c r="M36" s="267">
        <f>+'Moderate Revenue Model (MRV)'!M28</f>
        <v>32143468.473822109</v>
      </c>
      <c r="N36" s="269">
        <f>SUM(K36:M36)</f>
        <v>82005912.643740058</v>
      </c>
      <c r="O36" s="267">
        <f>+'Moderate Revenue Model (MRV)'!O28</f>
        <v>44197269.151505403</v>
      </c>
      <c r="P36" s="267">
        <f>+'Moderate Revenue Model (MRV)'!P28</f>
        <v>52484257.117412671</v>
      </c>
      <c r="Q36" s="267">
        <f>+'Moderate Revenue Model (MRV)'!Q28</f>
        <v>62325055.326927543</v>
      </c>
      <c r="R36" s="269">
        <f>SUM(O36:Q36)</f>
        <v>159006581.59584561</v>
      </c>
      <c r="S36" s="333"/>
      <c r="T36" s="271">
        <f>SUM(R36+N36+J36+F36)</f>
        <v>292802666.99106896</v>
      </c>
    </row>
    <row r="37" spans="1:20" ht="19">
      <c r="A37" s="272" t="s">
        <v>110</v>
      </c>
      <c r="B37" s="2"/>
      <c r="C37" s="267">
        <f>+'Moderate Revenue Model (MRV)'!C29</f>
        <v>2867003.5986328125</v>
      </c>
      <c r="D37" s="267">
        <f>+'Moderate Revenue Model (MRV)'!D29</f>
        <v>3942129.9481201172</v>
      </c>
      <c r="E37" s="267">
        <f>+'Moderate Revenue Model (MRV)'!E29</f>
        <v>5420428.6786651611</v>
      </c>
      <c r="F37" s="254">
        <f>SUM(C37:E37)</f>
        <v>12229562.225418091</v>
      </c>
      <c r="G37" s="267">
        <f>+'Moderate Revenue Model (MRV)'!G29</f>
        <v>7453089.4331645966</v>
      </c>
      <c r="H37" s="267">
        <f>+'Moderate Revenue Model (MRV)'!H29</f>
        <v>10247997.97060132</v>
      </c>
      <c r="I37" s="267">
        <f>+'Moderate Revenue Model (MRV)'!I29</f>
        <v>14090997.209576815</v>
      </c>
      <c r="J37" s="254">
        <f>SUM(G37:I37)</f>
        <v>31792084.613342732</v>
      </c>
      <c r="K37" s="267">
        <f>+'Moderate Revenue Model (MRV)'!K29</f>
        <v>19375121.163168121</v>
      </c>
      <c r="L37" s="267">
        <f>+'Moderate Revenue Model (MRV)'!L29</f>
        <v>23007956.381262142</v>
      </c>
      <c r="M37" s="267">
        <f>+'Moderate Revenue Model (MRV)'!M29</f>
        <v>27321948.202748794</v>
      </c>
      <c r="N37" s="242">
        <f>SUM(K37:M37)</f>
        <v>69705025.747179061</v>
      </c>
      <c r="O37" s="267">
        <f>+'Moderate Revenue Model (MRV)'!O29</f>
        <v>37567678.778779589</v>
      </c>
      <c r="P37" s="267">
        <f>+'Moderate Revenue Model (MRV)'!P29</f>
        <v>44611618.549800768</v>
      </c>
      <c r="Q37" s="267">
        <f>+'Moderate Revenue Model (MRV)'!Q29</f>
        <v>52976297.02788841</v>
      </c>
      <c r="R37" s="242">
        <f>SUM(O37:Q37)</f>
        <v>135155594.35646877</v>
      </c>
      <c r="S37" s="334"/>
      <c r="T37" s="244">
        <f>SUM(R37+N37+J37+F37)</f>
        <v>248882266.94240865</v>
      </c>
    </row>
    <row r="38" spans="1:20" ht="20" thickBot="1">
      <c r="A38" s="273" t="s">
        <v>140</v>
      </c>
      <c r="B38" s="274"/>
      <c r="C38" s="264">
        <f>+C36-C37</f>
        <v>505941.8115234375</v>
      </c>
      <c r="D38" s="264">
        <f t="shared" ref="D38:E38" si="38">+D36-D37</f>
        <v>695669.99084472656</v>
      </c>
      <c r="E38" s="264">
        <f t="shared" si="38"/>
        <v>956546.23741149902</v>
      </c>
      <c r="F38" s="305">
        <f>+F36-F37</f>
        <v>2158158.0397796631</v>
      </c>
      <c r="G38" s="264">
        <f t="shared" ref="G38:I38" si="39">+G36-G37</f>
        <v>1315251.0764408112</v>
      </c>
      <c r="H38" s="264">
        <f t="shared" si="39"/>
        <v>1808470.2301061153</v>
      </c>
      <c r="I38" s="264">
        <f t="shared" si="39"/>
        <v>2486646.5663959086</v>
      </c>
      <c r="J38" s="305">
        <f>+J36-J37</f>
        <v>5610367.8729428351</v>
      </c>
      <c r="K38" s="264">
        <f t="shared" ref="K38:M38" si="40">+K36-K37</f>
        <v>3419139.0287943743</v>
      </c>
      <c r="L38" s="264">
        <f t="shared" si="40"/>
        <v>4060227.5966933183</v>
      </c>
      <c r="M38" s="264">
        <f t="shared" si="40"/>
        <v>4821520.2710733153</v>
      </c>
      <c r="N38" s="306">
        <f>+N36-N37</f>
        <v>12300886.896560997</v>
      </c>
      <c r="O38" s="264">
        <f t="shared" ref="O38:Q38" si="41">+O36-O37</f>
        <v>6629590.3727258146</v>
      </c>
      <c r="P38" s="264">
        <f t="shared" si="41"/>
        <v>7872638.567611903</v>
      </c>
      <c r="Q38" s="264">
        <f t="shared" si="41"/>
        <v>9348758.2990391329</v>
      </c>
      <c r="R38" s="306">
        <f>SUM(O38:Q38)</f>
        <v>23850987.23937685</v>
      </c>
      <c r="S38" s="335"/>
      <c r="T38" s="307">
        <f>SUM(R38+N38+J38+F38)</f>
        <v>43920400.048660345</v>
      </c>
    </row>
    <row r="40" spans="1:20" ht="19">
      <c r="A40" t="s">
        <v>258</v>
      </c>
      <c r="C40" s="24">
        <f t="shared" ref="C40:E46" si="42">+$R40/3</f>
        <v>1708015.5574479022</v>
      </c>
      <c r="D40" s="24">
        <f t="shared" si="42"/>
        <v>1708015.5574479022</v>
      </c>
      <c r="E40" s="24">
        <f>+$R40/3</f>
        <v>1708015.5574479022</v>
      </c>
      <c r="F40" s="329">
        <f>+$T40/4</f>
        <v>5124046.6723437067</v>
      </c>
      <c r="G40" s="24">
        <f t="shared" ref="G40:I46" si="43">+$R40/3</f>
        <v>1708015.5574479022</v>
      </c>
      <c r="H40" s="24">
        <f t="shared" si="43"/>
        <v>1708015.5574479022</v>
      </c>
      <c r="I40" s="24">
        <f>+$R40/3</f>
        <v>1708015.5574479022</v>
      </c>
      <c r="J40" s="329">
        <f>+$T40/4</f>
        <v>5124046.6723437067</v>
      </c>
      <c r="K40" s="24">
        <f t="shared" ref="K40:M46" si="44">+$R40/3</f>
        <v>1708015.5574479022</v>
      </c>
      <c r="L40" s="24">
        <f t="shared" si="44"/>
        <v>1708015.5574479022</v>
      </c>
      <c r="M40" s="24">
        <f>+$R40/3</f>
        <v>1708015.5574479022</v>
      </c>
      <c r="N40" s="329">
        <f>+$T40/4</f>
        <v>5124046.6723437067</v>
      </c>
      <c r="O40" s="24">
        <f t="shared" ref="O40:P40" si="45">+$R40/3</f>
        <v>1708015.5574479022</v>
      </c>
      <c r="P40" s="24">
        <f t="shared" si="45"/>
        <v>1708015.5574479022</v>
      </c>
      <c r="Q40" s="24">
        <f>+$R40/3</f>
        <v>1708015.5574479022</v>
      </c>
      <c r="R40" s="329">
        <f>+$T40/4</f>
        <v>5124046.6723437067</v>
      </c>
      <c r="T40" s="331">
        <f>SUM('All Other Expenses Detail'!E34:E37)</f>
        <v>20496186.689374827</v>
      </c>
    </row>
    <row r="41" spans="1:20" ht="19">
      <c r="A41" t="s">
        <v>259</v>
      </c>
      <c r="C41" s="24">
        <f t="shared" si="42"/>
        <v>22425</v>
      </c>
      <c r="D41" s="24">
        <f t="shared" si="42"/>
        <v>22425</v>
      </c>
      <c r="E41" s="24">
        <f>+$R41/3</f>
        <v>22425</v>
      </c>
      <c r="F41" s="329">
        <f>+$T41/4</f>
        <v>67275</v>
      </c>
      <c r="G41" s="24">
        <f t="shared" si="43"/>
        <v>22425</v>
      </c>
      <c r="H41" s="24">
        <f t="shared" si="43"/>
        <v>22425</v>
      </c>
      <c r="I41" s="24">
        <f>+$R41/3</f>
        <v>22425</v>
      </c>
      <c r="J41" s="329">
        <f>+$T41/4</f>
        <v>67275</v>
      </c>
      <c r="K41" s="24">
        <f t="shared" si="44"/>
        <v>22425</v>
      </c>
      <c r="L41" s="24">
        <f t="shared" si="44"/>
        <v>22425</v>
      </c>
      <c r="M41" s="24">
        <f>+$R41/3</f>
        <v>22425</v>
      </c>
      <c r="N41" s="329">
        <f>+$T41/4</f>
        <v>67275</v>
      </c>
      <c r="O41" s="24">
        <f t="shared" ref="O41:P41" si="46">+$R41/3</f>
        <v>22425</v>
      </c>
      <c r="P41" s="24">
        <f t="shared" si="46"/>
        <v>22425</v>
      </c>
      <c r="Q41" s="24">
        <f>+$R41/3</f>
        <v>22425</v>
      </c>
      <c r="R41" s="329">
        <f>+$T41/4</f>
        <v>67275</v>
      </c>
      <c r="T41" s="331">
        <f>SUM('All Other Expenses Detail'!E40:E52)</f>
        <v>269100</v>
      </c>
    </row>
    <row r="42" spans="1:20" ht="19">
      <c r="A42" t="s">
        <v>260</v>
      </c>
      <c r="C42" s="24">
        <f t="shared" si="42"/>
        <v>12541.666666666666</v>
      </c>
      <c r="D42" s="24">
        <f t="shared" si="42"/>
        <v>12541.666666666666</v>
      </c>
      <c r="E42" s="24">
        <f t="shared" si="42"/>
        <v>12541.666666666666</v>
      </c>
      <c r="F42" s="329">
        <f t="shared" ref="F42:F46" si="47">+$T42/4</f>
        <v>37625</v>
      </c>
      <c r="G42" s="24">
        <f t="shared" si="43"/>
        <v>12541.666666666666</v>
      </c>
      <c r="H42" s="24">
        <f t="shared" si="43"/>
        <v>12541.666666666666</v>
      </c>
      <c r="I42" s="24">
        <f t="shared" si="43"/>
        <v>12541.666666666666</v>
      </c>
      <c r="J42" s="329">
        <f t="shared" ref="J42:J46" si="48">+$T42/4</f>
        <v>37625</v>
      </c>
      <c r="K42" s="24">
        <f t="shared" si="44"/>
        <v>12541.666666666666</v>
      </c>
      <c r="L42" s="24">
        <f t="shared" si="44"/>
        <v>12541.666666666666</v>
      </c>
      <c r="M42" s="24">
        <f t="shared" si="44"/>
        <v>12541.666666666666</v>
      </c>
      <c r="N42" s="329">
        <f t="shared" ref="N42:N46" si="49">+$T42/4</f>
        <v>37625</v>
      </c>
      <c r="O42" s="24">
        <f t="shared" ref="O42:Q46" si="50">+$R42/3</f>
        <v>12541.666666666666</v>
      </c>
      <c r="P42" s="24">
        <f t="shared" si="50"/>
        <v>12541.666666666666</v>
      </c>
      <c r="Q42" s="24">
        <f t="shared" si="50"/>
        <v>12541.666666666666</v>
      </c>
      <c r="R42" s="329">
        <f t="shared" ref="R42:R46" si="51">+$T42/4</f>
        <v>37625</v>
      </c>
      <c r="T42" s="331">
        <f>SUM('All Other Expenses Detail'!E54:E60)</f>
        <v>150500</v>
      </c>
    </row>
    <row r="43" spans="1:20" ht="19">
      <c r="A43" t="s">
        <v>225</v>
      </c>
      <c r="C43" s="24">
        <f t="shared" si="42"/>
        <v>102800</v>
      </c>
      <c r="D43" s="24">
        <f t="shared" si="42"/>
        <v>102800</v>
      </c>
      <c r="E43" s="24">
        <f t="shared" si="42"/>
        <v>102800</v>
      </c>
      <c r="F43" s="329">
        <f t="shared" si="47"/>
        <v>308400</v>
      </c>
      <c r="G43" s="24">
        <f t="shared" si="43"/>
        <v>102800</v>
      </c>
      <c r="H43" s="24">
        <f t="shared" si="43"/>
        <v>102800</v>
      </c>
      <c r="I43" s="24">
        <f t="shared" si="43"/>
        <v>102800</v>
      </c>
      <c r="J43" s="329">
        <f t="shared" si="48"/>
        <v>308400</v>
      </c>
      <c r="K43" s="24">
        <f t="shared" si="44"/>
        <v>102800</v>
      </c>
      <c r="L43" s="24">
        <f t="shared" si="44"/>
        <v>102800</v>
      </c>
      <c r="M43" s="24">
        <f t="shared" si="44"/>
        <v>102800</v>
      </c>
      <c r="N43" s="329">
        <f t="shared" si="49"/>
        <v>308400</v>
      </c>
      <c r="O43" s="24">
        <f t="shared" si="50"/>
        <v>102800</v>
      </c>
      <c r="P43" s="24">
        <f t="shared" si="50"/>
        <v>102800</v>
      </c>
      <c r="Q43" s="24">
        <f t="shared" si="50"/>
        <v>102800</v>
      </c>
      <c r="R43" s="329">
        <f t="shared" si="51"/>
        <v>308400</v>
      </c>
      <c r="T43" s="331">
        <f>SUM('All Other Expenses Detail'!E62:E64)</f>
        <v>1233600</v>
      </c>
    </row>
    <row r="44" spans="1:20" ht="19">
      <c r="A44" t="s">
        <v>261</v>
      </c>
      <c r="C44" s="24">
        <f t="shared" si="42"/>
        <v>1221011.1124627874</v>
      </c>
      <c r="D44" s="24">
        <f t="shared" si="42"/>
        <v>1221011.1124627874</v>
      </c>
      <c r="E44" s="24">
        <f t="shared" si="42"/>
        <v>1221011.1124627874</v>
      </c>
      <c r="F44" s="329">
        <f t="shared" si="47"/>
        <v>3663033.3373883623</v>
      </c>
      <c r="G44" s="24">
        <f t="shared" si="43"/>
        <v>1221011.1124627874</v>
      </c>
      <c r="H44" s="24">
        <f t="shared" si="43"/>
        <v>1221011.1124627874</v>
      </c>
      <c r="I44" s="24">
        <f t="shared" si="43"/>
        <v>1221011.1124627874</v>
      </c>
      <c r="J44" s="329">
        <f t="shared" si="48"/>
        <v>3663033.3373883623</v>
      </c>
      <c r="K44" s="24">
        <f t="shared" si="44"/>
        <v>1221011.1124627874</v>
      </c>
      <c r="L44" s="24">
        <f t="shared" si="44"/>
        <v>1221011.1124627874</v>
      </c>
      <c r="M44" s="24">
        <f t="shared" si="44"/>
        <v>1221011.1124627874</v>
      </c>
      <c r="N44" s="329">
        <f t="shared" si="49"/>
        <v>3663033.3373883623</v>
      </c>
      <c r="O44" s="24">
        <f t="shared" si="50"/>
        <v>1221011.1124627874</v>
      </c>
      <c r="P44" s="24">
        <f t="shared" si="50"/>
        <v>1221011.1124627874</v>
      </c>
      <c r="Q44" s="24">
        <f t="shared" si="50"/>
        <v>1221011.1124627874</v>
      </c>
      <c r="R44" s="329">
        <f t="shared" si="51"/>
        <v>3663033.3373883623</v>
      </c>
      <c r="T44" s="331">
        <f>SUM('All Other Expenses Detail'!E66:E67)</f>
        <v>14652133.349553449</v>
      </c>
    </row>
    <row r="45" spans="1:20" ht="19">
      <c r="A45" t="s">
        <v>262</v>
      </c>
      <c r="C45" s="24">
        <f t="shared" si="42"/>
        <v>31583.333333333332</v>
      </c>
      <c r="D45" s="24">
        <f t="shared" si="42"/>
        <v>31583.333333333332</v>
      </c>
      <c r="E45" s="24">
        <f t="shared" si="42"/>
        <v>31583.333333333332</v>
      </c>
      <c r="F45" s="329">
        <f t="shared" si="47"/>
        <v>94750</v>
      </c>
      <c r="G45" s="24">
        <f t="shared" si="43"/>
        <v>31583.333333333332</v>
      </c>
      <c r="H45" s="24">
        <f t="shared" si="43"/>
        <v>31583.333333333332</v>
      </c>
      <c r="I45" s="24">
        <f t="shared" si="43"/>
        <v>31583.333333333332</v>
      </c>
      <c r="J45" s="329">
        <f t="shared" si="48"/>
        <v>94750</v>
      </c>
      <c r="K45" s="24">
        <f t="shared" si="44"/>
        <v>31583.333333333332</v>
      </c>
      <c r="L45" s="24">
        <f t="shared" si="44"/>
        <v>31583.333333333332</v>
      </c>
      <c r="M45" s="24">
        <f t="shared" si="44"/>
        <v>31583.333333333332</v>
      </c>
      <c r="N45" s="329">
        <f t="shared" si="49"/>
        <v>94750</v>
      </c>
      <c r="O45" s="24">
        <f t="shared" si="50"/>
        <v>31583.333333333332</v>
      </c>
      <c r="P45" s="24">
        <f t="shared" si="50"/>
        <v>31583.333333333332</v>
      </c>
      <c r="Q45" s="24">
        <f t="shared" si="50"/>
        <v>31583.333333333332</v>
      </c>
      <c r="R45" s="329">
        <f t="shared" si="51"/>
        <v>94750</v>
      </c>
      <c r="T45" s="331">
        <f>SUM('All Other Expenses Detail'!E69:E72)</f>
        <v>379000</v>
      </c>
    </row>
    <row r="46" spans="1:20" ht="22">
      <c r="A46" t="s">
        <v>263</v>
      </c>
      <c r="C46" s="315">
        <f t="shared" si="42"/>
        <v>1000</v>
      </c>
      <c r="D46" s="315">
        <f t="shared" si="42"/>
        <v>1000</v>
      </c>
      <c r="E46" s="315">
        <f t="shared" si="42"/>
        <v>1000</v>
      </c>
      <c r="F46" s="330">
        <f t="shared" si="47"/>
        <v>3000</v>
      </c>
      <c r="G46" s="315">
        <f t="shared" si="43"/>
        <v>1000</v>
      </c>
      <c r="H46" s="315">
        <f t="shared" si="43"/>
        <v>1000</v>
      </c>
      <c r="I46" s="315">
        <f t="shared" si="43"/>
        <v>1000</v>
      </c>
      <c r="J46" s="330">
        <f t="shared" si="48"/>
        <v>3000</v>
      </c>
      <c r="K46" s="315">
        <f t="shared" si="44"/>
        <v>1000</v>
      </c>
      <c r="L46" s="315">
        <f t="shared" si="44"/>
        <v>1000</v>
      </c>
      <c r="M46" s="315">
        <f t="shared" si="44"/>
        <v>1000</v>
      </c>
      <c r="N46" s="330">
        <f t="shared" si="49"/>
        <v>3000</v>
      </c>
      <c r="O46" s="315">
        <f t="shared" si="50"/>
        <v>1000</v>
      </c>
      <c r="P46" s="315">
        <f t="shared" si="50"/>
        <v>1000</v>
      </c>
      <c r="Q46" s="315">
        <f t="shared" si="50"/>
        <v>1000</v>
      </c>
      <c r="R46" s="330">
        <f t="shared" si="51"/>
        <v>3000</v>
      </c>
      <c r="T46" s="332">
        <f>SUM('All Other Expenses Detail'!E74)</f>
        <v>12000</v>
      </c>
    </row>
    <row r="47" spans="1:20" ht="19">
      <c r="A47" s="325" t="s">
        <v>264</v>
      </c>
      <c r="B47" s="325"/>
      <c r="C47" s="326">
        <f t="shared" ref="C47" si="52">SUM(C41:C46)</f>
        <v>1391361.1124627874</v>
      </c>
      <c r="D47" s="326">
        <f t="shared" ref="D47" si="53">SUM(D41:D46)</f>
        <v>1391361.1124627874</v>
      </c>
      <c r="E47" s="326">
        <f>SUM(E41:E46)</f>
        <v>1391361.1124627874</v>
      </c>
      <c r="F47" s="327">
        <f>SUM(F41:F46)</f>
        <v>4174083.3373883623</v>
      </c>
      <c r="G47" s="326">
        <f t="shared" ref="G47" si="54">SUM(G41:G46)</f>
        <v>1391361.1124627874</v>
      </c>
      <c r="H47" s="326">
        <f t="shared" ref="H47" si="55">SUM(H41:H46)</f>
        <v>1391361.1124627874</v>
      </c>
      <c r="I47" s="326">
        <f>SUM(I41:I46)</f>
        <v>1391361.1124627874</v>
      </c>
      <c r="J47" s="327">
        <f>SUM(J41:J46)</f>
        <v>4174083.3373883623</v>
      </c>
      <c r="K47" s="326">
        <f t="shared" ref="K47" si="56">SUM(K41:K46)</f>
        <v>1391361.1124627874</v>
      </c>
      <c r="L47" s="326">
        <f t="shared" ref="L47" si="57">SUM(L41:L46)</f>
        <v>1391361.1124627874</v>
      </c>
      <c r="M47" s="326">
        <f>SUM(M41:M46)</f>
        <v>1391361.1124627874</v>
      </c>
      <c r="N47" s="327">
        <f>SUM(N41:N46)</f>
        <v>4174083.3373883623</v>
      </c>
      <c r="O47" s="326">
        <f t="shared" ref="O47:P47" si="58">SUM(O41:O46)</f>
        <v>1391361.1124627874</v>
      </c>
      <c r="P47" s="326">
        <f t="shared" si="58"/>
        <v>1391361.1124627874</v>
      </c>
      <c r="Q47" s="326">
        <f>SUM(Q41:Q46)</f>
        <v>1391361.1124627874</v>
      </c>
      <c r="R47" s="327">
        <f>SUM(R41:R46)</f>
        <v>4174083.3373883623</v>
      </c>
      <c r="T47" s="328">
        <f>SUM(T40:T46)</f>
        <v>37192520.038928278</v>
      </c>
    </row>
    <row r="48" spans="1:20" ht="19">
      <c r="T48" s="233"/>
    </row>
    <row r="49" spans="1:20" ht="19">
      <c r="A49" s="325" t="s">
        <v>265</v>
      </c>
      <c r="B49" s="325"/>
      <c r="C49" s="336">
        <f>+C38-C47</f>
        <v>-885419.30093934992</v>
      </c>
      <c r="D49" s="336">
        <f t="shared" ref="D49:R49" si="59">+D38-D47</f>
        <v>-695691.12161806086</v>
      </c>
      <c r="E49" s="336">
        <f t="shared" si="59"/>
        <v>-434814.8750512884</v>
      </c>
      <c r="F49" s="338">
        <f t="shared" si="59"/>
        <v>-2015925.2976086992</v>
      </c>
      <c r="G49" s="336">
        <f t="shared" si="59"/>
        <v>-76110.036021976266</v>
      </c>
      <c r="H49" s="336">
        <f t="shared" si="59"/>
        <v>417109.11764332792</v>
      </c>
      <c r="I49" s="336">
        <f t="shared" si="59"/>
        <v>1095285.4539331212</v>
      </c>
      <c r="J49" s="338">
        <f t="shared" si="59"/>
        <v>1436284.5355544728</v>
      </c>
      <c r="K49" s="336">
        <f t="shared" si="59"/>
        <v>2027777.9163315869</v>
      </c>
      <c r="L49" s="336">
        <f t="shared" si="59"/>
        <v>2668866.4842305309</v>
      </c>
      <c r="M49" s="336">
        <f t="shared" si="59"/>
        <v>3430159.1586105279</v>
      </c>
      <c r="N49" s="338">
        <f t="shared" si="59"/>
        <v>8126803.559172634</v>
      </c>
      <c r="O49" s="336">
        <f t="shared" si="59"/>
        <v>5238229.2602630276</v>
      </c>
      <c r="P49" s="336">
        <f t="shared" si="59"/>
        <v>6481277.455149116</v>
      </c>
      <c r="Q49" s="336">
        <f t="shared" si="59"/>
        <v>7957397.1865763459</v>
      </c>
      <c r="R49" s="338">
        <f t="shared" si="59"/>
        <v>19676903.901988488</v>
      </c>
      <c r="S49" s="304"/>
      <c r="T49" s="328">
        <f t="shared" ref="T49" si="60">+T38-T47</f>
        <v>6727880.0097320676</v>
      </c>
    </row>
    <row r="50" spans="1:20" ht="19">
      <c r="C50" s="24"/>
      <c r="T50" s="233"/>
    </row>
    <row r="51" spans="1:20" ht="19">
      <c r="A51" t="s">
        <v>267</v>
      </c>
      <c r="C51" s="24">
        <f t="shared" ref="C51:Q52" si="61">+$R51/3</f>
        <v>0</v>
      </c>
      <c r="D51" s="24">
        <f t="shared" si="61"/>
        <v>0</v>
      </c>
      <c r="E51" s="24">
        <f t="shared" si="61"/>
        <v>0</v>
      </c>
      <c r="F51" s="329">
        <f t="shared" ref="F51:F52" si="62">+$T51/4</f>
        <v>0</v>
      </c>
      <c r="G51" s="24">
        <f t="shared" si="61"/>
        <v>0</v>
      </c>
      <c r="H51" s="24">
        <f t="shared" si="61"/>
        <v>0</v>
      </c>
      <c r="I51" s="24">
        <f t="shared" si="61"/>
        <v>0</v>
      </c>
      <c r="J51" s="329">
        <f t="shared" ref="J51:J52" si="63">+$T51/4</f>
        <v>0</v>
      </c>
      <c r="K51" s="24">
        <f t="shared" si="61"/>
        <v>0</v>
      </c>
      <c r="L51" s="24">
        <f t="shared" si="61"/>
        <v>0</v>
      </c>
      <c r="M51" s="24">
        <f t="shared" si="61"/>
        <v>0</v>
      </c>
      <c r="N51" s="329">
        <f t="shared" ref="N51:N52" si="64">+$T51/4</f>
        <v>0</v>
      </c>
      <c r="O51" s="24">
        <f t="shared" si="61"/>
        <v>0</v>
      </c>
      <c r="P51" s="24">
        <f t="shared" si="61"/>
        <v>0</v>
      </c>
      <c r="Q51" s="24">
        <f t="shared" si="61"/>
        <v>0</v>
      </c>
      <c r="R51" s="329">
        <f t="shared" ref="R51:R52" si="65">+$T51/4</f>
        <v>0</v>
      </c>
      <c r="T51" s="331">
        <v>0</v>
      </c>
    </row>
    <row r="52" spans="1:20" ht="22">
      <c r="A52" t="s">
        <v>266</v>
      </c>
      <c r="C52" s="315">
        <f t="shared" si="61"/>
        <v>100000</v>
      </c>
      <c r="D52" s="315">
        <f t="shared" si="61"/>
        <v>100000</v>
      </c>
      <c r="E52" s="315">
        <f t="shared" si="61"/>
        <v>100000</v>
      </c>
      <c r="F52" s="330">
        <f t="shared" si="62"/>
        <v>300000</v>
      </c>
      <c r="G52" s="315">
        <f t="shared" si="61"/>
        <v>100000</v>
      </c>
      <c r="H52" s="315">
        <f t="shared" si="61"/>
        <v>100000</v>
      </c>
      <c r="I52" s="315">
        <f t="shared" si="61"/>
        <v>100000</v>
      </c>
      <c r="J52" s="330">
        <f t="shared" si="63"/>
        <v>300000</v>
      </c>
      <c r="K52" s="315">
        <f t="shared" si="61"/>
        <v>100000</v>
      </c>
      <c r="L52" s="315">
        <f t="shared" si="61"/>
        <v>100000</v>
      </c>
      <c r="M52" s="315">
        <f t="shared" si="61"/>
        <v>100000</v>
      </c>
      <c r="N52" s="330">
        <f t="shared" si="64"/>
        <v>300000</v>
      </c>
      <c r="O52" s="315">
        <f t="shared" si="61"/>
        <v>100000</v>
      </c>
      <c r="P52" s="315">
        <f t="shared" si="61"/>
        <v>100000</v>
      </c>
      <c r="Q52" s="315">
        <f t="shared" si="61"/>
        <v>100000</v>
      </c>
      <c r="R52" s="330">
        <f t="shared" si="65"/>
        <v>300000</v>
      </c>
      <c r="S52" s="341"/>
      <c r="T52" s="332">
        <f>6000000/5</f>
        <v>1200000</v>
      </c>
    </row>
    <row r="53" spans="1:20" ht="19">
      <c r="C53" s="24"/>
      <c r="G53" s="24"/>
      <c r="K53" s="24"/>
      <c r="O53" s="24"/>
      <c r="T53" s="233"/>
    </row>
    <row r="54" spans="1:20" ht="19">
      <c r="A54" s="325" t="s">
        <v>268</v>
      </c>
      <c r="B54" s="325"/>
      <c r="C54" s="336">
        <f>+C49-C51-C52</f>
        <v>-985419.30093934992</v>
      </c>
      <c r="D54" s="336">
        <f t="shared" ref="D54:E54" si="66">+D49-D51-D52</f>
        <v>-795691.12161806086</v>
      </c>
      <c r="E54" s="336">
        <f t="shared" si="66"/>
        <v>-534814.8750512884</v>
      </c>
      <c r="F54" s="338">
        <f>+F49-F51-F52</f>
        <v>-2315925.2976086992</v>
      </c>
      <c r="G54" s="336">
        <f>+G49-G51-G52</f>
        <v>-176110.03602197627</v>
      </c>
      <c r="H54" s="336">
        <f t="shared" ref="H54:I54" si="67">+H49-H51-H52</f>
        <v>317109.11764332792</v>
      </c>
      <c r="I54" s="336">
        <f t="shared" si="67"/>
        <v>995285.45393312117</v>
      </c>
      <c r="J54" s="338">
        <f>+J49-J51-J52</f>
        <v>1136284.5355544728</v>
      </c>
      <c r="K54" s="336">
        <f>+K49-K51-K52</f>
        <v>1927777.9163315869</v>
      </c>
      <c r="L54" s="336">
        <f t="shared" ref="L54:M54" si="68">+L49-L51-L52</f>
        <v>2568866.4842305309</v>
      </c>
      <c r="M54" s="336">
        <f t="shared" si="68"/>
        <v>3330159.1586105279</v>
      </c>
      <c r="N54" s="338">
        <f>+N49-N51-N52</f>
        <v>7826803.559172634</v>
      </c>
      <c r="O54" s="336">
        <f>+O49-O51-O52</f>
        <v>5138229.2602630276</v>
      </c>
      <c r="P54" s="336">
        <f t="shared" ref="P54:Q54" si="69">+P49-P51-P52</f>
        <v>6381277.455149116</v>
      </c>
      <c r="Q54" s="336">
        <f t="shared" si="69"/>
        <v>7857397.1865763459</v>
      </c>
      <c r="R54" s="338">
        <f>+R49-R51-R52</f>
        <v>19376903.901988488</v>
      </c>
      <c r="T54" s="328">
        <f>+T49-T51-T52</f>
        <v>5527880.0097320676</v>
      </c>
    </row>
    <row r="55" spans="1:20" ht="19">
      <c r="C55" s="24"/>
      <c r="G55" s="24"/>
      <c r="K55" s="24"/>
      <c r="O55" s="24"/>
      <c r="T55" s="233"/>
    </row>
    <row r="56" spans="1:20" ht="22">
      <c r="A56" t="s">
        <v>269</v>
      </c>
      <c r="C56" s="315">
        <v>0</v>
      </c>
      <c r="D56" s="315">
        <v>0</v>
      </c>
      <c r="E56" s="315">
        <v>0</v>
      </c>
      <c r="F56" s="330">
        <v>0</v>
      </c>
      <c r="G56" s="315">
        <v>0</v>
      </c>
      <c r="H56" s="315">
        <v>0</v>
      </c>
      <c r="I56" s="315">
        <v>0</v>
      </c>
      <c r="J56" s="330">
        <f>+H56+I56</f>
        <v>0</v>
      </c>
      <c r="K56" s="315">
        <v>0</v>
      </c>
      <c r="L56" s="315">
        <v>0</v>
      </c>
      <c r="M56" s="315">
        <v>0</v>
      </c>
      <c r="N56" s="330">
        <v>0</v>
      </c>
      <c r="O56" s="315">
        <f>+R56/3</f>
        <v>281292.31666666665</v>
      </c>
      <c r="P56" s="315">
        <f>+R56/3</f>
        <v>281292.31666666665</v>
      </c>
      <c r="Q56" s="315">
        <f>+R56/3</f>
        <v>281292.31666666665</v>
      </c>
      <c r="R56" s="330">
        <f>+T56</f>
        <v>843876.95</v>
      </c>
      <c r="S56" s="341"/>
      <c r="T56" s="332">
        <f>2411077*0.35</f>
        <v>843876.95</v>
      </c>
    </row>
    <row r="57" spans="1:20" ht="19">
      <c r="C57" s="24"/>
      <c r="G57" s="24"/>
      <c r="K57" s="24"/>
      <c r="O57" s="24"/>
      <c r="T57" s="233"/>
    </row>
    <row r="58" spans="1:20" ht="22">
      <c r="A58" s="325" t="s">
        <v>270</v>
      </c>
      <c r="B58" s="325"/>
      <c r="C58" s="337">
        <f>+C54-C56</f>
        <v>-985419.30093934992</v>
      </c>
      <c r="D58" s="337">
        <f t="shared" ref="D58:E58" si="70">+D54-D56</f>
        <v>-795691.12161806086</v>
      </c>
      <c r="E58" s="337">
        <f t="shared" si="70"/>
        <v>-534814.8750512884</v>
      </c>
      <c r="F58" s="339">
        <f>+F54-F56</f>
        <v>-2315925.2976086992</v>
      </c>
      <c r="G58" s="337">
        <f>+G54-G56</f>
        <v>-176110.03602197627</v>
      </c>
      <c r="H58" s="337">
        <f t="shared" ref="H58:I58" si="71">+H54-H56</f>
        <v>317109.11764332792</v>
      </c>
      <c r="I58" s="337">
        <f t="shared" si="71"/>
        <v>995285.45393312117</v>
      </c>
      <c r="J58" s="339">
        <f>+J54-J56</f>
        <v>1136284.5355544728</v>
      </c>
      <c r="K58" s="337">
        <f>+K54-K56</f>
        <v>1927777.9163315869</v>
      </c>
      <c r="L58" s="337">
        <f t="shared" ref="L58:M58" si="72">+L54-L56</f>
        <v>2568866.4842305309</v>
      </c>
      <c r="M58" s="337">
        <f t="shared" si="72"/>
        <v>3330159.1586105279</v>
      </c>
      <c r="N58" s="339">
        <f>+N54-N56</f>
        <v>7826803.559172634</v>
      </c>
      <c r="O58" s="337">
        <f>+O54-O56</f>
        <v>4856936.9435963612</v>
      </c>
      <c r="P58" s="337">
        <f t="shared" ref="P58:Q58" si="73">+P54-P56</f>
        <v>6099985.1384824496</v>
      </c>
      <c r="Q58" s="337">
        <f t="shared" si="73"/>
        <v>7576104.8699096795</v>
      </c>
      <c r="R58" s="339">
        <f>+R54-R56</f>
        <v>18533026.951988488</v>
      </c>
      <c r="S58" s="342"/>
      <c r="T58" s="340">
        <f>+T54-T56</f>
        <v>4684003.0597320674</v>
      </c>
    </row>
    <row r="60" spans="1:20">
      <c r="K60" s="54"/>
    </row>
    <row r="61" spans="1:20">
      <c r="T61" s="54"/>
    </row>
    <row r="64" spans="1:20" ht="16" thickBot="1"/>
    <row r="65" spans="1:20" ht="20" thickBot="1">
      <c r="A65" s="284" t="s">
        <v>117</v>
      </c>
      <c r="B65" s="262"/>
      <c r="C65" s="258">
        <v>45474</v>
      </c>
      <c r="D65" s="259">
        <v>45505</v>
      </c>
      <c r="E65" s="258">
        <v>45536</v>
      </c>
      <c r="F65" s="243" t="s">
        <v>127</v>
      </c>
      <c r="G65" s="258">
        <v>45566</v>
      </c>
      <c r="H65" s="258">
        <v>45597</v>
      </c>
      <c r="I65" s="258">
        <v>45627</v>
      </c>
      <c r="J65" s="243" t="s">
        <v>128</v>
      </c>
      <c r="K65" s="258">
        <v>45658</v>
      </c>
      <c r="L65" s="258">
        <v>45689</v>
      </c>
      <c r="M65" s="258">
        <v>45717</v>
      </c>
      <c r="N65" s="243" t="s">
        <v>129</v>
      </c>
      <c r="O65" s="258">
        <v>45748</v>
      </c>
      <c r="P65" s="258">
        <v>45778</v>
      </c>
      <c r="Q65" s="258">
        <v>45809</v>
      </c>
      <c r="R65" s="243" t="s">
        <v>130</v>
      </c>
      <c r="S65" s="388" t="s">
        <v>124</v>
      </c>
      <c r="T65" s="389"/>
    </row>
    <row r="66" spans="1:20" ht="20" thickBot="1">
      <c r="A66" s="266" t="s">
        <v>139</v>
      </c>
      <c r="B66" s="160"/>
      <c r="C66" s="267">
        <f>+'Moderate Revenue Model (MRV)'!C39</f>
        <v>74011003.200726464</v>
      </c>
      <c r="D66" s="267">
        <f>+'Moderate Revenue Model (MRV)'!D39</f>
        <v>87888066.30086267</v>
      </c>
      <c r="E66" s="267">
        <f>+'Moderate Revenue Model (MRV)'!E39</f>
        <v>104367078.73227441</v>
      </c>
      <c r="F66" s="268">
        <f>SUM(C66:E66)</f>
        <v>266266148.23386353</v>
      </c>
      <c r="G66" s="267">
        <f>+'Moderate Revenue Model (MRV)'!G39</f>
        <v>123935905.99457587</v>
      </c>
      <c r="H66" s="267">
        <f>+'Moderate Revenue Model (MRV)'!H39</f>
        <v>147173888.36855885</v>
      </c>
      <c r="I66" s="267">
        <f>+'Moderate Revenue Model (MRV)'!I39</f>
        <v>174768992.43766364</v>
      </c>
      <c r="J66" s="268">
        <f>SUM(G66:I66)</f>
        <v>445878786.80079842</v>
      </c>
      <c r="K66" s="267">
        <f>+'Moderate Revenue Model (MRV)'!K39</f>
        <v>207538178.51972556</v>
      </c>
      <c r="L66" s="267">
        <f>+'Moderate Revenue Model (MRV)'!L39</f>
        <v>246451586.99217412</v>
      </c>
      <c r="M66" s="267">
        <f>+'Moderate Revenue Model (MRV)'!M39</f>
        <v>292661259.5532068</v>
      </c>
      <c r="N66" s="269">
        <f>SUM(K66:M66)</f>
        <v>746651025.06510651</v>
      </c>
      <c r="O66" s="267">
        <f>+'Moderate Revenue Model (MRV)'!O39</f>
        <v>347535245.71943307</v>
      </c>
      <c r="P66" s="267">
        <f>+'Moderate Revenue Model (MRV)'!P39</f>
        <v>412698104.29182673</v>
      </c>
      <c r="Q66" s="267">
        <f>+'Moderate Revenue Model (MRV)'!Q39</f>
        <v>490078998.84654427</v>
      </c>
      <c r="R66" s="269">
        <f>SUM(O66:Q66)</f>
        <v>1250312348.8578041</v>
      </c>
      <c r="S66" s="333"/>
      <c r="T66" s="271">
        <f>SUM(R66+N66+J66+F66)</f>
        <v>2709108308.9575725</v>
      </c>
    </row>
    <row r="67" spans="1:20" ht="19">
      <c r="A67" s="272" t="s">
        <v>110</v>
      </c>
      <c r="B67" s="2"/>
      <c r="C67" s="267">
        <f>+'Moderate Revenue Model (MRV)'!C40</f>
        <v>62909352.720617488</v>
      </c>
      <c r="D67" s="267">
        <f>+'Moderate Revenue Model (MRV)'!D40</f>
        <v>74704856.355733275</v>
      </c>
      <c r="E67" s="267">
        <f>+'Moderate Revenue Model (MRV)'!E40</f>
        <v>88712016.922433257</v>
      </c>
      <c r="F67" s="254">
        <f>SUM(C67:E67)</f>
        <v>226326225.99878401</v>
      </c>
      <c r="G67" s="267">
        <f>+'Moderate Revenue Model (MRV)'!G40</f>
        <v>105345520.09538949</v>
      </c>
      <c r="H67" s="267">
        <f>+'Moderate Revenue Model (MRV)'!H40</f>
        <v>125097805.11327502</v>
      </c>
      <c r="I67" s="267">
        <f>+'Moderate Revenue Model (MRV)'!I40</f>
        <v>148553643.57201409</v>
      </c>
      <c r="J67" s="254">
        <f>SUM(G67:I67)</f>
        <v>378996968.78067863</v>
      </c>
      <c r="K67" s="267">
        <f>+'Moderate Revenue Model (MRV)'!K40</f>
        <v>176407451.74176672</v>
      </c>
      <c r="L67" s="267">
        <f>+'Moderate Revenue Model (MRV)'!L40</f>
        <v>209483848.94334799</v>
      </c>
      <c r="M67" s="267">
        <f>+'Moderate Revenue Model (MRV)'!M40</f>
        <v>248762070.62022579</v>
      </c>
      <c r="N67" s="242">
        <f>SUM(K67:M67)</f>
        <v>634653371.30534053</v>
      </c>
      <c r="O67" s="267">
        <f>+'Moderate Revenue Model (MRV)'!O40</f>
        <v>295404958.86151809</v>
      </c>
      <c r="P67" s="267">
        <f>+'Moderate Revenue Model (MRV)'!P40</f>
        <v>350793388.64805269</v>
      </c>
      <c r="Q67" s="267">
        <f>+'Moderate Revenue Model (MRV)'!Q40</f>
        <v>416567149.0195626</v>
      </c>
      <c r="R67" s="242">
        <f>SUM(O67:Q67)</f>
        <v>1062765496.5291334</v>
      </c>
      <c r="S67" s="334"/>
      <c r="T67" s="244">
        <f>SUM(R67+N67+J67+F67)</f>
        <v>2302742062.6139369</v>
      </c>
    </row>
    <row r="68" spans="1:20" ht="20" thickBot="1">
      <c r="A68" s="273" t="s">
        <v>140</v>
      </c>
      <c r="B68" s="274"/>
      <c r="C68" s="264">
        <f>+C66-C67</f>
        <v>11101650.480108976</v>
      </c>
      <c r="D68" s="264">
        <f t="shared" ref="D68:E68" si="74">+D66-D67</f>
        <v>13183209.945129395</v>
      </c>
      <c r="E68" s="264">
        <f t="shared" si="74"/>
        <v>15655061.809841156</v>
      </c>
      <c r="F68" s="305">
        <f>+F66-F67</f>
        <v>39939922.235079527</v>
      </c>
      <c r="G68" s="264">
        <f t="shared" ref="G68:I68" si="75">+G66-G67</f>
        <v>18590385.899186388</v>
      </c>
      <c r="H68" s="264">
        <f t="shared" si="75"/>
        <v>22076083.255283833</v>
      </c>
      <c r="I68" s="264">
        <f t="shared" si="75"/>
        <v>26215348.865649551</v>
      </c>
      <c r="J68" s="305">
        <f>+J66-J67</f>
        <v>66881818.020119786</v>
      </c>
      <c r="K68" s="264">
        <f t="shared" ref="K68:M68" si="76">+K66-K67</f>
        <v>31130726.77795884</v>
      </c>
      <c r="L68" s="264">
        <f t="shared" si="76"/>
        <v>36967738.048826128</v>
      </c>
      <c r="M68" s="264">
        <f t="shared" si="76"/>
        <v>43899188.932981014</v>
      </c>
      <c r="N68" s="306">
        <f>+N66-N67</f>
        <v>111997653.75976598</v>
      </c>
      <c r="O68" s="264">
        <f t="shared" ref="O68:Q68" si="77">+O66-O67</f>
        <v>52130286.857914984</v>
      </c>
      <c r="P68" s="264">
        <f t="shared" si="77"/>
        <v>61904715.643774033</v>
      </c>
      <c r="Q68" s="264">
        <f t="shared" si="77"/>
        <v>73511849.826981664</v>
      </c>
      <c r="R68" s="306">
        <f>SUM(O68:Q68)</f>
        <v>187546852.32867068</v>
      </c>
      <c r="S68" s="335"/>
      <c r="T68" s="307">
        <f>SUM(R68+N68+J68+F68)</f>
        <v>406366246.34363598</v>
      </c>
    </row>
    <row r="70" spans="1:20" ht="19">
      <c r="A70" t="s">
        <v>258</v>
      </c>
      <c r="C70" s="24">
        <f t="shared" ref="C70:E76" si="78">+$R70/3</f>
        <v>15803131.802252509</v>
      </c>
      <c r="D70" s="24">
        <f t="shared" si="78"/>
        <v>15803131.802252509</v>
      </c>
      <c r="E70" s="24">
        <f>+$R70/3</f>
        <v>15803131.802252509</v>
      </c>
      <c r="F70" s="329">
        <f>+$T70/4</f>
        <v>47409395.406757526</v>
      </c>
      <c r="G70" s="24">
        <f t="shared" ref="G70:I76" si="79">+$R70/3</f>
        <v>15803131.802252509</v>
      </c>
      <c r="H70" s="24">
        <f t="shared" si="79"/>
        <v>15803131.802252509</v>
      </c>
      <c r="I70" s="24">
        <f>+$R70/3</f>
        <v>15803131.802252509</v>
      </c>
      <c r="J70" s="329">
        <f>+$T70/4</f>
        <v>47409395.406757526</v>
      </c>
      <c r="K70" s="24">
        <f t="shared" ref="K70:M76" si="80">+$R70/3</f>
        <v>15803131.802252509</v>
      </c>
      <c r="L70" s="24">
        <f t="shared" si="80"/>
        <v>15803131.802252509</v>
      </c>
      <c r="M70" s="24">
        <f>+$R70/3</f>
        <v>15803131.802252509</v>
      </c>
      <c r="N70" s="329">
        <f>+$T70/4</f>
        <v>47409395.406757526</v>
      </c>
      <c r="O70" s="24">
        <f t="shared" ref="O70:Q76" si="81">+$R70/3</f>
        <v>15803131.802252509</v>
      </c>
      <c r="P70" s="24">
        <f t="shared" si="81"/>
        <v>15803131.802252509</v>
      </c>
      <c r="Q70" s="24">
        <f>+$R70/3</f>
        <v>15803131.802252509</v>
      </c>
      <c r="R70" s="329">
        <f>+$T70/4</f>
        <v>47409395.406757526</v>
      </c>
      <c r="T70" s="331">
        <f>SUM('All Other Expenses Detail'!F34:F37)</f>
        <v>189637581.6270301</v>
      </c>
    </row>
    <row r="71" spans="1:20" ht="19">
      <c r="A71" t="s">
        <v>259</v>
      </c>
      <c r="C71" s="24">
        <f t="shared" si="78"/>
        <v>36817.5</v>
      </c>
      <c r="D71" s="24">
        <f t="shared" si="78"/>
        <v>36817.5</v>
      </c>
      <c r="E71" s="24">
        <f>+$R71/3</f>
        <v>36817.5</v>
      </c>
      <c r="F71" s="329">
        <f>+$T71/4</f>
        <v>110452.5</v>
      </c>
      <c r="G71" s="24">
        <f t="shared" si="79"/>
        <v>36817.5</v>
      </c>
      <c r="H71" s="24">
        <f t="shared" si="79"/>
        <v>36817.5</v>
      </c>
      <c r="I71" s="24">
        <f>+$R71/3</f>
        <v>36817.5</v>
      </c>
      <c r="J71" s="329">
        <f>+$T71/4</f>
        <v>110452.5</v>
      </c>
      <c r="K71" s="24">
        <f t="shared" si="80"/>
        <v>36817.5</v>
      </c>
      <c r="L71" s="24">
        <f t="shared" si="80"/>
        <v>36817.5</v>
      </c>
      <c r="M71" s="24">
        <f>+$R71/3</f>
        <v>36817.5</v>
      </c>
      <c r="N71" s="329">
        <f>+$T71/4</f>
        <v>110452.5</v>
      </c>
      <c r="O71" s="24">
        <f t="shared" si="81"/>
        <v>36817.5</v>
      </c>
      <c r="P71" s="24">
        <f t="shared" si="81"/>
        <v>36817.5</v>
      </c>
      <c r="Q71" s="24">
        <f>+$R71/3</f>
        <v>36817.5</v>
      </c>
      <c r="R71" s="329">
        <f>+$T71/4</f>
        <v>110452.5</v>
      </c>
      <c r="T71" s="331">
        <f>SUM('All Other Expenses Detail'!F40:F52)</f>
        <v>441810</v>
      </c>
    </row>
    <row r="72" spans="1:20" ht="19">
      <c r="A72" t="s">
        <v>260</v>
      </c>
      <c r="C72" s="24">
        <f t="shared" si="78"/>
        <v>13795.833333333334</v>
      </c>
      <c r="D72" s="24">
        <f t="shared" si="78"/>
        <v>13795.833333333334</v>
      </c>
      <c r="E72" s="24">
        <f t="shared" si="78"/>
        <v>13795.833333333334</v>
      </c>
      <c r="F72" s="329">
        <f t="shared" ref="F72:F76" si="82">+$T72/4</f>
        <v>41387.5</v>
      </c>
      <c r="G72" s="24">
        <f t="shared" si="79"/>
        <v>13795.833333333334</v>
      </c>
      <c r="H72" s="24">
        <f t="shared" si="79"/>
        <v>13795.833333333334</v>
      </c>
      <c r="I72" s="24">
        <f t="shared" si="79"/>
        <v>13795.833333333334</v>
      </c>
      <c r="J72" s="329">
        <f t="shared" ref="J72:J76" si="83">+$T72/4</f>
        <v>41387.5</v>
      </c>
      <c r="K72" s="24">
        <f t="shared" si="80"/>
        <v>13795.833333333334</v>
      </c>
      <c r="L72" s="24">
        <f t="shared" si="80"/>
        <v>13795.833333333334</v>
      </c>
      <c r="M72" s="24">
        <f t="shared" si="80"/>
        <v>13795.833333333334</v>
      </c>
      <c r="N72" s="329">
        <f t="shared" ref="N72:N76" si="84">+$T72/4</f>
        <v>41387.5</v>
      </c>
      <c r="O72" s="24">
        <f t="shared" si="81"/>
        <v>13795.833333333334</v>
      </c>
      <c r="P72" s="24">
        <f t="shared" si="81"/>
        <v>13795.833333333334</v>
      </c>
      <c r="Q72" s="24">
        <f t="shared" si="81"/>
        <v>13795.833333333334</v>
      </c>
      <c r="R72" s="329">
        <f t="shared" ref="R72:R76" si="85">+$T72/4</f>
        <v>41387.5</v>
      </c>
      <c r="T72" s="331">
        <f>SUM('All Other Expenses Detail'!F54:F60)</f>
        <v>165550</v>
      </c>
    </row>
    <row r="73" spans="1:20" ht="19">
      <c r="A73" t="s">
        <v>225</v>
      </c>
      <c r="C73" s="24">
        <f t="shared" si="78"/>
        <v>113080</v>
      </c>
      <c r="D73" s="24">
        <f t="shared" si="78"/>
        <v>113080</v>
      </c>
      <c r="E73" s="24">
        <f t="shared" si="78"/>
        <v>113080</v>
      </c>
      <c r="F73" s="329">
        <f t="shared" si="82"/>
        <v>339240</v>
      </c>
      <c r="G73" s="24">
        <f t="shared" si="79"/>
        <v>113080</v>
      </c>
      <c r="H73" s="24">
        <f t="shared" si="79"/>
        <v>113080</v>
      </c>
      <c r="I73" s="24">
        <f t="shared" si="79"/>
        <v>113080</v>
      </c>
      <c r="J73" s="329">
        <f t="shared" si="83"/>
        <v>339240</v>
      </c>
      <c r="K73" s="24">
        <f t="shared" si="80"/>
        <v>113080</v>
      </c>
      <c r="L73" s="24">
        <f t="shared" si="80"/>
        <v>113080</v>
      </c>
      <c r="M73" s="24">
        <f t="shared" si="80"/>
        <v>113080</v>
      </c>
      <c r="N73" s="329">
        <f t="shared" si="84"/>
        <v>339240</v>
      </c>
      <c r="O73" s="24">
        <f t="shared" si="81"/>
        <v>113080</v>
      </c>
      <c r="P73" s="24">
        <f t="shared" si="81"/>
        <v>113080</v>
      </c>
      <c r="Q73" s="24">
        <f t="shared" si="81"/>
        <v>113080</v>
      </c>
      <c r="R73" s="329">
        <f t="shared" si="85"/>
        <v>339240</v>
      </c>
      <c r="T73" s="331">
        <f>SUM('All Other Expenses Detail'!F62:F64)</f>
        <v>1356960</v>
      </c>
    </row>
    <row r="74" spans="1:20" ht="19">
      <c r="A74" t="s">
        <v>261</v>
      </c>
      <c r="C74" s="24">
        <f t="shared" si="78"/>
        <v>11289051.28732322</v>
      </c>
      <c r="D74" s="24">
        <f t="shared" si="78"/>
        <v>11289051.28732322</v>
      </c>
      <c r="E74" s="24">
        <f t="shared" si="78"/>
        <v>11289051.28732322</v>
      </c>
      <c r="F74" s="329">
        <f t="shared" si="82"/>
        <v>33867153.861969657</v>
      </c>
      <c r="G74" s="24">
        <f t="shared" si="79"/>
        <v>11289051.28732322</v>
      </c>
      <c r="H74" s="24">
        <f t="shared" si="79"/>
        <v>11289051.28732322</v>
      </c>
      <c r="I74" s="24">
        <f t="shared" si="79"/>
        <v>11289051.28732322</v>
      </c>
      <c r="J74" s="329">
        <f t="shared" si="83"/>
        <v>33867153.861969657</v>
      </c>
      <c r="K74" s="24">
        <f t="shared" si="80"/>
        <v>11289051.28732322</v>
      </c>
      <c r="L74" s="24">
        <f t="shared" si="80"/>
        <v>11289051.28732322</v>
      </c>
      <c r="M74" s="24">
        <f t="shared" si="80"/>
        <v>11289051.28732322</v>
      </c>
      <c r="N74" s="329">
        <f t="shared" si="84"/>
        <v>33867153.861969657</v>
      </c>
      <c r="O74" s="24">
        <f t="shared" si="81"/>
        <v>11289051.28732322</v>
      </c>
      <c r="P74" s="24">
        <f t="shared" si="81"/>
        <v>11289051.28732322</v>
      </c>
      <c r="Q74" s="24">
        <f t="shared" si="81"/>
        <v>11289051.28732322</v>
      </c>
      <c r="R74" s="329">
        <f t="shared" si="85"/>
        <v>33867153.861969657</v>
      </c>
      <c r="T74" s="331">
        <f>SUM('All Other Expenses Detail'!F66:F67)</f>
        <v>135468615.44787863</v>
      </c>
    </row>
    <row r="75" spans="1:20" ht="19">
      <c r="A75" t="s">
        <v>262</v>
      </c>
      <c r="C75" s="24">
        <f t="shared" si="78"/>
        <v>31583.333333333332</v>
      </c>
      <c r="D75" s="24">
        <f t="shared" si="78"/>
        <v>31583.333333333332</v>
      </c>
      <c r="E75" s="24">
        <f t="shared" si="78"/>
        <v>31583.333333333332</v>
      </c>
      <c r="F75" s="329">
        <f t="shared" si="82"/>
        <v>94750</v>
      </c>
      <c r="G75" s="24">
        <f t="shared" si="79"/>
        <v>31583.333333333332</v>
      </c>
      <c r="H75" s="24">
        <f t="shared" si="79"/>
        <v>31583.333333333332</v>
      </c>
      <c r="I75" s="24">
        <f t="shared" si="79"/>
        <v>31583.333333333332</v>
      </c>
      <c r="J75" s="329">
        <f t="shared" si="83"/>
        <v>94750</v>
      </c>
      <c r="K75" s="24">
        <f t="shared" si="80"/>
        <v>31583.333333333332</v>
      </c>
      <c r="L75" s="24">
        <f t="shared" si="80"/>
        <v>31583.333333333332</v>
      </c>
      <c r="M75" s="24">
        <f t="shared" si="80"/>
        <v>31583.333333333332</v>
      </c>
      <c r="N75" s="329">
        <f t="shared" si="84"/>
        <v>94750</v>
      </c>
      <c r="O75" s="24">
        <f t="shared" si="81"/>
        <v>31583.333333333332</v>
      </c>
      <c r="P75" s="24">
        <f t="shared" si="81"/>
        <v>31583.333333333332</v>
      </c>
      <c r="Q75" s="24">
        <f t="shared" si="81"/>
        <v>31583.333333333332</v>
      </c>
      <c r="R75" s="329">
        <f t="shared" si="85"/>
        <v>94750</v>
      </c>
      <c r="T75" s="331">
        <f>SUM('All Other Expenses Detail'!F69:F72)</f>
        <v>379000</v>
      </c>
    </row>
    <row r="76" spans="1:20" ht="22">
      <c r="A76" t="s">
        <v>263</v>
      </c>
      <c r="C76" s="315">
        <f t="shared" si="78"/>
        <v>1000</v>
      </c>
      <c r="D76" s="315">
        <f t="shared" si="78"/>
        <v>1000</v>
      </c>
      <c r="E76" s="315">
        <f t="shared" si="78"/>
        <v>1000</v>
      </c>
      <c r="F76" s="330">
        <f t="shared" si="82"/>
        <v>3000</v>
      </c>
      <c r="G76" s="315">
        <f t="shared" si="79"/>
        <v>1000</v>
      </c>
      <c r="H76" s="315">
        <f t="shared" si="79"/>
        <v>1000</v>
      </c>
      <c r="I76" s="315">
        <f t="shared" si="79"/>
        <v>1000</v>
      </c>
      <c r="J76" s="330">
        <f t="shared" si="83"/>
        <v>3000</v>
      </c>
      <c r="K76" s="315">
        <f t="shared" si="80"/>
        <v>1000</v>
      </c>
      <c r="L76" s="315">
        <f t="shared" si="80"/>
        <v>1000</v>
      </c>
      <c r="M76" s="315">
        <f t="shared" si="80"/>
        <v>1000</v>
      </c>
      <c r="N76" s="330">
        <f t="shared" si="84"/>
        <v>3000</v>
      </c>
      <c r="O76" s="315">
        <f t="shared" si="81"/>
        <v>1000</v>
      </c>
      <c r="P76" s="315">
        <f t="shared" si="81"/>
        <v>1000</v>
      </c>
      <c r="Q76" s="315">
        <f t="shared" si="81"/>
        <v>1000</v>
      </c>
      <c r="R76" s="330">
        <f t="shared" si="85"/>
        <v>3000</v>
      </c>
      <c r="T76" s="332">
        <f>SUM('All Other Expenses Detail'!F74)</f>
        <v>12000</v>
      </c>
    </row>
    <row r="77" spans="1:20" ht="19">
      <c r="A77" s="325" t="s">
        <v>264</v>
      </c>
      <c r="B77" s="325"/>
      <c r="C77" s="326">
        <f t="shared" ref="C77" si="86">SUM(C71:C76)</f>
        <v>11485327.953989888</v>
      </c>
      <c r="D77" s="326">
        <f t="shared" ref="D77" si="87">SUM(D71:D76)</f>
        <v>11485327.953989888</v>
      </c>
      <c r="E77" s="326">
        <f>SUM(E71:E76)</f>
        <v>11485327.953989888</v>
      </c>
      <c r="F77" s="327">
        <f>SUM(F71:F76)</f>
        <v>34455983.861969657</v>
      </c>
      <c r="G77" s="326">
        <f t="shared" ref="G77" si="88">SUM(G71:G76)</f>
        <v>11485327.953989888</v>
      </c>
      <c r="H77" s="326">
        <f t="shared" ref="H77" si="89">SUM(H71:H76)</f>
        <v>11485327.953989888</v>
      </c>
      <c r="I77" s="326">
        <f>SUM(I71:I76)</f>
        <v>11485327.953989888</v>
      </c>
      <c r="J77" s="327">
        <f>SUM(J71:J76)</f>
        <v>34455983.861969657</v>
      </c>
      <c r="K77" s="326">
        <f t="shared" ref="K77" si="90">SUM(K71:K76)</f>
        <v>11485327.953989888</v>
      </c>
      <c r="L77" s="326">
        <f t="shared" ref="L77" si="91">SUM(L71:L76)</f>
        <v>11485327.953989888</v>
      </c>
      <c r="M77" s="326">
        <f>SUM(M71:M76)</f>
        <v>11485327.953989888</v>
      </c>
      <c r="N77" s="327">
        <f>SUM(N71:N76)</f>
        <v>34455983.861969657</v>
      </c>
      <c r="O77" s="326">
        <f t="shared" ref="O77:P77" si="92">SUM(O71:O76)</f>
        <v>11485327.953989888</v>
      </c>
      <c r="P77" s="326">
        <f t="shared" si="92"/>
        <v>11485327.953989888</v>
      </c>
      <c r="Q77" s="326">
        <f>SUM(Q71:Q76)</f>
        <v>11485327.953989888</v>
      </c>
      <c r="R77" s="327">
        <f>SUM(R71:R76)</f>
        <v>34455983.861969657</v>
      </c>
      <c r="T77" s="328">
        <f>SUM(T70:T76)</f>
        <v>327461517.07490873</v>
      </c>
    </row>
    <row r="78" spans="1:20" ht="19">
      <c r="C78" s="24"/>
      <c r="T78" s="233"/>
    </row>
    <row r="79" spans="1:20" ht="19">
      <c r="A79" s="325" t="s">
        <v>265</v>
      </c>
      <c r="B79" s="325"/>
      <c r="C79" s="336">
        <f>+C68-C77</f>
        <v>-383677.47388091125</v>
      </c>
      <c r="D79" s="336">
        <f t="shared" ref="D79:T79" si="93">+D68-D77</f>
        <v>1697881.9911395069</v>
      </c>
      <c r="E79" s="336">
        <f t="shared" si="93"/>
        <v>4169733.8558512684</v>
      </c>
      <c r="F79" s="338">
        <f t="shared" si="93"/>
        <v>5483938.3731098697</v>
      </c>
      <c r="G79" s="336">
        <f t="shared" si="93"/>
        <v>7105057.9451965</v>
      </c>
      <c r="H79" s="336">
        <f t="shared" si="93"/>
        <v>10590755.301293945</v>
      </c>
      <c r="I79" s="336">
        <f t="shared" si="93"/>
        <v>14730020.911659664</v>
      </c>
      <c r="J79" s="338">
        <f t="shared" si="93"/>
        <v>32425834.158150129</v>
      </c>
      <c r="K79" s="336">
        <f t="shared" si="93"/>
        <v>19645398.823968954</v>
      </c>
      <c r="L79" s="336">
        <f t="shared" si="93"/>
        <v>25482410.094836242</v>
      </c>
      <c r="M79" s="336">
        <f t="shared" si="93"/>
        <v>32413860.978991129</v>
      </c>
      <c r="N79" s="338">
        <f t="shared" si="93"/>
        <v>77541669.897796333</v>
      </c>
      <c r="O79" s="336">
        <f t="shared" si="93"/>
        <v>40644958.903925098</v>
      </c>
      <c r="P79" s="336">
        <f t="shared" si="93"/>
        <v>50419387.689784147</v>
      </c>
      <c r="Q79" s="336">
        <f t="shared" si="93"/>
        <v>62026521.872991778</v>
      </c>
      <c r="R79" s="338">
        <f t="shared" si="93"/>
        <v>153090868.46670103</v>
      </c>
      <c r="S79" s="304"/>
      <c r="T79" s="328">
        <f t="shared" si="93"/>
        <v>78904729.268727243</v>
      </c>
    </row>
    <row r="80" spans="1:20" ht="19">
      <c r="C80" s="24"/>
      <c r="T80" s="233"/>
    </row>
    <row r="81" spans="1:20" ht="19">
      <c r="A81" t="s">
        <v>267</v>
      </c>
      <c r="C81" s="24">
        <f t="shared" ref="C81:Q82" si="94">+$R81/3</f>
        <v>0</v>
      </c>
      <c r="D81" s="24">
        <f t="shared" si="94"/>
        <v>0</v>
      </c>
      <c r="E81" s="24">
        <f t="shared" si="94"/>
        <v>0</v>
      </c>
      <c r="F81" s="329">
        <f t="shared" ref="F81:F82" si="95">+$T81/4</f>
        <v>0</v>
      </c>
      <c r="G81" s="24">
        <f t="shared" si="94"/>
        <v>0</v>
      </c>
      <c r="H81" s="24">
        <f t="shared" si="94"/>
        <v>0</v>
      </c>
      <c r="I81" s="24">
        <f t="shared" si="94"/>
        <v>0</v>
      </c>
      <c r="J81" s="329">
        <f t="shared" ref="J81:J82" si="96">+$T81/4</f>
        <v>0</v>
      </c>
      <c r="K81" s="24">
        <f t="shared" si="94"/>
        <v>0</v>
      </c>
      <c r="L81" s="24">
        <f t="shared" si="94"/>
        <v>0</v>
      </c>
      <c r="M81" s="24">
        <f t="shared" si="94"/>
        <v>0</v>
      </c>
      <c r="N81" s="329">
        <f t="shared" ref="N81:N82" si="97">+$T81/4</f>
        <v>0</v>
      </c>
      <c r="O81" s="24">
        <f t="shared" si="94"/>
        <v>0</v>
      </c>
      <c r="P81" s="24">
        <f t="shared" si="94"/>
        <v>0</v>
      </c>
      <c r="Q81" s="24">
        <f t="shared" si="94"/>
        <v>0</v>
      </c>
      <c r="R81" s="329">
        <f t="shared" ref="R81:R82" si="98">+$T81/4</f>
        <v>0</v>
      </c>
      <c r="T81" s="331">
        <v>0</v>
      </c>
    </row>
    <row r="82" spans="1:20" ht="22">
      <c r="A82" t="s">
        <v>266</v>
      </c>
      <c r="C82" s="315">
        <f t="shared" si="94"/>
        <v>100000</v>
      </c>
      <c r="D82" s="315">
        <f t="shared" si="94"/>
        <v>100000</v>
      </c>
      <c r="E82" s="315">
        <f t="shared" si="94"/>
        <v>100000</v>
      </c>
      <c r="F82" s="330">
        <f t="shared" si="95"/>
        <v>300000</v>
      </c>
      <c r="G82" s="315">
        <f t="shared" si="94"/>
        <v>100000</v>
      </c>
      <c r="H82" s="315">
        <f t="shared" si="94"/>
        <v>100000</v>
      </c>
      <c r="I82" s="315">
        <f t="shared" si="94"/>
        <v>100000</v>
      </c>
      <c r="J82" s="330">
        <f t="shared" si="96"/>
        <v>300000</v>
      </c>
      <c r="K82" s="315">
        <f t="shared" si="94"/>
        <v>100000</v>
      </c>
      <c r="L82" s="315">
        <f t="shared" si="94"/>
        <v>100000</v>
      </c>
      <c r="M82" s="315">
        <f t="shared" si="94"/>
        <v>100000</v>
      </c>
      <c r="N82" s="330">
        <f t="shared" si="97"/>
        <v>300000</v>
      </c>
      <c r="O82" s="315">
        <f t="shared" si="94"/>
        <v>100000</v>
      </c>
      <c r="P82" s="315">
        <f t="shared" si="94"/>
        <v>100000</v>
      </c>
      <c r="Q82" s="315">
        <f t="shared" si="94"/>
        <v>100000</v>
      </c>
      <c r="R82" s="330">
        <f t="shared" si="98"/>
        <v>300000</v>
      </c>
      <c r="S82" s="341"/>
      <c r="T82" s="332">
        <f>6000000/5</f>
        <v>1200000</v>
      </c>
    </row>
    <row r="83" spans="1:20" ht="19">
      <c r="C83" s="24"/>
      <c r="G83" s="24"/>
      <c r="K83" s="24"/>
      <c r="O83" s="24"/>
      <c r="T83" s="233"/>
    </row>
    <row r="84" spans="1:20" ht="19">
      <c r="A84" s="325" t="s">
        <v>268</v>
      </c>
      <c r="B84" s="325"/>
      <c r="C84" s="336">
        <f>+C79-C81-C82</f>
        <v>-483677.47388091125</v>
      </c>
      <c r="D84" s="336">
        <f t="shared" ref="D84:E84" si="99">+D79-D81-D82</f>
        <v>1597881.9911395069</v>
      </c>
      <c r="E84" s="336">
        <f t="shared" si="99"/>
        <v>4069733.8558512684</v>
      </c>
      <c r="F84" s="338">
        <f>+F79-F81-F82</f>
        <v>5183938.3731098697</v>
      </c>
      <c r="G84" s="336">
        <f>+G79-G81-G82</f>
        <v>7005057.9451965</v>
      </c>
      <c r="H84" s="336">
        <f t="shared" ref="H84:I84" si="100">+H79-H81-H82</f>
        <v>10490755.301293945</v>
      </c>
      <c r="I84" s="336">
        <f t="shared" si="100"/>
        <v>14630020.911659664</v>
      </c>
      <c r="J84" s="338">
        <f>+J79-J81-J82</f>
        <v>32125834.158150129</v>
      </c>
      <c r="K84" s="336">
        <f>+K79-K81-K82</f>
        <v>19545398.823968954</v>
      </c>
      <c r="L84" s="336">
        <f t="shared" ref="L84:M84" si="101">+L79-L81-L82</f>
        <v>25382410.094836242</v>
      </c>
      <c r="M84" s="336">
        <f t="shared" si="101"/>
        <v>32313860.978991129</v>
      </c>
      <c r="N84" s="338">
        <f>+N79-N81-N82</f>
        <v>77241669.897796333</v>
      </c>
      <c r="O84" s="336">
        <f>+O79-O81-O82</f>
        <v>40544958.903925098</v>
      </c>
      <c r="P84" s="336">
        <f t="shared" ref="P84:Q84" si="102">+P79-P81-P82</f>
        <v>50319387.689784147</v>
      </c>
      <c r="Q84" s="336">
        <f t="shared" si="102"/>
        <v>61926521.872991778</v>
      </c>
      <c r="R84" s="338">
        <f>+R79-R81-R82</f>
        <v>152790868.46670103</v>
      </c>
      <c r="T84" s="328">
        <f>+T79-T81-T82</f>
        <v>77704729.268727243</v>
      </c>
    </row>
    <row r="85" spans="1:20" ht="19">
      <c r="C85" s="24"/>
      <c r="G85" s="24"/>
      <c r="K85" s="24"/>
      <c r="O85" s="24"/>
      <c r="T85" s="233"/>
    </row>
    <row r="86" spans="1:20" ht="22">
      <c r="A86" t="s">
        <v>269</v>
      </c>
      <c r="C86" s="315">
        <f>+C84*0.35</f>
        <v>-169287.11585831892</v>
      </c>
      <c r="D86" s="315">
        <f t="shared" ref="D86:E86" si="103">+D84*0.35</f>
        <v>559258.69689882733</v>
      </c>
      <c r="E86" s="315">
        <f t="shared" si="103"/>
        <v>1424406.8495479438</v>
      </c>
      <c r="F86" s="330">
        <f>+F84*0.35</f>
        <v>1814378.4305884542</v>
      </c>
      <c r="G86" s="315">
        <f>+G84*0.35</f>
        <v>2451770.2808187748</v>
      </c>
      <c r="H86" s="315">
        <f t="shared" ref="H86:I86" si="104">+H84*0.35</f>
        <v>3671764.3554528803</v>
      </c>
      <c r="I86" s="315">
        <f t="shared" si="104"/>
        <v>5120507.3190808818</v>
      </c>
      <c r="J86" s="330">
        <f>+J84*0.35</f>
        <v>11244041.955352545</v>
      </c>
      <c r="K86" s="315">
        <f>+K84*0.35</f>
        <v>6840889.588389134</v>
      </c>
      <c r="L86" s="315">
        <f t="shared" ref="L86:M86" si="105">+L84*0.35</f>
        <v>8883843.5331926849</v>
      </c>
      <c r="M86" s="315">
        <f t="shared" si="105"/>
        <v>11309851.342646895</v>
      </c>
      <c r="N86" s="330">
        <f>+N84*0.35</f>
        <v>27034584.464228716</v>
      </c>
      <c r="O86" s="315">
        <f>+O84*0.35</f>
        <v>14190735.616373783</v>
      </c>
      <c r="P86" s="315">
        <f t="shared" ref="P86:Q86" si="106">+P84*0.35</f>
        <v>17611785.691424452</v>
      </c>
      <c r="Q86" s="315">
        <f t="shared" si="106"/>
        <v>21674282.65554712</v>
      </c>
      <c r="R86" s="330">
        <f>+R84*0.35</f>
        <v>53476803.963345356</v>
      </c>
      <c r="S86" s="341"/>
      <c r="T86" s="332">
        <f>+T84*0.35</f>
        <v>27196655.244054534</v>
      </c>
    </row>
    <row r="87" spans="1:20" ht="19">
      <c r="C87" s="24"/>
      <c r="G87" s="24"/>
      <c r="K87" s="24"/>
      <c r="O87" s="24"/>
      <c r="T87" s="233"/>
    </row>
    <row r="88" spans="1:20" ht="22">
      <c r="A88" s="325" t="s">
        <v>270</v>
      </c>
      <c r="B88" s="325"/>
      <c r="C88" s="337">
        <f>+C84-C86</f>
        <v>-314390.35802259232</v>
      </c>
      <c r="D88" s="337">
        <f t="shared" ref="D88:E88" si="107">+D84-D86</f>
        <v>1038623.2942406796</v>
      </c>
      <c r="E88" s="337">
        <f t="shared" si="107"/>
        <v>2645327.0063033244</v>
      </c>
      <c r="F88" s="339">
        <f>+F84-F86</f>
        <v>3369559.9425214157</v>
      </c>
      <c r="G88" s="337">
        <f>+G84-G86</f>
        <v>4553287.6643777248</v>
      </c>
      <c r="H88" s="337">
        <f t="shared" ref="H88:I88" si="108">+H84-H86</f>
        <v>6818990.9458410647</v>
      </c>
      <c r="I88" s="337">
        <f t="shared" si="108"/>
        <v>9509513.5925787818</v>
      </c>
      <c r="J88" s="339">
        <f>+J84-J86</f>
        <v>20881792.202797584</v>
      </c>
      <c r="K88" s="337">
        <f>+K84-K86</f>
        <v>12704509.23557982</v>
      </c>
      <c r="L88" s="337">
        <f t="shared" ref="L88:M88" si="109">+L84-L86</f>
        <v>16498566.561643558</v>
      </c>
      <c r="M88" s="337">
        <f t="shared" si="109"/>
        <v>21004009.636344232</v>
      </c>
      <c r="N88" s="339">
        <f>+N84-N86</f>
        <v>50207085.433567613</v>
      </c>
      <c r="O88" s="337">
        <f>+O84-O86</f>
        <v>26354223.287551314</v>
      </c>
      <c r="P88" s="337">
        <f t="shared" ref="P88:Q88" si="110">+P84-P86</f>
        <v>32707601.998359695</v>
      </c>
      <c r="Q88" s="337">
        <f t="shared" si="110"/>
        <v>40252239.217444658</v>
      </c>
      <c r="R88" s="339">
        <f>+R84-R86</f>
        <v>99314064.503355682</v>
      </c>
      <c r="S88" s="342"/>
      <c r="T88" s="340">
        <f>+T84-T86</f>
        <v>50508074.024672709</v>
      </c>
    </row>
    <row r="89" spans="1:20" ht="19">
      <c r="C89" s="24"/>
      <c r="T89" s="233"/>
    </row>
    <row r="90" spans="1:20" ht="19">
      <c r="T90" s="233"/>
    </row>
    <row r="91" spans="1:20" ht="19">
      <c r="C91" s="343" t="s">
        <v>271</v>
      </c>
      <c r="D91" s="344"/>
      <c r="E91" s="351"/>
      <c r="F91" s="350" t="s">
        <v>276</v>
      </c>
      <c r="T91" s="233"/>
    </row>
    <row r="92" spans="1:20">
      <c r="C92" s="345" t="s">
        <v>275</v>
      </c>
      <c r="E92" s="352"/>
      <c r="F92" s="348">
        <f>+T84</f>
        <v>77704729.268727243</v>
      </c>
    </row>
    <row r="93" spans="1:20">
      <c r="C93" s="345"/>
      <c r="E93" s="352"/>
      <c r="F93" s="348"/>
    </row>
    <row r="94" spans="1:20">
      <c r="C94" s="345" t="s">
        <v>272</v>
      </c>
      <c r="E94" s="352"/>
      <c r="F94" s="348">
        <f>+F92*20</f>
        <v>1554094585.3745449</v>
      </c>
    </row>
    <row r="95" spans="1:20">
      <c r="C95" s="345" t="s">
        <v>273</v>
      </c>
      <c r="E95" s="352"/>
      <c r="F95" s="348">
        <f>+F92*25</f>
        <v>1942618231.7181811</v>
      </c>
    </row>
    <row r="96" spans="1:20">
      <c r="C96" s="346" t="s">
        <v>274</v>
      </c>
      <c r="D96" s="347"/>
      <c r="E96" s="353"/>
      <c r="F96" s="349">
        <f>+F92*30</f>
        <v>2331141878.0618172</v>
      </c>
    </row>
  </sheetData>
  <mergeCells count="3">
    <mergeCell ref="S5:T5"/>
    <mergeCell ref="S35:T35"/>
    <mergeCell ref="S65:T6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5A0CB-E8F1-FA44-95B9-EA05F335FA21}">
  <sheetPr>
    <pageSetUpPr fitToPage="1"/>
  </sheetPr>
  <dimension ref="A1:T46"/>
  <sheetViews>
    <sheetView topLeftCell="A3" workbookViewId="0">
      <selection activeCell="A20" sqref="A20"/>
    </sheetView>
  </sheetViews>
  <sheetFormatPr baseColWidth="10" defaultColWidth="11.5" defaultRowHeight="15"/>
  <cols>
    <col min="1" max="1" width="37.33203125" customWidth="1"/>
    <col min="2" max="2" width="9.6640625" customWidth="1"/>
    <col min="3" max="3" width="21.6640625" customWidth="1"/>
    <col min="4" max="4" width="23.1640625" customWidth="1"/>
    <col min="5" max="5" width="19.1640625" customWidth="1"/>
    <col min="6" max="6" width="18.83203125" customWidth="1"/>
    <col min="7" max="7" width="21.83203125" customWidth="1"/>
    <col min="8" max="8" width="21.5" customWidth="1"/>
    <col min="9" max="9" width="20.33203125" customWidth="1"/>
    <col min="10" max="10" width="19.33203125" customWidth="1"/>
    <col min="11" max="11" width="21.33203125" customWidth="1"/>
    <col min="12" max="12" width="20.33203125" customWidth="1"/>
    <col min="13" max="13" width="22.6640625" customWidth="1"/>
    <col min="14" max="14" width="21.5" customWidth="1"/>
    <col min="15" max="15" width="20.83203125" customWidth="1"/>
    <col min="16" max="16" width="21.83203125" customWidth="1"/>
    <col min="17" max="17" width="24.1640625" customWidth="1"/>
    <col min="18" max="18" width="21.83203125" customWidth="1"/>
    <col min="19" max="19" width="24.33203125" customWidth="1"/>
    <col min="20" max="20" width="26.5" customWidth="1"/>
    <col min="21" max="21" width="14.6640625" bestFit="1" customWidth="1"/>
  </cols>
  <sheetData>
    <row r="1" spans="1:20" ht="26">
      <c r="A1" s="151" t="s">
        <v>160</v>
      </c>
      <c r="C1" s="73"/>
    </row>
    <row r="2" spans="1:20" ht="21">
      <c r="A2" s="289" t="s">
        <v>163</v>
      </c>
      <c r="B2" s="231"/>
      <c r="C2" s="73"/>
    </row>
    <row r="3" spans="1:20" ht="16" thickBot="1">
      <c r="C3" s="1"/>
      <c r="F3" s="24"/>
      <c r="G3" s="54"/>
    </row>
    <row r="4" spans="1:20" ht="16" thickBot="1">
      <c r="A4" s="390" t="s">
        <v>145</v>
      </c>
      <c r="B4" s="391"/>
      <c r="C4" s="1"/>
      <c r="D4" s="390" t="s">
        <v>132</v>
      </c>
      <c r="E4" s="391"/>
      <c r="F4" s="24"/>
      <c r="G4" s="392" t="s">
        <v>138</v>
      </c>
      <c r="H4" s="393"/>
    </row>
    <row r="5" spans="1:20">
      <c r="A5" s="238" t="s">
        <v>125</v>
      </c>
      <c r="B5" s="234" t="s">
        <v>126</v>
      </c>
      <c r="C5" s="1"/>
      <c r="D5" s="301" t="s">
        <v>155</v>
      </c>
      <c r="E5" s="281">
        <v>7906250000</v>
      </c>
      <c r="F5" s="24"/>
      <c r="G5" s="253" t="s">
        <v>135</v>
      </c>
      <c r="H5" s="278">
        <v>1</v>
      </c>
    </row>
    <row r="6" spans="1:20">
      <c r="A6" s="247">
        <v>0.75</v>
      </c>
      <c r="B6" s="236">
        <f>A6*12</f>
        <v>9</v>
      </c>
      <c r="C6" s="1"/>
      <c r="D6" s="272" t="s">
        <v>156</v>
      </c>
      <c r="E6" s="282">
        <v>5000000000</v>
      </c>
      <c r="F6" s="24"/>
      <c r="G6" s="251" t="s">
        <v>307</v>
      </c>
      <c r="H6" s="279">
        <v>0.85</v>
      </c>
    </row>
    <row r="7" spans="1:20" ht="16" thickBot="1">
      <c r="A7" s="247">
        <f>A6/2</f>
        <v>0.375</v>
      </c>
      <c r="B7" s="236">
        <f>A7*12</f>
        <v>4.5</v>
      </c>
      <c r="C7" s="1"/>
      <c r="D7" s="261" t="s">
        <v>157</v>
      </c>
      <c r="E7" s="283">
        <v>4650000000</v>
      </c>
      <c r="F7" s="24"/>
      <c r="G7" s="252" t="s">
        <v>137</v>
      </c>
      <c r="H7" s="280">
        <v>0.15</v>
      </c>
    </row>
    <row r="8" spans="1:20" ht="16" thickBot="1">
      <c r="A8" s="246">
        <f>A7/2</f>
        <v>0.1875</v>
      </c>
      <c r="B8" s="237">
        <f>A8*12</f>
        <v>2.25</v>
      </c>
      <c r="C8" s="1"/>
      <c r="F8" s="24"/>
      <c r="G8" s="54"/>
    </row>
    <row r="9" spans="1:20" ht="16" thickBot="1">
      <c r="C9" s="1"/>
      <c r="D9" s="390" t="s">
        <v>133</v>
      </c>
      <c r="E9" s="391"/>
      <c r="F9" s="24"/>
      <c r="G9" s="54"/>
    </row>
    <row r="10" spans="1:20" ht="16" thickBot="1">
      <c r="A10" s="394" t="s">
        <v>146</v>
      </c>
      <c r="B10" s="395"/>
      <c r="C10" s="1"/>
      <c r="D10" s="302" t="s">
        <v>141</v>
      </c>
      <c r="E10" s="250">
        <v>3</v>
      </c>
      <c r="F10" s="24"/>
      <c r="G10" s="54"/>
    </row>
    <row r="11" spans="1:20">
      <c r="A11" s="275" t="s">
        <v>142</v>
      </c>
      <c r="B11" s="164">
        <v>0.97499999999999998</v>
      </c>
      <c r="C11" s="1"/>
      <c r="D11" s="235" t="s">
        <v>134</v>
      </c>
      <c r="E11" s="5">
        <v>2</v>
      </c>
      <c r="F11" s="24"/>
      <c r="G11" s="54"/>
    </row>
    <row r="12" spans="1:20" ht="16" thickBot="1">
      <c r="A12" s="276" t="s">
        <v>143</v>
      </c>
      <c r="B12" s="248">
        <v>0.5</v>
      </c>
      <c r="C12" s="1"/>
      <c r="D12" s="261" t="s">
        <v>158</v>
      </c>
      <c r="E12" s="249">
        <f>E10*E11</f>
        <v>6</v>
      </c>
      <c r="F12" s="24"/>
      <c r="G12" s="54"/>
    </row>
    <row r="13" spans="1:20" ht="16" thickBot="1">
      <c r="A13" s="277" t="s">
        <v>144</v>
      </c>
      <c r="B13" s="260">
        <v>0.2</v>
      </c>
      <c r="C13" s="1"/>
      <c r="F13" s="24"/>
      <c r="G13" s="54"/>
    </row>
    <row r="14" spans="1:20">
      <c r="C14" s="1"/>
      <c r="F14" s="24"/>
      <c r="G14" s="54"/>
    </row>
    <row r="15" spans="1:20" ht="16" thickBot="1">
      <c r="C15" s="1"/>
      <c r="D15" s="230" t="s">
        <v>131</v>
      </c>
      <c r="F15" s="24"/>
      <c r="G15" s="54"/>
    </row>
    <row r="16" spans="1:20" s="53" customFormat="1" ht="15" customHeight="1" thickBot="1">
      <c r="A16" s="284" t="s">
        <v>115</v>
      </c>
      <c r="B16" s="262"/>
      <c r="C16" s="239">
        <v>44743</v>
      </c>
      <c r="D16" s="240">
        <v>44774</v>
      </c>
      <c r="E16" s="239">
        <v>44805</v>
      </c>
      <c r="F16" s="241" t="s">
        <v>111</v>
      </c>
      <c r="G16" s="239">
        <v>44856</v>
      </c>
      <c r="H16" s="239">
        <v>44887</v>
      </c>
      <c r="I16" s="239">
        <v>44917</v>
      </c>
      <c r="J16" s="241" t="s">
        <v>112</v>
      </c>
      <c r="K16" s="239">
        <v>44949</v>
      </c>
      <c r="L16" s="239">
        <v>44980</v>
      </c>
      <c r="M16" s="239">
        <v>45008</v>
      </c>
      <c r="N16" s="241" t="s">
        <v>113</v>
      </c>
      <c r="O16" s="239">
        <v>45039</v>
      </c>
      <c r="P16" s="239">
        <v>45069</v>
      </c>
      <c r="Q16" s="239">
        <v>45100</v>
      </c>
      <c r="R16" s="241" t="s">
        <v>114</v>
      </c>
      <c r="S16" s="386" t="s">
        <v>123</v>
      </c>
      <c r="T16" s="387"/>
    </row>
    <row r="17" spans="1:20" ht="19">
      <c r="A17" s="266" t="s">
        <v>139</v>
      </c>
      <c r="B17" s="160"/>
      <c r="C17" s="267">
        <v>0</v>
      </c>
      <c r="D17" s="267">
        <f>D23*$E$12</f>
        <v>0</v>
      </c>
      <c r="E17" s="267">
        <f>E23*$E$12</f>
        <v>0</v>
      </c>
      <c r="F17" s="268">
        <f>SUM(C17:E17)</f>
        <v>0</v>
      </c>
      <c r="G17" s="267">
        <f>G23*$E$12</f>
        <v>0</v>
      </c>
      <c r="H17" s="267">
        <f>H23*$E$12</f>
        <v>0</v>
      </c>
      <c r="I17" s="267">
        <f>I23*$E$12</f>
        <v>11700</v>
      </c>
      <c r="J17" s="269">
        <f>SUM(G17:I17)</f>
        <v>11700</v>
      </c>
      <c r="K17" s="267">
        <f>K23*$E$12</f>
        <v>400725</v>
      </c>
      <c r="L17" s="267">
        <f>L23*$E$12</f>
        <v>701268.75</v>
      </c>
      <c r="M17" s="267">
        <f>M23*$E$12</f>
        <v>1227220.3125</v>
      </c>
      <c r="N17" s="269">
        <f>SUM(K17:M17)</f>
        <v>2329214.0625</v>
      </c>
      <c r="O17" s="267">
        <f>O23*$E$12</f>
        <v>2147635.546875</v>
      </c>
      <c r="P17" s="267">
        <f>P23*$E$12</f>
        <v>3758362.20703125</v>
      </c>
      <c r="Q17" s="267">
        <f>Q23*$E$12</f>
        <v>6577133.8623046875</v>
      </c>
      <c r="R17" s="269">
        <f>SUM(O17:Q17)</f>
        <v>12483131.616210938</v>
      </c>
      <c r="S17" s="270" t="s">
        <v>109</v>
      </c>
      <c r="T17" s="271">
        <f>SUM(R17+N17+J17+F17)</f>
        <v>14824045.678710938</v>
      </c>
    </row>
    <row r="18" spans="1:20" ht="19">
      <c r="A18" s="272" t="s">
        <v>110</v>
      </c>
      <c r="B18" s="2"/>
      <c r="C18" s="186">
        <v>0</v>
      </c>
      <c r="D18" s="186">
        <f>D17*$H$6</f>
        <v>0</v>
      </c>
      <c r="E18" s="186">
        <f>E17*$H$6</f>
        <v>0</v>
      </c>
      <c r="F18" s="254">
        <f>SUM(C18:E18)</f>
        <v>0</v>
      </c>
      <c r="G18" s="186">
        <f>G17*$H$6</f>
        <v>0</v>
      </c>
      <c r="H18" s="186">
        <f>H17*$H$6</f>
        <v>0</v>
      </c>
      <c r="I18" s="186">
        <f>I17*$H$6</f>
        <v>9945</v>
      </c>
      <c r="J18" s="242">
        <f>SUM(G18:I18)</f>
        <v>9945</v>
      </c>
      <c r="K18" s="186">
        <f>K17*$H$6</f>
        <v>340616.25</v>
      </c>
      <c r="L18" s="186">
        <f>L17*$H$6</f>
        <v>596078.4375</v>
      </c>
      <c r="M18" s="186">
        <f>M17*$H$6</f>
        <v>1043137.265625</v>
      </c>
      <c r="N18" s="242">
        <f>SUM(K18:M18)</f>
        <v>1979831.953125</v>
      </c>
      <c r="O18" s="186">
        <f>O17*$H$6</f>
        <v>1825490.21484375</v>
      </c>
      <c r="P18" s="186">
        <f t="shared" ref="P18:Q18" si="0">P17*$H$6</f>
        <v>3194607.8759765625</v>
      </c>
      <c r="Q18" s="186">
        <f t="shared" si="0"/>
        <v>5590563.7829589844</v>
      </c>
      <c r="R18" s="242">
        <f>SUM(O18:Q18)</f>
        <v>10610661.873779297</v>
      </c>
      <c r="S18" s="245"/>
      <c r="T18" s="244">
        <f>SUM(R18+N18+J18+F18)</f>
        <v>12600438.826904297</v>
      </c>
    </row>
    <row r="19" spans="1:20" ht="20" thickBot="1">
      <c r="A19" s="273" t="s">
        <v>140</v>
      </c>
      <c r="B19" s="274"/>
      <c r="C19" s="264">
        <v>0</v>
      </c>
      <c r="D19" s="264">
        <f>D17*$H$7</f>
        <v>0</v>
      </c>
      <c r="E19" s="264">
        <f>E17*$H$7</f>
        <v>0</v>
      </c>
      <c r="F19" s="305">
        <f>SUM(C19:E19)</f>
        <v>0</v>
      </c>
      <c r="G19" s="264">
        <f>G17*$H$7</f>
        <v>0</v>
      </c>
      <c r="H19" s="264">
        <f>H17*$H$7</f>
        <v>0</v>
      </c>
      <c r="I19" s="264">
        <f>I17*$H$7</f>
        <v>1755</v>
      </c>
      <c r="J19" s="306">
        <f>SUM(G19:I19)</f>
        <v>1755</v>
      </c>
      <c r="K19" s="264">
        <f>K17*$H$7</f>
        <v>60108.75</v>
      </c>
      <c r="L19" s="264">
        <f>L17*$H$7</f>
        <v>105190.3125</v>
      </c>
      <c r="M19" s="264">
        <f>M17*$H$7</f>
        <v>184083.046875</v>
      </c>
      <c r="N19" s="306">
        <f>SUM(K19:M19)</f>
        <v>349382.109375</v>
      </c>
      <c r="O19" s="264">
        <f>O17*$H$7</f>
        <v>322145.33203125</v>
      </c>
      <c r="P19" s="264">
        <f>P17*$H$7</f>
        <v>563754.3310546875</v>
      </c>
      <c r="Q19" s="264">
        <f>Q17*$H$7</f>
        <v>986570.07934570312</v>
      </c>
      <c r="R19" s="306">
        <f>SUM(O19:Q19)</f>
        <v>1872469.7424316406</v>
      </c>
      <c r="S19" s="265" t="s">
        <v>108</v>
      </c>
      <c r="T19" s="307">
        <f>SUM(R19+N19+J19+F19)</f>
        <v>2223606.8518066406</v>
      </c>
    </row>
    <row r="20" spans="1:20">
      <c r="A20" s="263" t="s">
        <v>148</v>
      </c>
      <c r="C20" s="245">
        <v>0</v>
      </c>
      <c r="D20" s="24"/>
      <c r="E20" s="24"/>
      <c r="F20" s="24"/>
      <c r="G20" s="24"/>
      <c r="H20" s="24"/>
      <c r="I20" s="24">
        <v>20</v>
      </c>
      <c r="J20" s="24"/>
      <c r="K20" s="303">
        <f>((I20*$A$6)+I20)+(I23/3)</f>
        <v>685</v>
      </c>
      <c r="L20" s="24">
        <f>(K20*$A$6)+K20</f>
        <v>1198.75</v>
      </c>
      <c r="M20" s="24">
        <f>(L20*$A$6)+L20</f>
        <v>2097.8125</v>
      </c>
      <c r="N20" s="24"/>
      <c r="O20" s="24">
        <f>(M20*$A$6)+M20</f>
        <v>3671.171875</v>
      </c>
      <c r="P20" s="24">
        <f>(O20*$A$6)+O20</f>
        <v>6424.55078125</v>
      </c>
      <c r="Q20" s="24">
        <f>(P20*$A$6)+P20</f>
        <v>11242.9638671875</v>
      </c>
    </row>
    <row r="21" spans="1:20">
      <c r="A21" s="263" t="s">
        <v>149</v>
      </c>
      <c r="C21" s="245"/>
      <c r="D21" s="24"/>
      <c r="E21" s="24"/>
      <c r="F21" s="24"/>
      <c r="G21" s="24"/>
      <c r="H21" s="24"/>
      <c r="I21" s="24">
        <v>10000</v>
      </c>
      <c r="J21" s="24"/>
      <c r="K21" s="303">
        <v>10000</v>
      </c>
      <c r="L21" s="304">
        <f>K21</f>
        <v>10000</v>
      </c>
      <c r="M21" s="304">
        <f>L21</f>
        <v>10000</v>
      </c>
      <c r="N21" s="24"/>
      <c r="O21" s="24">
        <f>M21</f>
        <v>10000</v>
      </c>
      <c r="P21" s="24">
        <f>O21</f>
        <v>10000</v>
      </c>
      <c r="Q21" s="24">
        <f>P21</f>
        <v>10000</v>
      </c>
      <c r="S21" s="354"/>
      <c r="T21" s="324"/>
    </row>
    <row r="22" spans="1:20">
      <c r="A22" s="263" t="s">
        <v>150</v>
      </c>
      <c r="C22" s="245">
        <f>(C21*C20)</f>
        <v>0</v>
      </c>
      <c r="D22" s="245">
        <f>(D21*D20)*$B$11</f>
        <v>0</v>
      </c>
      <c r="E22" s="245">
        <f>(E21*E20)*$B$11</f>
        <v>0</v>
      </c>
      <c r="F22" s="24"/>
      <c r="G22" s="245">
        <f>(G21*G20)*$B$11</f>
        <v>0</v>
      </c>
      <c r="H22" s="245">
        <f>(H21*H20)*$B$11</f>
        <v>0</v>
      </c>
      <c r="I22" s="245">
        <f>(I21*I20)*$B$11</f>
        <v>195000</v>
      </c>
      <c r="J22" s="24"/>
      <c r="K22" s="245">
        <f>(K21*K20)*$B$11</f>
        <v>6678750</v>
      </c>
      <c r="L22" s="245">
        <f>(L21*L20)*$B$11</f>
        <v>11687812.5</v>
      </c>
      <c r="M22" s="245">
        <f>(M21*M20)*$B$11</f>
        <v>20453671.875</v>
      </c>
      <c r="N22" s="24"/>
      <c r="O22" s="245">
        <f>(O21*O20)*$B$11</f>
        <v>35793925.78125</v>
      </c>
      <c r="P22" s="245">
        <f>(P21*P20)*$B$11</f>
        <v>62639370.1171875</v>
      </c>
      <c r="Q22" s="245">
        <f>(Q21*Q20)*$B$11</f>
        <v>109618897.70507812</v>
      </c>
      <c r="S22" s="355"/>
    </row>
    <row r="23" spans="1:20">
      <c r="A23" s="263" t="s">
        <v>147</v>
      </c>
      <c r="C23" s="245">
        <f>C22*1%</f>
        <v>0</v>
      </c>
      <c r="D23" s="245">
        <f>D22*1%</f>
        <v>0</v>
      </c>
      <c r="E23" s="245">
        <f t="shared" ref="E23" si="1">E22*1%</f>
        <v>0</v>
      </c>
      <c r="F23" s="24"/>
      <c r="G23" s="245">
        <f>G22*1%</f>
        <v>0</v>
      </c>
      <c r="H23" s="245">
        <f t="shared" ref="H23:I23" si="2">H22*1%</f>
        <v>0</v>
      </c>
      <c r="I23" s="245">
        <f t="shared" si="2"/>
        <v>1950</v>
      </c>
      <c r="J23" s="24"/>
      <c r="K23" s="245">
        <f>K22*1%</f>
        <v>66787.5</v>
      </c>
      <c r="L23" s="245">
        <f>L22*1%</f>
        <v>116878.125</v>
      </c>
      <c r="M23" s="245">
        <f t="shared" ref="M23:Q23" si="3">M22*1%</f>
        <v>204536.71875</v>
      </c>
      <c r="N23" s="24"/>
      <c r="O23" s="245">
        <f t="shared" si="3"/>
        <v>357939.2578125</v>
      </c>
      <c r="P23" s="245">
        <f t="shared" si="3"/>
        <v>626393.701171875</v>
      </c>
      <c r="Q23" s="245">
        <f t="shared" si="3"/>
        <v>1096188.9770507812</v>
      </c>
      <c r="S23" s="54"/>
    </row>
    <row r="24" spans="1:20" ht="32">
      <c r="B24" s="263"/>
      <c r="C24" s="245"/>
      <c r="D24" s="245"/>
      <c r="E24" s="245"/>
      <c r="F24" s="24"/>
      <c r="G24" s="245"/>
      <c r="H24" s="245"/>
      <c r="I24" s="245"/>
      <c r="J24" s="24"/>
      <c r="K24" s="310" t="s">
        <v>164</v>
      </c>
      <c r="L24" s="245"/>
      <c r="M24" s="245"/>
      <c r="N24" s="24"/>
      <c r="O24" s="245"/>
      <c r="P24" s="245"/>
      <c r="Q24" s="245"/>
      <c r="S24" s="229"/>
    </row>
    <row r="25" spans="1:20">
      <c r="B25" s="263"/>
      <c r="C25" s="245"/>
      <c r="D25" s="245"/>
      <c r="E25" s="245"/>
      <c r="F25" s="24"/>
      <c r="G25" s="245"/>
      <c r="H25" s="245"/>
      <c r="I25" s="245"/>
      <c r="J25" s="24"/>
      <c r="K25" s="245"/>
      <c r="L25" s="245"/>
      <c r="M25" s="245"/>
      <c r="N25" s="24"/>
      <c r="O25" s="245"/>
      <c r="P25" s="245"/>
      <c r="Q25" s="245"/>
      <c r="S25" s="54"/>
    </row>
    <row r="26" spans="1:20" ht="16" thickBot="1">
      <c r="B26" s="263"/>
      <c r="F26" s="24"/>
    </row>
    <row r="27" spans="1:20" s="53" customFormat="1" ht="15" customHeight="1" thickBot="1">
      <c r="A27" s="284" t="s">
        <v>116</v>
      </c>
      <c r="B27" s="262"/>
      <c r="C27" s="239">
        <v>45108</v>
      </c>
      <c r="D27" s="240">
        <f>C27+31</f>
        <v>45139</v>
      </c>
      <c r="E27" s="239">
        <f>D27+31</f>
        <v>45170</v>
      </c>
      <c r="F27" s="241" t="s">
        <v>118</v>
      </c>
      <c r="G27" s="239">
        <f>E27+30.5</f>
        <v>45200.5</v>
      </c>
      <c r="H27" s="239">
        <f>G27+30.5</f>
        <v>45231</v>
      </c>
      <c r="I27" s="239">
        <v>45282</v>
      </c>
      <c r="J27" s="241" t="s">
        <v>119</v>
      </c>
      <c r="K27" s="239">
        <f>I27+30.5</f>
        <v>45312.5</v>
      </c>
      <c r="L27" s="239">
        <f>K27+30.5</f>
        <v>45343</v>
      </c>
      <c r="M27" s="239">
        <f>L27+30.5</f>
        <v>45373.5</v>
      </c>
      <c r="N27" s="241" t="s">
        <v>120</v>
      </c>
      <c r="O27" s="239">
        <f>M27+30.5</f>
        <v>45404</v>
      </c>
      <c r="P27" s="239">
        <f>O27+30.5</f>
        <v>45434.5</v>
      </c>
      <c r="Q27" s="239">
        <f>P27+30.5</f>
        <v>45465</v>
      </c>
      <c r="R27" s="241" t="s">
        <v>121</v>
      </c>
      <c r="S27" s="386" t="s">
        <v>122</v>
      </c>
      <c r="T27" s="387"/>
    </row>
    <row r="28" spans="1:20" ht="19">
      <c r="A28" s="266" t="s">
        <v>139</v>
      </c>
      <c r="B28" s="160"/>
      <c r="C28" s="267">
        <f>C34*$E$12</f>
        <v>3372945.41015625</v>
      </c>
      <c r="D28" s="267">
        <f>D34*$E$12</f>
        <v>4637799.9389648438</v>
      </c>
      <c r="E28" s="267">
        <f>E34*$E$12</f>
        <v>6376974.9160766602</v>
      </c>
      <c r="F28" s="269">
        <f>SUM(C28:E28)</f>
        <v>14387720.265197754</v>
      </c>
      <c r="G28" s="267">
        <f>G34*$E$12</f>
        <v>8768340.5096054077</v>
      </c>
      <c r="H28" s="267">
        <f>H34*$E$12</f>
        <v>12056468.200707436</v>
      </c>
      <c r="I28" s="267">
        <f>I34*$E$12</f>
        <v>16577643.775972724</v>
      </c>
      <c r="J28" s="269">
        <f>SUM(G28:I28)</f>
        <v>37402452.486285567</v>
      </c>
      <c r="K28" s="267">
        <f>K34*$E$12</f>
        <v>22794260.191962495</v>
      </c>
      <c r="L28" s="267">
        <f>L34*$E$12</f>
        <v>27068183.977955461</v>
      </c>
      <c r="M28" s="267">
        <f>M34*$E$12</f>
        <v>32143468.473822109</v>
      </c>
      <c r="N28" s="269">
        <f>SUM(K28:M28)</f>
        <v>82005912.643740058</v>
      </c>
      <c r="O28" s="267">
        <f>O34*$E$12</f>
        <v>44197269.151505403</v>
      </c>
      <c r="P28" s="267">
        <f>P34*$E$12</f>
        <v>52484257.117412671</v>
      </c>
      <c r="Q28" s="267">
        <f>Q34*$E$12</f>
        <v>62325055.326927543</v>
      </c>
      <c r="R28" s="269">
        <f>SUM(O28:Q28)</f>
        <v>159006581.59584561</v>
      </c>
      <c r="S28" s="270" t="s">
        <v>109</v>
      </c>
      <c r="T28" s="271">
        <f>SUM(R28+N28+J28+F28)</f>
        <v>292802666.99106896</v>
      </c>
    </row>
    <row r="29" spans="1:20" ht="19">
      <c r="A29" s="272" t="s">
        <v>110</v>
      </c>
      <c r="B29" s="2"/>
      <c r="C29" s="186">
        <f>C28*$H$6</f>
        <v>2867003.5986328125</v>
      </c>
      <c r="D29" s="186">
        <f>D28*$H$6</f>
        <v>3942129.9481201172</v>
      </c>
      <c r="E29" s="186">
        <f>E28*$H$6</f>
        <v>5420428.6786651611</v>
      </c>
      <c r="F29" s="242">
        <f>SUM(C29:E29)</f>
        <v>12229562.225418091</v>
      </c>
      <c r="G29" s="186">
        <f>G28*$H$6</f>
        <v>7453089.4331645966</v>
      </c>
      <c r="H29" s="186">
        <f>H28*$H$6</f>
        <v>10247997.97060132</v>
      </c>
      <c r="I29" s="186">
        <f>I28*$H$6</f>
        <v>14090997.209576815</v>
      </c>
      <c r="J29" s="242">
        <f>SUM(G29:I29)</f>
        <v>31792084.613342732</v>
      </c>
      <c r="K29" s="186">
        <f>K28*$H$6</f>
        <v>19375121.163168121</v>
      </c>
      <c r="L29" s="186">
        <f>L28*$H$6</f>
        <v>23007956.381262142</v>
      </c>
      <c r="M29" s="186">
        <f>M28*$H$6</f>
        <v>27321948.202748794</v>
      </c>
      <c r="N29" s="242">
        <f>SUM(K29:M29)</f>
        <v>69705025.747179061</v>
      </c>
      <c r="O29" s="186">
        <f>O28*$H$6</f>
        <v>37567678.778779589</v>
      </c>
      <c r="P29" s="186">
        <f>P28*$H$6</f>
        <v>44611618.549800768</v>
      </c>
      <c r="Q29" s="186">
        <f>Q28*$H$6</f>
        <v>52976297.02788841</v>
      </c>
      <c r="R29" s="242">
        <f>SUM(O29:Q29)</f>
        <v>135155594.35646877</v>
      </c>
      <c r="S29" s="232" t="s">
        <v>110</v>
      </c>
      <c r="T29" s="244">
        <f>SUM(R29+N29+J29+F29)</f>
        <v>248882266.94240865</v>
      </c>
    </row>
    <row r="30" spans="1:20" ht="20" thickBot="1">
      <c r="A30" s="273" t="s">
        <v>140</v>
      </c>
      <c r="B30" s="274"/>
      <c r="C30" s="264">
        <f>C28*$H$7</f>
        <v>505941.8115234375</v>
      </c>
      <c r="D30" s="264">
        <f>D28*$H$7</f>
        <v>695669.99084472656</v>
      </c>
      <c r="E30" s="264">
        <f>E28*$H$7</f>
        <v>956546.23741149902</v>
      </c>
      <c r="F30" s="306">
        <f>SUM(C30:E30)</f>
        <v>2158158.0397796631</v>
      </c>
      <c r="G30" s="264">
        <f>G28*$H$7</f>
        <v>1315251.0764408112</v>
      </c>
      <c r="H30" s="264">
        <f>H28*$H$7</f>
        <v>1808470.2301061153</v>
      </c>
      <c r="I30" s="264">
        <f>I28*$H$7</f>
        <v>2486646.5663959086</v>
      </c>
      <c r="J30" s="306">
        <f>SUM(G30:I30)</f>
        <v>5610367.8729428351</v>
      </c>
      <c r="K30" s="264">
        <f>K28*$H$7</f>
        <v>3419139.0287943743</v>
      </c>
      <c r="L30" s="264">
        <f>L28*$H$7</f>
        <v>4060227.5966933188</v>
      </c>
      <c r="M30" s="264">
        <f>M28*$H$7</f>
        <v>4821520.2710733162</v>
      </c>
      <c r="N30" s="306">
        <f>SUM(K30:M30)</f>
        <v>12300886.896561008</v>
      </c>
      <c r="O30" s="264">
        <f>O28*$H$7</f>
        <v>6629590.3727258099</v>
      </c>
      <c r="P30" s="264">
        <f>P28*$H$7</f>
        <v>7872638.5676119002</v>
      </c>
      <c r="Q30" s="264">
        <f>Q28*$H$7</f>
        <v>9348758.299039131</v>
      </c>
      <c r="R30" s="306">
        <f>SUM(O30:Q30)</f>
        <v>23850987.239376843</v>
      </c>
      <c r="S30" s="265" t="s">
        <v>108</v>
      </c>
      <c r="T30" s="307">
        <f>SUM(R30+N30+J30+F30)</f>
        <v>43920400.048660353</v>
      </c>
    </row>
    <row r="31" spans="1:20">
      <c r="A31" s="263" t="s">
        <v>148</v>
      </c>
      <c r="C31" s="245">
        <f>(Q20+$A$7)+Q20</f>
        <v>22486.302734375</v>
      </c>
      <c r="D31" s="24">
        <f>(C31*$A$7)+C31</f>
        <v>30918.666259765625</v>
      </c>
      <c r="E31" s="24">
        <f>(D31*$A$7)+D31</f>
        <v>42513.166107177734</v>
      </c>
      <c r="F31" s="24"/>
      <c r="G31" s="24">
        <f>(E31*$A$7)+E31</f>
        <v>58455.603397369385</v>
      </c>
      <c r="H31" s="24">
        <f>(G31*$A$7)+G31</f>
        <v>80376.454671382904</v>
      </c>
      <c r="I31" s="24">
        <f>(H31*$A$7)+H31</f>
        <v>110517.62517315149</v>
      </c>
      <c r="J31" s="24"/>
      <c r="K31" s="24">
        <f>(I31*$A$7)+I31</f>
        <v>151961.7346130833</v>
      </c>
      <c r="L31" s="24">
        <f>(K31*$A$7)+K31</f>
        <v>208947.38509298954</v>
      </c>
      <c r="M31" s="24">
        <f>(L31*$A$7)+L31</f>
        <v>287302.65450286062</v>
      </c>
      <c r="N31" s="24"/>
      <c r="O31" s="24">
        <f>(M31*$A$7)+M31</f>
        <v>395041.14994143334</v>
      </c>
      <c r="P31" s="24">
        <f>(O31*$A$7)+O31</f>
        <v>543181.58116947091</v>
      </c>
      <c r="Q31" s="24">
        <f>(P31*$A$7)+P31</f>
        <v>746874.67410802247</v>
      </c>
    </row>
    <row r="32" spans="1:20">
      <c r="A32" s="263" t="s">
        <v>149</v>
      </c>
      <c r="C32" s="245">
        <v>5000</v>
      </c>
      <c r="D32" s="24">
        <f>C32</f>
        <v>5000</v>
      </c>
      <c r="E32" s="24">
        <f>D32</f>
        <v>5000</v>
      </c>
      <c r="F32" s="24"/>
      <c r="G32" s="24">
        <f>E32</f>
        <v>5000</v>
      </c>
      <c r="H32" s="24">
        <f>G32</f>
        <v>5000</v>
      </c>
      <c r="I32" s="24">
        <f>H32</f>
        <v>5000</v>
      </c>
      <c r="J32" s="24"/>
      <c r="K32" s="24">
        <f>I32</f>
        <v>5000</v>
      </c>
      <c r="L32" s="24">
        <f>K32</f>
        <v>5000</v>
      </c>
      <c r="M32" s="24">
        <f>L32</f>
        <v>5000</v>
      </c>
      <c r="N32" s="24"/>
      <c r="O32" s="24">
        <f>M32</f>
        <v>5000</v>
      </c>
      <c r="P32" s="24">
        <f>O32</f>
        <v>5000</v>
      </c>
      <c r="Q32" s="24">
        <f>P32</f>
        <v>5000</v>
      </c>
      <c r="S32" s="354"/>
    </row>
    <row r="33" spans="1:20">
      <c r="A33" s="263" t="s">
        <v>150</v>
      </c>
      <c r="C33" s="245">
        <f>((C32*C31)*$B$12)+$N$22</f>
        <v>56215756.8359375</v>
      </c>
      <c r="D33" s="245">
        <f>((D32*D31)*$B$12)+$N$22</f>
        <v>77296665.649414062</v>
      </c>
      <c r="E33" s="245">
        <f>((E32*E31)*$B$12)+$N$22</f>
        <v>106282915.26794434</v>
      </c>
      <c r="F33" s="24"/>
      <c r="G33" s="245">
        <f>((G32*G31)*$B$12)+$N$22</f>
        <v>146139008.49342346</v>
      </c>
      <c r="H33" s="245">
        <f>((H32*H31)*$B$12)+$N$22</f>
        <v>200941136.67845726</v>
      </c>
      <c r="I33" s="245">
        <f>((I32*I31)*$B$12)+$N$22</f>
        <v>276294062.93287873</v>
      </c>
      <c r="J33" s="24"/>
      <c r="K33" s="245">
        <f>((K32*K31)*$B$12)+$N$22</f>
        <v>379904336.53270829</v>
      </c>
      <c r="L33" s="245">
        <f>((L32*L31)*$B$12)+$N$22</f>
        <v>522368462.73247385</v>
      </c>
      <c r="M33" s="245">
        <f>((M32*M31)*$B$12)+$N$22</f>
        <v>718256636.2571516</v>
      </c>
      <c r="N33" s="24"/>
      <c r="O33" s="245">
        <f>IF((O32*O31)*$B$12&gt;$E$7,$E$7,(O32*O31)*$B$12)</f>
        <v>987602874.85358334</v>
      </c>
      <c r="P33" s="245">
        <f>IF((P32*P31)*$B$12&gt;$E$7,$E$7,(P32*P31)*$B$12)</f>
        <v>1357953952.9236772</v>
      </c>
      <c r="Q33" s="245">
        <f>IF((Q32*Q31)*$B$12&gt;$E$7,$E$7,(Q32*Q31)*$B$12)</f>
        <v>1867186685.2700562</v>
      </c>
      <c r="S33" s="355"/>
    </row>
    <row r="34" spans="1:20">
      <c r="A34" s="263" t="s">
        <v>147</v>
      </c>
      <c r="C34" s="245">
        <f>C33*1%</f>
        <v>562157.568359375</v>
      </c>
      <c r="D34" s="245">
        <f>D33*1%</f>
        <v>772966.65649414062</v>
      </c>
      <c r="E34" s="245">
        <f>E33*1%</f>
        <v>1062829.1526794434</v>
      </c>
      <c r="F34" s="24"/>
      <c r="G34" s="245">
        <f>G33*1%</f>
        <v>1461390.0849342346</v>
      </c>
      <c r="H34" s="245">
        <f>H33*1%</f>
        <v>2009411.3667845726</v>
      </c>
      <c r="I34" s="245">
        <f>I33*1%</f>
        <v>2762940.6293287873</v>
      </c>
      <c r="J34" s="24"/>
      <c r="K34" s="245">
        <f>(I34)+((I34)*$A$7)</f>
        <v>3799043.3653270826</v>
      </c>
      <c r="L34" s="245">
        <f>(K34)+((K34)*$A$8)</f>
        <v>4511363.9963259101</v>
      </c>
      <c r="M34" s="245">
        <f>(L34)+((L34)*$A$8)</f>
        <v>5357244.7456370182</v>
      </c>
      <c r="N34" s="245"/>
      <c r="O34" s="245">
        <f>(M34)+((M34)*$A$7)</f>
        <v>7366211.5252509005</v>
      </c>
      <c r="P34" s="245">
        <f>(O34)+((O34)*$A$8)</f>
        <v>8747376.1862354446</v>
      </c>
      <c r="Q34" s="245">
        <f>(P34)+((P34)*$A$8)</f>
        <v>10387509.221154591</v>
      </c>
      <c r="S34" s="54"/>
    </row>
    <row r="35" spans="1:20">
      <c r="B35" s="263"/>
      <c r="C35" s="245"/>
      <c r="D35" s="245"/>
      <c r="E35" s="245"/>
      <c r="F35" s="24"/>
      <c r="G35" s="245"/>
      <c r="H35" s="245"/>
      <c r="I35" s="245"/>
      <c r="J35" s="24"/>
      <c r="K35" s="245"/>
      <c r="L35" s="245"/>
      <c r="M35" s="245"/>
      <c r="N35" s="24"/>
      <c r="O35" s="245"/>
      <c r="P35" s="245"/>
      <c r="Q35" s="245"/>
      <c r="S35" s="229"/>
    </row>
    <row r="36" spans="1:20">
      <c r="B36" s="263"/>
      <c r="C36" s="245"/>
      <c r="D36" s="245"/>
      <c r="E36" s="245"/>
      <c r="F36" s="24"/>
      <c r="G36" s="245"/>
      <c r="H36" s="245"/>
      <c r="I36" s="245"/>
      <c r="J36" s="24"/>
      <c r="K36" s="245"/>
      <c r="L36" s="245"/>
      <c r="M36" s="245"/>
      <c r="N36" s="24"/>
      <c r="O36" s="245"/>
      <c r="P36" s="245"/>
      <c r="Q36" s="245"/>
      <c r="S36" s="54"/>
    </row>
    <row r="37" spans="1:20" ht="20" thickBot="1">
      <c r="B37" s="263"/>
      <c r="S37" s="233"/>
      <c r="T37" s="233"/>
    </row>
    <row r="38" spans="1:20" ht="15" customHeight="1" thickBot="1">
      <c r="A38" s="284" t="s">
        <v>117</v>
      </c>
      <c r="B38" s="262"/>
      <c r="C38" s="258">
        <v>45474</v>
      </c>
      <c r="D38" s="259">
        <v>45505</v>
      </c>
      <c r="E38" s="258">
        <v>45536</v>
      </c>
      <c r="F38" s="243" t="s">
        <v>127</v>
      </c>
      <c r="G38" s="258">
        <v>45566</v>
      </c>
      <c r="H38" s="258">
        <v>45597</v>
      </c>
      <c r="I38" s="258">
        <v>45627</v>
      </c>
      <c r="J38" s="243" t="s">
        <v>128</v>
      </c>
      <c r="K38" s="258">
        <v>45658</v>
      </c>
      <c r="L38" s="258">
        <v>45689</v>
      </c>
      <c r="M38" s="258">
        <v>45717</v>
      </c>
      <c r="N38" s="243" t="s">
        <v>129</v>
      </c>
      <c r="O38" s="258">
        <v>45748</v>
      </c>
      <c r="P38" s="258">
        <v>45778</v>
      </c>
      <c r="Q38" s="258">
        <v>45809</v>
      </c>
      <c r="R38" s="243" t="s">
        <v>130</v>
      </c>
      <c r="S38" s="388" t="s">
        <v>124</v>
      </c>
      <c r="T38" s="389"/>
    </row>
    <row r="39" spans="1:20" ht="19">
      <c r="A39" s="285" t="s">
        <v>139</v>
      </c>
      <c r="B39" s="160"/>
      <c r="C39" s="267">
        <f>C45*$E$12</f>
        <v>74011003.200726464</v>
      </c>
      <c r="D39" s="267">
        <f>D45*$E$12</f>
        <v>87888066.30086267</v>
      </c>
      <c r="E39" s="267">
        <f>E45*$E$12</f>
        <v>104367078.73227441</v>
      </c>
      <c r="F39" s="269">
        <f>SUM(C39:E39)</f>
        <v>266266148.23386353</v>
      </c>
      <c r="G39" s="267">
        <f>G45*$E$12</f>
        <v>123935905.99457587</v>
      </c>
      <c r="H39" s="267">
        <f>H45*$E$12</f>
        <v>147173888.36855885</v>
      </c>
      <c r="I39" s="267">
        <f>I45*$E$12</f>
        <v>174768992.43766364</v>
      </c>
      <c r="J39" s="269">
        <f>SUM(G39:I39)</f>
        <v>445878786.80079842</v>
      </c>
      <c r="K39" s="267">
        <f>K45*$E$12</f>
        <v>207538178.51972556</v>
      </c>
      <c r="L39" s="267">
        <f>L45*$E$12</f>
        <v>246451586.99217412</v>
      </c>
      <c r="M39" s="267">
        <f>M45*$E$12</f>
        <v>292661259.5532068</v>
      </c>
      <c r="N39" s="269">
        <f>SUM(K39:M39)</f>
        <v>746651025.06510651</v>
      </c>
      <c r="O39" s="267">
        <f>O45*$E$12</f>
        <v>347535245.71943307</v>
      </c>
      <c r="P39" s="267">
        <f>P45*$E$12</f>
        <v>412698104.29182673</v>
      </c>
      <c r="Q39" s="267">
        <f>Q45*$E$12</f>
        <v>490078998.84654427</v>
      </c>
      <c r="R39" s="269">
        <f>SUM(O39:Q39)</f>
        <v>1250312348.8578041</v>
      </c>
      <c r="S39" s="270" t="s">
        <v>109</v>
      </c>
      <c r="T39" s="271">
        <f>SUM(R39+N39+J39+F39)</f>
        <v>2709108308.9575725</v>
      </c>
    </row>
    <row r="40" spans="1:20" ht="19">
      <c r="A40" s="272" t="s">
        <v>110</v>
      </c>
      <c r="B40" s="2"/>
      <c r="C40" s="186">
        <f>(Q29*$A$8)+Q29</f>
        <v>62909352.720617488</v>
      </c>
      <c r="D40" s="186">
        <f>(C40*$A$8)+C40</f>
        <v>74704856.355733275</v>
      </c>
      <c r="E40" s="186">
        <f>(D40*$A$8)+D40</f>
        <v>88712016.922433257</v>
      </c>
      <c r="F40" s="242">
        <f>SUM(C40:E40)</f>
        <v>226326225.99878401</v>
      </c>
      <c r="G40" s="186">
        <f>G39*$H$6</f>
        <v>105345520.09538949</v>
      </c>
      <c r="H40" s="186">
        <f>H39*$H$6</f>
        <v>125097805.11327502</v>
      </c>
      <c r="I40" s="186">
        <f>I39*$H$6</f>
        <v>148553643.57201409</v>
      </c>
      <c r="J40" s="242">
        <f>SUM(G40:I40)</f>
        <v>378996968.78067863</v>
      </c>
      <c r="K40" s="186">
        <f>K39*$H$6</f>
        <v>176407451.74176672</v>
      </c>
      <c r="L40" s="186">
        <f>L39*$H$6</f>
        <v>209483848.94334799</v>
      </c>
      <c r="M40" s="186">
        <f>M39*$H$6</f>
        <v>248762070.62022579</v>
      </c>
      <c r="N40" s="242">
        <f>SUM(K40:M40)</f>
        <v>634653371.30534053</v>
      </c>
      <c r="O40" s="186">
        <f>O39*$H$6</f>
        <v>295404958.86151809</v>
      </c>
      <c r="P40" s="186">
        <f>P39*$H$6</f>
        <v>350793388.64805269</v>
      </c>
      <c r="Q40" s="186">
        <f>Q39*$H$6</f>
        <v>416567149.0195626</v>
      </c>
      <c r="R40" s="242">
        <f>SUM(O40:Q40)</f>
        <v>1062765496.5291334</v>
      </c>
      <c r="S40" s="232" t="s">
        <v>110</v>
      </c>
      <c r="T40" s="244">
        <f>SUM(R40+N40+J40+F40)</f>
        <v>2302742062.6139369</v>
      </c>
    </row>
    <row r="41" spans="1:20" ht="20" thickBot="1">
      <c r="A41" s="273" t="s">
        <v>140</v>
      </c>
      <c r="B41" s="274"/>
      <c r="C41" s="264">
        <f>C39*$H$7</f>
        <v>11101650.480108969</v>
      </c>
      <c r="D41" s="264">
        <f>D39*$H$7</f>
        <v>13183209.9451294</v>
      </c>
      <c r="E41" s="264">
        <f>E39*$H$7</f>
        <v>15655061.809841162</v>
      </c>
      <c r="F41" s="306">
        <f>SUM(C41:E41)</f>
        <v>39939922.235079534</v>
      </c>
      <c r="G41" s="264">
        <f>G39*$H$7</f>
        <v>18590385.89918638</v>
      </c>
      <c r="H41" s="264">
        <f>H39*$H$7</f>
        <v>22076083.255283829</v>
      </c>
      <c r="I41" s="264">
        <f>I39*$H$7</f>
        <v>26215348.865649547</v>
      </c>
      <c r="J41" s="306">
        <f>SUM(G41:I41)</f>
        <v>66881818.020119756</v>
      </c>
      <c r="K41" s="264">
        <f>K39*$H$7</f>
        <v>31130726.777958833</v>
      </c>
      <c r="L41" s="264">
        <f>L39*$H$7</f>
        <v>36967738.048826113</v>
      </c>
      <c r="M41" s="264">
        <f>M39*$H$7</f>
        <v>43899188.932981022</v>
      </c>
      <c r="N41" s="306">
        <f>SUM(K41:M41)</f>
        <v>111997653.75976595</v>
      </c>
      <c r="O41" s="264">
        <f>O39*$H$7</f>
        <v>52130286.857914962</v>
      </c>
      <c r="P41" s="264">
        <f>P39*$H$7</f>
        <v>61904715.643774003</v>
      </c>
      <c r="Q41" s="264">
        <f>Q39*$H$7</f>
        <v>73511849.826981634</v>
      </c>
      <c r="R41" s="306">
        <f>SUM(O41:Q41)</f>
        <v>187546852.32867059</v>
      </c>
      <c r="S41" s="265" t="s">
        <v>108</v>
      </c>
      <c r="T41" s="307">
        <f>SUM(R41+N41+J41+F41)</f>
        <v>406366246.3436358</v>
      </c>
    </row>
    <row r="42" spans="1:20">
      <c r="A42" s="263" t="s">
        <v>148</v>
      </c>
      <c r="C42" s="245">
        <f>(Q31+$A$8)+Q31</f>
        <v>1493749.5357160449</v>
      </c>
      <c r="D42" s="24">
        <f>(C42*$A$8)+C42</f>
        <v>1773827.5736628035</v>
      </c>
      <c r="E42" s="24">
        <f>(D42*$A$8)+D42</f>
        <v>2106420.243724579</v>
      </c>
      <c r="F42" s="24"/>
      <c r="G42" s="24">
        <f>(E42*$A$8)+E42</f>
        <v>2501374.0394229377</v>
      </c>
      <c r="H42" s="24">
        <f>(G42*$A$8)+G42</f>
        <v>2970381.6718147383</v>
      </c>
      <c r="I42" s="24">
        <f>(H42*$A$8)+H42</f>
        <v>3527328.2352800015</v>
      </c>
      <c r="J42" s="24"/>
      <c r="K42" s="24">
        <f>(I42*$A$8)+I42</f>
        <v>4188702.2793950019</v>
      </c>
      <c r="L42" s="24">
        <f>(K42*$A$8)+K42</f>
        <v>4974083.9567815643</v>
      </c>
      <c r="M42" s="24">
        <f>(L42*$A$8)+L42</f>
        <v>5906724.6986781079</v>
      </c>
      <c r="N42" s="24"/>
      <c r="O42" s="24">
        <f>(M42*$A$8)+M42</f>
        <v>7014235.5796802528</v>
      </c>
      <c r="P42" s="24">
        <f>(O42*$A$8)+O42</f>
        <v>8329404.7508703005</v>
      </c>
      <c r="Q42" s="24">
        <f>(P42*$A$8)+P42</f>
        <v>9891168.1416584812</v>
      </c>
    </row>
    <row r="43" spans="1:20">
      <c r="A43" s="263" t="s">
        <v>149</v>
      </c>
      <c r="C43" s="245">
        <v>1000</v>
      </c>
      <c r="D43" s="24">
        <f>C43</f>
        <v>1000</v>
      </c>
      <c r="E43" s="24">
        <f>D43</f>
        <v>1000</v>
      </c>
      <c r="F43" s="24"/>
      <c r="G43" s="24">
        <f>E43</f>
        <v>1000</v>
      </c>
      <c r="H43" s="24">
        <f>G43</f>
        <v>1000</v>
      </c>
      <c r="I43" s="24">
        <f>H43</f>
        <v>1000</v>
      </c>
      <c r="J43" s="24"/>
      <c r="K43" s="24">
        <f>I43</f>
        <v>1000</v>
      </c>
      <c r="L43" s="24">
        <f>K43</f>
        <v>1000</v>
      </c>
      <c r="M43" s="24">
        <f>L43</f>
        <v>1000</v>
      </c>
      <c r="N43" s="24"/>
      <c r="O43" s="24">
        <f>M43</f>
        <v>1000</v>
      </c>
      <c r="P43" s="24">
        <f>O43</f>
        <v>1000</v>
      </c>
      <c r="Q43" s="24">
        <f>P43</f>
        <v>1000</v>
      </c>
      <c r="S43" s="354"/>
    </row>
    <row r="44" spans="1:20">
      <c r="A44" s="263" t="s">
        <v>150</v>
      </c>
      <c r="C44" s="245">
        <f>IF((C43*C42)*$B$13&gt;$E$7,$E$7,(C43*C42)*$B$13)</f>
        <v>298749907.14320898</v>
      </c>
      <c r="D44" s="245">
        <f>IF((D43*D42)*$B$13&gt;$E$7,$E$7,(D43*D42)*$B$13)</f>
        <v>354765514.73256069</v>
      </c>
      <c r="E44" s="245">
        <f>IF((E43*E42)*$B$13&gt;$E$7,$E$7,(E43*E42)*$B$13)</f>
        <v>421284048.74491584</v>
      </c>
      <c r="F44" s="24"/>
      <c r="G44" s="245">
        <f>IF((G43*G42)*$B$13&gt;$E$7,$E$7,(G43*G42)*$B$13)</f>
        <v>500274807.88458759</v>
      </c>
      <c r="H44" s="245">
        <f>IF((H43*H42)*$B$13&gt;$E$7,$E$7,(H43*H42)*$B$13)</f>
        <v>594076334.3629477</v>
      </c>
      <c r="I44" s="245">
        <f>IF((I43*I42)*$B$13&gt;$E$7,$E$7,(I43*I42)*$B$13)</f>
        <v>705465647.05600035</v>
      </c>
      <c r="J44" s="24"/>
      <c r="K44" s="245">
        <f>IF((K43*K42)*$B$13&gt;$E$7,$E$7,(K43*K42)*$B$13)</f>
        <v>837740455.87900043</v>
      </c>
      <c r="L44" s="245">
        <f>IF((L43*L42)*$B$13&gt;$E$7,$E$7,(L43*L42)*$B$13)</f>
        <v>994816791.35631299</v>
      </c>
      <c r="M44" s="245">
        <f>IF((M43*M42)*$B$13&gt;$E$7,$E$7,(M43*M42)*$B$13)</f>
        <v>1181344939.7356217</v>
      </c>
      <c r="N44" s="24"/>
      <c r="O44" s="245">
        <f>IF((O43*O42)*$B$13&gt;$E$7,$E$7,(O43*O42)*$B$13)</f>
        <v>1402847115.9360507</v>
      </c>
      <c r="P44" s="245">
        <f>IF((P43*P42)*$B$13&gt;$E$7,$E$7,(P43*P42)*$B$13)</f>
        <v>1665880950.1740601</v>
      </c>
      <c r="Q44" s="245">
        <f>IF((Q43*Q42)*$B$13&gt;$E$7,$E$7,(Q43*Q42)*$B$13)</f>
        <v>1978233628.3316965</v>
      </c>
      <c r="S44" s="355"/>
    </row>
    <row r="45" spans="1:20">
      <c r="A45" s="263" t="s">
        <v>147</v>
      </c>
      <c r="C45" s="245">
        <f>(Q34)+((Q34)*$A$8)</f>
        <v>12335167.200121077</v>
      </c>
      <c r="D45" s="245">
        <f t="shared" ref="D45:I45" si="4">(C45)+((C45)*$A$8)</f>
        <v>14648011.050143778</v>
      </c>
      <c r="E45" s="245">
        <f t="shared" si="4"/>
        <v>17394513.122045737</v>
      </c>
      <c r="F45" s="24"/>
      <c r="G45" s="245">
        <f>(E45)+((E45)*$A$8)</f>
        <v>20655984.332429312</v>
      </c>
      <c r="H45" s="245">
        <f t="shared" si="4"/>
        <v>24528981.394759808</v>
      </c>
      <c r="I45" s="245">
        <f t="shared" si="4"/>
        <v>29128165.406277273</v>
      </c>
      <c r="J45" s="24"/>
      <c r="K45" s="245">
        <f>(I45)+((I45)*$A$8)</f>
        <v>34589696.419954263</v>
      </c>
      <c r="L45" s="245">
        <f t="shared" ref="L45:M45" si="5">(K45)+((K45)*$A$8)</f>
        <v>41075264.498695686</v>
      </c>
      <c r="M45" s="245">
        <f t="shared" si="5"/>
        <v>48776876.592201129</v>
      </c>
      <c r="N45" s="24"/>
      <c r="O45" s="245">
        <f>(M45)+((M45)*$A$8)</f>
        <v>57922540.953238845</v>
      </c>
      <c r="P45" s="245">
        <f t="shared" ref="P45:Q45" si="6">(O45)+((O45)*$A$8)</f>
        <v>68783017.381971121</v>
      </c>
      <c r="Q45" s="245">
        <f t="shared" si="6"/>
        <v>81679833.141090706</v>
      </c>
      <c r="S45" s="54"/>
    </row>
    <row r="46" spans="1:20">
      <c r="S46" s="229"/>
    </row>
  </sheetData>
  <mergeCells count="8">
    <mergeCell ref="S27:T27"/>
    <mergeCell ref="S38:T38"/>
    <mergeCell ref="A4:B4"/>
    <mergeCell ref="D4:E4"/>
    <mergeCell ref="G4:H4"/>
    <mergeCell ref="D9:E9"/>
    <mergeCell ref="A10:B10"/>
    <mergeCell ref="S16:T16"/>
  </mergeCells>
  <pageMargins left="0.7" right="0.7" top="0.75" bottom="0.75" header="0.3" footer="0.3"/>
  <pageSetup scale="26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19EAB-BCA2-264F-AD40-BD84880752DD}">
  <sheetPr>
    <pageSetUpPr fitToPage="1"/>
  </sheetPr>
  <dimension ref="A1:T46"/>
  <sheetViews>
    <sheetView zoomScale="98" zoomScaleNormal="98" workbookViewId="0">
      <selection activeCell="A28" sqref="A28"/>
    </sheetView>
  </sheetViews>
  <sheetFormatPr baseColWidth="10" defaultColWidth="11.5" defaultRowHeight="15"/>
  <cols>
    <col min="1" max="1" width="30.33203125" customWidth="1"/>
    <col min="2" max="2" width="9.6640625" customWidth="1"/>
    <col min="3" max="3" width="21.6640625" customWidth="1"/>
    <col min="4" max="4" width="23.1640625" customWidth="1"/>
    <col min="5" max="5" width="19.1640625" customWidth="1"/>
    <col min="6" max="6" width="18.83203125" customWidth="1"/>
    <col min="7" max="7" width="21.83203125" customWidth="1"/>
    <col min="8" max="8" width="21.5" customWidth="1"/>
    <col min="9" max="9" width="20.33203125" customWidth="1"/>
    <col min="10" max="10" width="19.33203125" customWidth="1"/>
    <col min="11" max="11" width="21.33203125" customWidth="1"/>
    <col min="12" max="12" width="20.33203125" customWidth="1"/>
    <col min="13" max="13" width="22.6640625" customWidth="1"/>
    <col min="14" max="14" width="21.5" customWidth="1"/>
    <col min="15" max="15" width="20.83203125" customWidth="1"/>
    <col min="16" max="16" width="21.83203125" customWidth="1"/>
    <col min="17" max="17" width="24.1640625" customWidth="1"/>
    <col min="18" max="18" width="21.83203125" customWidth="1"/>
    <col min="19" max="19" width="24.33203125" customWidth="1"/>
    <col min="20" max="20" width="26.5" customWidth="1"/>
    <col min="21" max="21" width="14.6640625" bestFit="1" customWidth="1"/>
  </cols>
  <sheetData>
    <row r="1" spans="1:20" ht="26">
      <c r="A1" s="151" t="s">
        <v>159</v>
      </c>
      <c r="C1" s="73"/>
    </row>
    <row r="2" spans="1:20" ht="21">
      <c r="A2" s="289" t="s">
        <v>163</v>
      </c>
      <c r="B2" s="231"/>
      <c r="C2" s="73"/>
    </row>
    <row r="3" spans="1:20" ht="16" thickBot="1">
      <c r="C3" s="1"/>
      <c r="F3" s="24"/>
      <c r="G3" s="54"/>
    </row>
    <row r="4" spans="1:20" ht="16" thickBot="1">
      <c r="A4" s="390" t="s">
        <v>145</v>
      </c>
      <c r="B4" s="391"/>
      <c r="C4" s="1"/>
      <c r="D4" s="390" t="s">
        <v>132</v>
      </c>
      <c r="E4" s="391"/>
      <c r="F4" s="24"/>
      <c r="G4" s="392" t="s">
        <v>138</v>
      </c>
      <c r="H4" s="393"/>
    </row>
    <row r="5" spans="1:20">
      <c r="A5" s="238" t="s">
        <v>125</v>
      </c>
      <c r="B5" s="234" t="s">
        <v>126</v>
      </c>
      <c r="C5" s="1"/>
      <c r="D5" s="301" t="s">
        <v>155</v>
      </c>
      <c r="E5" s="281">
        <v>7906250000</v>
      </c>
      <c r="F5" s="24"/>
      <c r="G5" s="253" t="s">
        <v>135</v>
      </c>
      <c r="H5" s="278">
        <v>1</v>
      </c>
    </row>
    <row r="6" spans="1:20">
      <c r="A6" s="247">
        <v>0.75</v>
      </c>
      <c r="B6" s="236">
        <f>A6*12</f>
        <v>9</v>
      </c>
      <c r="C6" s="1"/>
      <c r="D6" s="272" t="s">
        <v>156</v>
      </c>
      <c r="E6" s="282">
        <v>5000000000</v>
      </c>
      <c r="F6" s="24"/>
      <c r="G6" s="251" t="s">
        <v>307</v>
      </c>
      <c r="H6" s="279">
        <v>0.85</v>
      </c>
    </row>
    <row r="7" spans="1:20" ht="16" thickBot="1">
      <c r="A7" s="247">
        <f>A6/2</f>
        <v>0.375</v>
      </c>
      <c r="B7" s="236">
        <f>A7*12</f>
        <v>4.5</v>
      </c>
      <c r="C7" s="1"/>
      <c r="D7" s="261" t="s">
        <v>157</v>
      </c>
      <c r="E7" s="283">
        <v>4650000000</v>
      </c>
      <c r="F7" s="24"/>
      <c r="G7" s="252" t="s">
        <v>137</v>
      </c>
      <c r="H7" s="280">
        <v>0.15</v>
      </c>
    </row>
    <row r="8" spans="1:20" ht="16" thickBot="1">
      <c r="A8" s="246">
        <f>A7/2</f>
        <v>0.1875</v>
      </c>
      <c r="B8" s="237">
        <f>A8*12</f>
        <v>2.25</v>
      </c>
      <c r="C8" s="1"/>
      <c r="F8" s="24"/>
      <c r="G8" s="54"/>
    </row>
    <row r="9" spans="1:20" ht="16" thickBot="1">
      <c r="C9" s="1"/>
      <c r="D9" s="390" t="s">
        <v>133</v>
      </c>
      <c r="E9" s="391"/>
      <c r="F9" s="24"/>
      <c r="G9" s="54"/>
    </row>
    <row r="10" spans="1:20" ht="16" thickBot="1">
      <c r="A10" s="394" t="s">
        <v>146</v>
      </c>
      <c r="B10" s="395"/>
      <c r="C10" s="1"/>
      <c r="D10" s="302" t="s">
        <v>141</v>
      </c>
      <c r="E10" s="250">
        <v>3</v>
      </c>
      <c r="F10" s="24"/>
      <c r="G10" s="54"/>
    </row>
    <row r="11" spans="1:20">
      <c r="A11" s="275" t="s">
        <v>142</v>
      </c>
      <c r="B11" s="164">
        <v>0.97499999999999998</v>
      </c>
      <c r="C11" s="1"/>
      <c r="D11" s="235" t="s">
        <v>134</v>
      </c>
      <c r="E11" s="5">
        <v>2</v>
      </c>
      <c r="F11" s="24"/>
      <c r="G11" s="54"/>
    </row>
    <row r="12" spans="1:20" ht="16" thickBot="1">
      <c r="A12" s="276" t="s">
        <v>143</v>
      </c>
      <c r="B12" s="248">
        <v>0.5</v>
      </c>
      <c r="C12" s="1"/>
      <c r="D12" s="261" t="s">
        <v>158</v>
      </c>
      <c r="E12" s="249">
        <f>E10*E11</f>
        <v>6</v>
      </c>
      <c r="F12" s="24"/>
      <c r="G12" s="54"/>
    </row>
    <row r="13" spans="1:20" ht="16" thickBot="1">
      <c r="A13" s="277" t="s">
        <v>144</v>
      </c>
      <c r="B13" s="260">
        <v>0.2</v>
      </c>
      <c r="C13" s="1"/>
      <c r="F13" s="24"/>
      <c r="G13" s="54"/>
    </row>
    <row r="14" spans="1:20">
      <c r="C14" s="1"/>
      <c r="F14" s="24"/>
      <c r="G14" s="54"/>
    </row>
    <row r="15" spans="1:20" ht="16" thickBot="1">
      <c r="C15" s="1"/>
      <c r="D15" s="230" t="s">
        <v>131</v>
      </c>
      <c r="F15" s="24"/>
      <c r="G15" s="54"/>
    </row>
    <row r="16" spans="1:20" s="53" customFormat="1" ht="15" customHeight="1" thickBot="1">
      <c r="A16" s="284" t="s">
        <v>115</v>
      </c>
      <c r="B16" s="262"/>
      <c r="C16" s="239">
        <v>44743</v>
      </c>
      <c r="D16" s="240">
        <v>44774</v>
      </c>
      <c r="E16" s="239">
        <v>44805</v>
      </c>
      <c r="F16" s="241" t="s">
        <v>111</v>
      </c>
      <c r="G16" s="239">
        <v>44856</v>
      </c>
      <c r="H16" s="239">
        <v>44887</v>
      </c>
      <c r="I16" s="239">
        <v>44917</v>
      </c>
      <c r="J16" s="241" t="s">
        <v>112</v>
      </c>
      <c r="K16" s="239">
        <v>44949</v>
      </c>
      <c r="L16" s="239">
        <v>44980</v>
      </c>
      <c r="M16" s="239">
        <v>45008</v>
      </c>
      <c r="N16" s="241" t="s">
        <v>113</v>
      </c>
      <c r="O16" s="239">
        <v>45039</v>
      </c>
      <c r="P16" s="239">
        <v>45069</v>
      </c>
      <c r="Q16" s="239">
        <v>45100</v>
      </c>
      <c r="R16" s="241" t="s">
        <v>114</v>
      </c>
      <c r="S16" s="386" t="s">
        <v>123</v>
      </c>
      <c r="T16" s="387"/>
    </row>
    <row r="17" spans="1:20" ht="19">
      <c r="A17" s="266" t="s">
        <v>139</v>
      </c>
      <c r="B17" s="160"/>
      <c r="C17" s="267">
        <v>0</v>
      </c>
      <c r="D17" s="267">
        <f>D23*$E$12</f>
        <v>0</v>
      </c>
      <c r="E17" s="267">
        <f>E23*$E$12</f>
        <v>0</v>
      </c>
      <c r="F17" s="268">
        <f>SUM(C17:E17)</f>
        <v>0</v>
      </c>
      <c r="G17" s="267">
        <f>G23*$E$12</f>
        <v>0</v>
      </c>
      <c r="H17" s="267">
        <f>H23*$E$12</f>
        <v>0</v>
      </c>
      <c r="I17" s="267">
        <f>I23*$E$12</f>
        <v>5850</v>
      </c>
      <c r="J17" s="269">
        <f>SUM(G17:I17)</f>
        <v>5850</v>
      </c>
      <c r="K17" s="267">
        <f>K23*$E$12</f>
        <v>10237.5</v>
      </c>
      <c r="L17" s="267">
        <f>L23*$E$12</f>
        <v>17915.625</v>
      </c>
      <c r="M17" s="267">
        <f>M23*$E$12</f>
        <v>31352.34375</v>
      </c>
      <c r="N17" s="269">
        <f>SUM(K17:M17)</f>
        <v>59505.46875</v>
      </c>
      <c r="O17" s="267">
        <f>O23*$E$12</f>
        <v>54866.6015625</v>
      </c>
      <c r="P17" s="267">
        <f>P23*$E$12</f>
        <v>96016.552734375</v>
      </c>
      <c r="Q17" s="267">
        <f>Q23*$E$12</f>
        <v>168028.96728515625</v>
      </c>
      <c r="R17" s="269">
        <f>SUM(O17:Q17)</f>
        <v>318912.12158203125</v>
      </c>
      <c r="S17" s="270" t="s">
        <v>135</v>
      </c>
      <c r="T17" s="271">
        <f>SUM(R17+N17+J17+F17)</f>
        <v>384267.59033203125</v>
      </c>
    </row>
    <row r="18" spans="1:20" ht="19">
      <c r="A18" s="272" t="s">
        <v>110</v>
      </c>
      <c r="B18" s="2"/>
      <c r="C18" s="186">
        <v>0</v>
      </c>
      <c r="D18" s="186">
        <f>D17*$H$6</f>
        <v>0</v>
      </c>
      <c r="E18" s="186">
        <f>E17*$H$6</f>
        <v>0</v>
      </c>
      <c r="F18" s="254">
        <f>SUM(C18:E18)</f>
        <v>0</v>
      </c>
      <c r="G18" s="186">
        <f>G17*$H$6</f>
        <v>0</v>
      </c>
      <c r="H18" s="186">
        <f>H17*$H$6</f>
        <v>0</v>
      </c>
      <c r="I18" s="186">
        <f>I17*$H$6</f>
        <v>4972.5</v>
      </c>
      <c r="J18" s="242">
        <f>SUM(G18:I18)</f>
        <v>4972.5</v>
      </c>
      <c r="K18" s="186">
        <f>K17*$H$6</f>
        <v>8701.875</v>
      </c>
      <c r="L18" s="186">
        <f>L17*$H$6</f>
        <v>15228.28125</v>
      </c>
      <c r="M18" s="186">
        <f>M17*$H$6</f>
        <v>26649.4921875</v>
      </c>
      <c r="N18" s="242">
        <f>SUM(K18:M18)</f>
        <v>50579.6484375</v>
      </c>
      <c r="O18" s="186">
        <f>O17*$H$6</f>
        <v>46636.611328125</v>
      </c>
      <c r="P18" s="186">
        <f>P17*$H$6</f>
        <v>81614.06982421875</v>
      </c>
      <c r="Q18" s="186">
        <f>Q17*$H$6</f>
        <v>142824.62219238281</v>
      </c>
      <c r="R18" s="242">
        <f>SUM(O18:Q18)</f>
        <v>271075.30334472656</v>
      </c>
      <c r="S18" s="232" t="s">
        <v>136</v>
      </c>
      <c r="T18" s="244">
        <f>SUM(R18+N18+J18+F18)</f>
        <v>326627.45178222656</v>
      </c>
    </row>
    <row r="19" spans="1:20" ht="20" thickBot="1">
      <c r="A19" s="273" t="s">
        <v>140</v>
      </c>
      <c r="B19" s="274"/>
      <c r="C19" s="264">
        <v>0</v>
      </c>
      <c r="D19" s="264">
        <f>D17*$H$7</f>
        <v>0</v>
      </c>
      <c r="E19" s="264">
        <f>E17*$H$7</f>
        <v>0</v>
      </c>
      <c r="F19" s="305">
        <f>SUM(C19:E19)</f>
        <v>0</v>
      </c>
      <c r="G19" s="264">
        <f>G17*$H$7</f>
        <v>0</v>
      </c>
      <c r="H19" s="264">
        <f>H17*$H$7</f>
        <v>0</v>
      </c>
      <c r="I19" s="264">
        <f>I17*$H$7</f>
        <v>877.5</v>
      </c>
      <c r="J19" s="306">
        <f>SUM(G19:I19)</f>
        <v>877.5</v>
      </c>
      <c r="K19" s="264">
        <f>K17*$H$7</f>
        <v>1535.625</v>
      </c>
      <c r="L19" s="264">
        <f>L17*$H$7</f>
        <v>2687.34375</v>
      </c>
      <c r="M19" s="264">
        <f>M17*$H$7</f>
        <v>4702.8515625</v>
      </c>
      <c r="N19" s="306">
        <f>SUM(K19:M19)</f>
        <v>8925.8203125</v>
      </c>
      <c r="O19" s="264">
        <f>O17*$H$7</f>
        <v>8229.990234375</v>
      </c>
      <c r="P19" s="264">
        <f>P17*$H$7</f>
        <v>14402.48291015625</v>
      </c>
      <c r="Q19" s="264">
        <f>Q17*$H$7</f>
        <v>25204.345092773438</v>
      </c>
      <c r="R19" s="306">
        <f>SUM(O19:Q19)</f>
        <v>47836.818237304688</v>
      </c>
      <c r="S19" s="265" t="s">
        <v>137</v>
      </c>
      <c r="T19" s="307">
        <f>SUM(R19+N19+J19+F19)</f>
        <v>57640.138549804688</v>
      </c>
    </row>
    <row r="20" spans="1:20">
      <c r="A20" s="263" t="s">
        <v>148</v>
      </c>
      <c r="C20" s="245">
        <v>0</v>
      </c>
      <c r="D20" s="24"/>
      <c r="E20" s="24"/>
      <c r="F20" s="24"/>
      <c r="G20" s="24"/>
      <c r="H20" s="24"/>
      <c r="I20" s="24">
        <v>10</v>
      </c>
      <c r="J20" s="24"/>
      <c r="K20" s="24">
        <f>(I20*$A$6)+I20</f>
        <v>17.5</v>
      </c>
      <c r="L20" s="24">
        <f>(K20*$A$6)+K20</f>
        <v>30.625</v>
      </c>
      <c r="M20" s="24">
        <f>(L20*$A$6)+L20</f>
        <v>53.59375</v>
      </c>
      <c r="N20" s="24"/>
      <c r="O20" s="24">
        <f>(M20*$A$6)+M20</f>
        <v>93.7890625</v>
      </c>
      <c r="P20" s="24">
        <f>(O20*$A$6)+O20</f>
        <v>164.130859375</v>
      </c>
      <c r="Q20" s="24">
        <f>(P20*$A$6)+P20</f>
        <v>287.22900390625</v>
      </c>
    </row>
    <row r="21" spans="1:20">
      <c r="A21" s="263" t="s">
        <v>149</v>
      </c>
      <c r="C21" s="245"/>
      <c r="D21" s="24"/>
      <c r="E21" s="24"/>
      <c r="F21" s="24"/>
      <c r="G21" s="24"/>
      <c r="H21" s="24"/>
      <c r="I21" s="24">
        <v>10000</v>
      </c>
      <c r="J21" s="24"/>
      <c r="K21" s="24">
        <f>I21</f>
        <v>10000</v>
      </c>
      <c r="L21" s="24">
        <f>K21</f>
        <v>10000</v>
      </c>
      <c r="M21" s="24">
        <f>L21</f>
        <v>10000</v>
      </c>
      <c r="N21" s="24"/>
      <c r="O21" s="24">
        <f>M21</f>
        <v>10000</v>
      </c>
      <c r="P21" s="24">
        <f>O21</f>
        <v>10000</v>
      </c>
      <c r="Q21" s="24">
        <f>P21</f>
        <v>10000</v>
      </c>
      <c r="S21" s="354"/>
    </row>
    <row r="22" spans="1:20">
      <c r="A22" s="263" t="s">
        <v>150</v>
      </c>
      <c r="C22" s="245">
        <f>(C21*C20)</f>
        <v>0</v>
      </c>
      <c r="D22" s="245">
        <f>(D21*D20)*$B$11</f>
        <v>0</v>
      </c>
      <c r="E22" s="245">
        <f>(E21*E20)*$B$11</f>
        <v>0</v>
      </c>
      <c r="F22" s="24"/>
      <c r="G22" s="245">
        <f>(G21*G20)*$B$11</f>
        <v>0</v>
      </c>
      <c r="H22" s="245">
        <f>(H21*H20)*$B$11</f>
        <v>0</v>
      </c>
      <c r="I22" s="245">
        <f>(I21*I20)*$B$11</f>
        <v>97500</v>
      </c>
      <c r="J22" s="24"/>
      <c r="K22" s="245">
        <f>(K21*K20)*$B$11</f>
        <v>170625</v>
      </c>
      <c r="L22" s="245">
        <f>(L21*L20)*$B$11</f>
        <v>298593.75</v>
      </c>
      <c r="M22" s="245">
        <f>(M21*M20)*$B$11</f>
        <v>522539.0625</v>
      </c>
      <c r="N22" s="24"/>
      <c r="O22" s="245">
        <f>(O21*O20)*$B$11</f>
        <v>914443.359375</v>
      </c>
      <c r="P22" s="245">
        <f>(P21*P20)*$B$11</f>
        <v>1600275.87890625</v>
      </c>
      <c r="Q22" s="245">
        <f>(Q21*Q20)*$B$11</f>
        <v>2800482.7880859375</v>
      </c>
      <c r="S22" s="355"/>
    </row>
    <row r="23" spans="1:20">
      <c r="A23" s="263" t="s">
        <v>147</v>
      </c>
      <c r="C23" s="245">
        <f>C22*1%</f>
        <v>0</v>
      </c>
      <c r="D23" s="245">
        <f>D22*1%</f>
        <v>0</v>
      </c>
      <c r="E23" s="245">
        <f t="shared" ref="E23" si="0">E22*1%</f>
        <v>0</v>
      </c>
      <c r="F23" s="24"/>
      <c r="G23" s="245">
        <f>G22*1%</f>
        <v>0</v>
      </c>
      <c r="H23" s="245">
        <f t="shared" ref="H23" si="1">H22*1%</f>
        <v>0</v>
      </c>
      <c r="I23" s="245">
        <f t="shared" ref="I23" si="2">I22*1%</f>
        <v>975</v>
      </c>
      <c r="J23" s="24"/>
      <c r="K23" s="245">
        <f>K22*1%</f>
        <v>1706.25</v>
      </c>
      <c r="L23" s="245">
        <f>L22*1%</f>
        <v>2985.9375</v>
      </c>
      <c r="M23" s="245">
        <f t="shared" ref="M23:Q23" si="3">M22*1%</f>
        <v>5225.390625</v>
      </c>
      <c r="N23" s="24"/>
      <c r="O23" s="245">
        <f t="shared" si="3"/>
        <v>9144.43359375</v>
      </c>
      <c r="P23" s="245">
        <f t="shared" si="3"/>
        <v>16002.7587890625</v>
      </c>
      <c r="Q23" s="245">
        <f t="shared" si="3"/>
        <v>28004.827880859375</v>
      </c>
      <c r="S23" s="54"/>
    </row>
    <row r="24" spans="1:20">
      <c r="B24" s="263"/>
      <c r="C24" s="245"/>
      <c r="D24" s="245"/>
      <c r="E24" s="245"/>
      <c r="F24" s="24"/>
      <c r="G24" s="245"/>
      <c r="H24" s="245"/>
      <c r="I24" s="245"/>
      <c r="J24" s="24"/>
      <c r="K24" s="245"/>
      <c r="L24" s="245"/>
      <c r="M24" s="245"/>
      <c r="N24" s="24"/>
      <c r="O24" s="245"/>
      <c r="P24" s="245"/>
      <c r="Q24" s="245"/>
      <c r="S24" s="229"/>
    </row>
    <row r="25" spans="1:20">
      <c r="A25" s="263" t="s">
        <v>166</v>
      </c>
      <c r="B25" s="263"/>
      <c r="C25" s="245"/>
      <c r="D25" s="245"/>
      <c r="E25" s="245"/>
      <c r="F25" s="24"/>
      <c r="G25" s="245"/>
      <c r="H25" s="245"/>
      <c r="I25" s="245"/>
      <c r="J25" s="24"/>
      <c r="K25" s="245"/>
      <c r="L25" s="245"/>
      <c r="M25" s="245"/>
      <c r="N25" s="24"/>
      <c r="O25" s="245"/>
      <c r="P25" s="245"/>
      <c r="Q25" s="245"/>
      <c r="S25" s="54"/>
    </row>
    <row r="26" spans="1:20" ht="16" thickBot="1">
      <c r="B26" s="263"/>
      <c r="F26" s="24"/>
    </row>
    <row r="27" spans="1:20" s="53" customFormat="1" ht="15" customHeight="1" thickBot="1">
      <c r="A27" s="284" t="s">
        <v>116</v>
      </c>
      <c r="B27" s="262"/>
      <c r="C27" s="239">
        <v>45108</v>
      </c>
      <c r="D27" s="240">
        <f>C27+31</f>
        <v>45139</v>
      </c>
      <c r="E27" s="239">
        <f>D27+31</f>
        <v>45170</v>
      </c>
      <c r="F27" s="241" t="s">
        <v>118</v>
      </c>
      <c r="G27" s="239">
        <f>E27+30.5</f>
        <v>45200.5</v>
      </c>
      <c r="H27" s="239">
        <f>G27+30.5</f>
        <v>45231</v>
      </c>
      <c r="I27" s="239">
        <v>45282</v>
      </c>
      <c r="J27" s="241" t="s">
        <v>119</v>
      </c>
      <c r="K27" s="239">
        <f>I27+30.5</f>
        <v>45312.5</v>
      </c>
      <c r="L27" s="239">
        <f>K27+30.5</f>
        <v>45343</v>
      </c>
      <c r="M27" s="239">
        <f>L27+30.5</f>
        <v>45373.5</v>
      </c>
      <c r="N27" s="241" t="s">
        <v>120</v>
      </c>
      <c r="O27" s="239">
        <f>M27+30.5</f>
        <v>45404</v>
      </c>
      <c r="P27" s="239">
        <f>O27+30.5</f>
        <v>45434.5</v>
      </c>
      <c r="Q27" s="239">
        <f>P27+30.5</f>
        <v>45465</v>
      </c>
      <c r="R27" s="241" t="s">
        <v>121</v>
      </c>
      <c r="S27" s="386" t="s">
        <v>122</v>
      </c>
      <c r="T27" s="387"/>
    </row>
    <row r="28" spans="1:20" ht="19">
      <c r="A28" s="266" t="s">
        <v>139</v>
      </c>
      <c r="B28" s="160"/>
      <c r="C28" s="267">
        <f>C34*$E$12</f>
        <v>86224.951171875</v>
      </c>
      <c r="D28" s="267">
        <f>D34*$E$12</f>
        <v>118559.30786132812</v>
      </c>
      <c r="E28" s="267">
        <f>E34*$E$12</f>
        <v>163019.04830932617</v>
      </c>
      <c r="F28" s="269">
        <f>SUM(C28:E28)</f>
        <v>367803.3073425293</v>
      </c>
      <c r="G28" s="267">
        <f>G34*$E$12</f>
        <v>224151.19142532349</v>
      </c>
      <c r="H28" s="267">
        <f>H34*$E$12</f>
        <v>308207.88820981979</v>
      </c>
      <c r="I28" s="267">
        <f>I34*$E$12</f>
        <v>423785.84628850222</v>
      </c>
      <c r="J28" s="269">
        <f>SUM(G28:I28)</f>
        <v>956144.9259236455</v>
      </c>
      <c r="K28" s="267">
        <f>K34*$E$12</f>
        <v>582705.53864669055</v>
      </c>
      <c r="L28" s="267">
        <f>L34*$E$12</f>
        <v>801220.1156391995</v>
      </c>
      <c r="M28" s="267">
        <f>M34*$E$12</f>
        <v>1101677.6590038994</v>
      </c>
      <c r="N28" s="269">
        <f>SUM(K28:M28)</f>
        <v>2485603.3132897895</v>
      </c>
      <c r="O28" s="267">
        <f>O34*$E$12</f>
        <v>1514806.7811303616</v>
      </c>
      <c r="P28" s="267">
        <f>P34*$E$12</f>
        <v>2082859.3240542472</v>
      </c>
      <c r="Q28" s="267">
        <f>Q34*$E$12</f>
        <v>2863931.5705745895</v>
      </c>
      <c r="R28" s="269">
        <f>SUM(O28:Q28)</f>
        <v>6461597.6757591981</v>
      </c>
      <c r="S28" s="270" t="s">
        <v>135</v>
      </c>
      <c r="T28" s="271">
        <f>SUM(R28+N28+J28+F28)</f>
        <v>10271149.222315162</v>
      </c>
    </row>
    <row r="29" spans="1:20" ht="19">
      <c r="A29" s="272" t="s">
        <v>110</v>
      </c>
      <c r="B29" s="2"/>
      <c r="C29" s="186">
        <f>C28*$H$6</f>
        <v>73291.20849609375</v>
      </c>
      <c r="D29" s="186">
        <f>D28*$H$6</f>
        <v>100775.41168212891</v>
      </c>
      <c r="E29" s="186">
        <f>E28*$H$6</f>
        <v>138566.19106292725</v>
      </c>
      <c r="F29" s="242">
        <f>SUM(C29:E29)</f>
        <v>312632.8112411499</v>
      </c>
      <c r="G29" s="186">
        <f>G28*$H$6</f>
        <v>190528.51271152496</v>
      </c>
      <c r="H29" s="186">
        <f>H28*$H$6</f>
        <v>261976.70497834682</v>
      </c>
      <c r="I29" s="186">
        <f>I28*$H$6</f>
        <v>360217.96934522688</v>
      </c>
      <c r="J29" s="242">
        <f>SUM(G29:I29)</f>
        <v>812723.18703509867</v>
      </c>
      <c r="K29" s="186">
        <f>K28*$H$6</f>
        <v>495299.70784968697</v>
      </c>
      <c r="L29" s="186">
        <f>L28*$H$6</f>
        <v>681037.09829331958</v>
      </c>
      <c r="M29" s="186">
        <f>M28*$H$6</f>
        <v>936426.01015331445</v>
      </c>
      <c r="N29" s="242">
        <f>SUM(K29:M29)</f>
        <v>2112762.8162963209</v>
      </c>
      <c r="O29" s="186">
        <f>O28*$H$6</f>
        <v>1287585.7639608074</v>
      </c>
      <c r="P29" s="186">
        <f>P28*$H$6</f>
        <v>1770430.4254461101</v>
      </c>
      <c r="Q29" s="186">
        <f>Q28*$H$6</f>
        <v>2434341.8349884013</v>
      </c>
      <c r="R29" s="242">
        <f>SUM(O29:Q29)</f>
        <v>5492358.0243953187</v>
      </c>
      <c r="S29" s="232" t="s">
        <v>136</v>
      </c>
      <c r="T29" s="244">
        <f>SUM(R29+N29+J29+F29)</f>
        <v>8730476.8389678877</v>
      </c>
    </row>
    <row r="30" spans="1:20" ht="20" thickBot="1">
      <c r="A30" s="273" t="s">
        <v>140</v>
      </c>
      <c r="B30" s="274"/>
      <c r="C30" s="264">
        <f>C28*$H$7</f>
        <v>12933.74267578125</v>
      </c>
      <c r="D30" s="264">
        <f>D28*$H$7</f>
        <v>17783.896179199219</v>
      </c>
      <c r="E30" s="264">
        <f>E28*$H$7</f>
        <v>24452.857246398926</v>
      </c>
      <c r="F30" s="306">
        <f>SUM(C30:E30)</f>
        <v>55170.496101379395</v>
      </c>
      <c r="G30" s="264">
        <f>G28*$H$7</f>
        <v>33622.678713798523</v>
      </c>
      <c r="H30" s="264">
        <f>H28*$H$7</f>
        <v>46231.183231472969</v>
      </c>
      <c r="I30" s="264">
        <f>I28*$H$7</f>
        <v>63567.876943275332</v>
      </c>
      <c r="J30" s="306">
        <f>SUM(G30:I30)</f>
        <v>143421.73888854682</v>
      </c>
      <c r="K30" s="264">
        <f>K28*$H$7</f>
        <v>87405.830797003582</v>
      </c>
      <c r="L30" s="264">
        <f>L28*$H$7</f>
        <v>120183.01734587993</v>
      </c>
      <c r="M30" s="264">
        <f>M28*$H$7</f>
        <v>165251.6488505849</v>
      </c>
      <c r="N30" s="306">
        <f>SUM(K30:M30)</f>
        <v>372840.49699346838</v>
      </c>
      <c r="O30" s="264">
        <f>O28*$H$7</f>
        <v>227221.01716955422</v>
      </c>
      <c r="P30" s="264">
        <f>P28*$H$7</f>
        <v>312428.8986081371</v>
      </c>
      <c r="Q30" s="264">
        <f>Q28*$H$7</f>
        <v>429589.73558618844</v>
      </c>
      <c r="R30" s="306">
        <f>SUM(O30:Q30)</f>
        <v>969239.65136387968</v>
      </c>
      <c r="S30" s="265" t="s">
        <v>137</v>
      </c>
      <c r="T30" s="307">
        <f>SUM(R30+N30+J30+F30)</f>
        <v>1540672.3833472743</v>
      </c>
    </row>
    <row r="31" spans="1:20">
      <c r="A31" s="263" t="s">
        <v>148</v>
      </c>
      <c r="C31" s="245">
        <f>(Q20+$A$7)+Q20</f>
        <v>574.8330078125</v>
      </c>
      <c r="D31" s="24">
        <f>(C31*$A$7)+C31</f>
        <v>790.3953857421875</v>
      </c>
      <c r="E31" s="24">
        <f>(D31*$A$7)+D31</f>
        <v>1086.7936553955078</v>
      </c>
      <c r="F31" s="24"/>
      <c r="G31" s="24">
        <f>(E31*$A$7)+E31</f>
        <v>1494.3412761688232</v>
      </c>
      <c r="H31" s="24">
        <f>(G31*$A$7)+G31</f>
        <v>2054.719254732132</v>
      </c>
      <c r="I31" s="24">
        <f>(H31*$A$7)+H31</f>
        <v>2825.2389752566814</v>
      </c>
      <c r="J31" s="24"/>
      <c r="K31" s="24">
        <f>(I31*$A$7)+I31</f>
        <v>3884.703590977937</v>
      </c>
      <c r="L31" s="24">
        <f>(K31*$A$7)+K31</f>
        <v>5341.4674375946634</v>
      </c>
      <c r="M31" s="24">
        <f>(L31*$A$7)+L31</f>
        <v>7344.5177266926621</v>
      </c>
      <c r="N31" s="24"/>
      <c r="O31" s="24">
        <f>(M31*$A$7)+M31</f>
        <v>10098.71187420241</v>
      </c>
      <c r="P31" s="24">
        <f>(O31*$A$7)+O31</f>
        <v>13885.728827028313</v>
      </c>
      <c r="Q31" s="24">
        <f>(P31*$A$7)+P31</f>
        <v>19092.87713716393</v>
      </c>
    </row>
    <row r="32" spans="1:20">
      <c r="A32" s="263" t="s">
        <v>149</v>
      </c>
      <c r="C32" s="245">
        <v>5000</v>
      </c>
      <c r="D32" s="24">
        <f>C32</f>
        <v>5000</v>
      </c>
      <c r="E32" s="24">
        <f>D32</f>
        <v>5000</v>
      </c>
      <c r="F32" s="24"/>
      <c r="G32" s="24">
        <f>E32</f>
        <v>5000</v>
      </c>
      <c r="H32" s="24">
        <f>G32</f>
        <v>5000</v>
      </c>
      <c r="I32" s="24">
        <f>H32</f>
        <v>5000</v>
      </c>
      <c r="J32" s="24"/>
      <c r="K32" s="24">
        <f>I32</f>
        <v>5000</v>
      </c>
      <c r="L32" s="24">
        <f>K32</f>
        <v>5000</v>
      </c>
      <c r="M32" s="24">
        <f>L32</f>
        <v>5000</v>
      </c>
      <c r="N32" s="24"/>
      <c r="O32" s="24">
        <f>M32</f>
        <v>5000</v>
      </c>
      <c r="P32" s="24">
        <f>O32</f>
        <v>5000</v>
      </c>
      <c r="Q32" s="24">
        <f>P32</f>
        <v>5000</v>
      </c>
      <c r="S32" s="354"/>
    </row>
    <row r="33" spans="1:20">
      <c r="A33" s="263" t="s">
        <v>150</v>
      </c>
      <c r="C33" s="245">
        <f>((C32*C31)*$B$12)+$N$22</f>
        <v>1437082.51953125</v>
      </c>
      <c r="D33" s="245">
        <f>((D32*D31)*$B$12)+$N$22</f>
        <v>1975988.4643554688</v>
      </c>
      <c r="E33" s="245">
        <f>((E32*E31)*$B$12)+$N$22</f>
        <v>2716984.1384887695</v>
      </c>
      <c r="F33" s="24"/>
      <c r="G33" s="245">
        <f>((G32*G31)*$B$12)+$N$22</f>
        <v>3735853.1904220581</v>
      </c>
      <c r="H33" s="245">
        <f>((H32*H31)*$B$12)+$N$22</f>
        <v>5136798.1368303299</v>
      </c>
      <c r="I33" s="245">
        <f>((I32*I31)*$B$12)+$N$22</f>
        <v>7063097.4381417036</v>
      </c>
      <c r="J33" s="24"/>
      <c r="K33" s="245">
        <f>((K32*K31)*$B$12)+$N$22</f>
        <v>9711758.9774448425</v>
      </c>
      <c r="L33" s="245">
        <f>((L32*L31)*$B$12)+$N$22</f>
        <v>13353668.593986658</v>
      </c>
      <c r="M33" s="245">
        <f>((M32*M31)*$B$12)+$N$22</f>
        <v>18361294.316731654</v>
      </c>
      <c r="N33" s="24"/>
      <c r="O33" s="245">
        <f>IF((O32*O31)*$B$12&gt;$E$7,$E$7,(O32*O31)*$B$12)</f>
        <v>25246779.685506027</v>
      </c>
      <c r="P33" s="245">
        <f>IF((P32*P31)*$B$12&gt;$E$7,$E$7,(P32*P31)*$B$12)</f>
        <v>34714322.067570783</v>
      </c>
      <c r="Q33" s="245">
        <f>IF((Q32*Q31)*$B$12&gt;$E$7,$E$7,(Q32*Q31)*$B$12)</f>
        <v>47732192.842909828</v>
      </c>
      <c r="S33" s="355"/>
    </row>
    <row r="34" spans="1:20">
      <c r="A34" s="263" t="s">
        <v>147</v>
      </c>
      <c r="C34" s="245">
        <f t="shared" ref="C34:E34" si="4">C33*1%</f>
        <v>14370.8251953125</v>
      </c>
      <c r="D34" s="245">
        <f t="shared" si="4"/>
        <v>19759.884643554688</v>
      </c>
      <c r="E34" s="245">
        <f t="shared" si="4"/>
        <v>27169.841384887695</v>
      </c>
      <c r="F34" s="24"/>
      <c r="G34" s="245">
        <f t="shared" ref="G34:I34" si="5">G33*1%</f>
        <v>37358.531904220581</v>
      </c>
      <c r="H34" s="245">
        <f t="shared" si="5"/>
        <v>51367.981368303299</v>
      </c>
      <c r="I34" s="245">
        <f t="shared" si="5"/>
        <v>70630.974381417036</v>
      </c>
      <c r="J34" s="24"/>
      <c r="K34" s="245">
        <f t="shared" ref="K34:M34" si="6">K33*1%</f>
        <v>97117.589774448425</v>
      </c>
      <c r="L34" s="245">
        <f t="shared" si="6"/>
        <v>133536.68593986658</v>
      </c>
      <c r="M34" s="245">
        <f t="shared" si="6"/>
        <v>183612.94316731655</v>
      </c>
      <c r="N34" s="24"/>
      <c r="O34" s="245">
        <f t="shared" ref="O34:Q34" si="7">O33*1%</f>
        <v>252467.79685506027</v>
      </c>
      <c r="P34" s="245">
        <f t="shared" si="7"/>
        <v>347143.22067570785</v>
      </c>
      <c r="Q34" s="245">
        <f t="shared" si="7"/>
        <v>477321.92842909828</v>
      </c>
      <c r="S34" s="54"/>
    </row>
    <row r="35" spans="1:20">
      <c r="B35" s="263"/>
      <c r="C35" s="245"/>
      <c r="D35" s="245"/>
      <c r="E35" s="245"/>
      <c r="F35" s="24"/>
      <c r="G35" s="245"/>
      <c r="H35" s="245"/>
      <c r="I35" s="245"/>
      <c r="J35" s="24"/>
      <c r="K35" s="245"/>
      <c r="L35" s="245"/>
      <c r="M35" s="245"/>
      <c r="N35" s="24"/>
      <c r="O35" s="245"/>
      <c r="P35" s="245"/>
      <c r="Q35" s="245"/>
      <c r="S35" s="229"/>
    </row>
    <row r="36" spans="1:20">
      <c r="B36" s="263"/>
      <c r="C36" s="245"/>
      <c r="D36" s="245"/>
      <c r="E36" s="245"/>
      <c r="F36" s="24"/>
      <c r="G36" s="245"/>
      <c r="H36" s="245"/>
      <c r="I36" s="245"/>
      <c r="J36" s="24"/>
      <c r="K36" s="245"/>
      <c r="L36" s="245"/>
      <c r="M36" s="245"/>
      <c r="N36" s="24"/>
      <c r="O36" s="245"/>
      <c r="P36" s="245"/>
      <c r="Q36" s="245"/>
      <c r="S36" s="54"/>
    </row>
    <row r="37" spans="1:20" ht="20" thickBot="1">
      <c r="B37" s="263"/>
      <c r="S37" s="233"/>
      <c r="T37" s="233"/>
    </row>
    <row r="38" spans="1:20" ht="15" customHeight="1" thickBot="1">
      <c r="A38" s="284" t="s">
        <v>117</v>
      </c>
      <c r="B38" s="262"/>
      <c r="C38" s="258">
        <v>45474</v>
      </c>
      <c r="D38" s="259">
        <v>45505</v>
      </c>
      <c r="E38" s="258">
        <v>45536</v>
      </c>
      <c r="F38" s="243" t="s">
        <v>127</v>
      </c>
      <c r="G38" s="258">
        <v>45566</v>
      </c>
      <c r="H38" s="258">
        <v>45597</v>
      </c>
      <c r="I38" s="258">
        <v>45627</v>
      </c>
      <c r="J38" s="243" t="s">
        <v>128</v>
      </c>
      <c r="K38" s="258">
        <v>45658</v>
      </c>
      <c r="L38" s="258">
        <v>45689</v>
      </c>
      <c r="M38" s="258">
        <v>45717</v>
      </c>
      <c r="N38" s="243" t="s">
        <v>129</v>
      </c>
      <c r="O38" s="258">
        <v>45748</v>
      </c>
      <c r="P38" s="258">
        <v>45778</v>
      </c>
      <c r="Q38" s="258">
        <v>45809</v>
      </c>
      <c r="R38" s="243" t="s">
        <v>130</v>
      </c>
      <c r="S38" s="388" t="s">
        <v>124</v>
      </c>
      <c r="T38" s="389"/>
    </row>
    <row r="39" spans="1:20" ht="19">
      <c r="A39" s="285" t="s">
        <v>139</v>
      </c>
      <c r="B39" s="160"/>
      <c r="C39" s="267">
        <f>C45*$E$12</f>
        <v>458231.30129193433</v>
      </c>
      <c r="D39" s="267">
        <f>D45*$E$12</f>
        <v>544149.67028417205</v>
      </c>
      <c r="E39" s="267">
        <f>E45*$E$12</f>
        <v>646177.7334624544</v>
      </c>
      <c r="F39" s="269">
        <f>SUM(C39:E39)</f>
        <v>1648558.7050385608</v>
      </c>
      <c r="G39" s="267">
        <f>G45*$E$12</f>
        <v>767336.05848666455</v>
      </c>
      <c r="H39" s="267">
        <f>H45*$E$12</f>
        <v>911211.56945291418</v>
      </c>
      <c r="I39" s="267">
        <f>I45*$E$12</f>
        <v>1082063.7387253358</v>
      </c>
      <c r="J39" s="269">
        <f>SUM(G39:I39)</f>
        <v>2760611.3666649144</v>
      </c>
      <c r="K39" s="267">
        <f>K45*$E$12</f>
        <v>1284950.689736336</v>
      </c>
      <c r="L39" s="267">
        <f>L45*$E$12</f>
        <v>1525878.9440618991</v>
      </c>
      <c r="M39" s="267">
        <f>M45*$E$12</f>
        <v>1811981.2460735051</v>
      </c>
      <c r="N39" s="269">
        <f>SUM(K39:M39)</f>
        <v>4622810.87987174</v>
      </c>
      <c r="O39" s="267">
        <f>O45*$E$12</f>
        <v>2151727.7297122874</v>
      </c>
      <c r="P39" s="267">
        <f>P45*$E$12</f>
        <v>2555176.6790333409</v>
      </c>
      <c r="Q39" s="267">
        <f>Q45*$E$12</f>
        <v>3034272.3063520924</v>
      </c>
      <c r="R39" s="269">
        <f>SUM(O39:Q39)</f>
        <v>7741176.7150977198</v>
      </c>
      <c r="S39" s="270" t="s">
        <v>135</v>
      </c>
      <c r="T39" s="271">
        <f>SUM(R39+N39+J39+F39)</f>
        <v>16773157.666672934</v>
      </c>
    </row>
    <row r="40" spans="1:20" ht="19">
      <c r="A40" s="272" t="s">
        <v>110</v>
      </c>
      <c r="B40" s="2"/>
      <c r="C40" s="186">
        <f>C39*$H$6</f>
        <v>389496.6060981442</v>
      </c>
      <c r="D40" s="186">
        <f>D39*$H$6</f>
        <v>462527.21974154626</v>
      </c>
      <c r="E40" s="186">
        <f>E39*$H$6</f>
        <v>549251.07344308624</v>
      </c>
      <c r="F40" s="242">
        <f>SUM(C40:E40)</f>
        <v>1401274.8992827768</v>
      </c>
      <c r="G40" s="186">
        <f>G39*$H$6</f>
        <v>652235.6497136649</v>
      </c>
      <c r="H40" s="186">
        <f>H39*$H$6</f>
        <v>774529.83403497702</v>
      </c>
      <c r="I40" s="186">
        <f>I39*$H$6</f>
        <v>919754.17791653541</v>
      </c>
      <c r="J40" s="242">
        <f>SUM(G40:I40)</f>
        <v>2346519.661665177</v>
      </c>
      <c r="K40" s="186">
        <f>K39*$H$6</f>
        <v>1092208.0862758856</v>
      </c>
      <c r="L40" s="186">
        <f>L39*$H$6</f>
        <v>1296997.1024526141</v>
      </c>
      <c r="M40" s="186">
        <f>M39*$H$6</f>
        <v>1540184.0591624794</v>
      </c>
      <c r="N40" s="242">
        <f>SUM(K40:M40)</f>
        <v>3929389.2478909791</v>
      </c>
      <c r="O40" s="186">
        <f>O39*$H$6</f>
        <v>1828968.5702554442</v>
      </c>
      <c r="P40" s="186">
        <f>P39*$H$6</f>
        <v>2171900.1771783396</v>
      </c>
      <c r="Q40" s="186">
        <f>Q39*$H$6</f>
        <v>2579131.4603992784</v>
      </c>
      <c r="R40" s="242">
        <f>SUM(O40:Q40)</f>
        <v>6580000.2078330619</v>
      </c>
      <c r="S40" s="232" t="s">
        <v>136</v>
      </c>
      <c r="T40" s="244">
        <f>SUM(R40+N40+J40+F40)</f>
        <v>14257184.016671997</v>
      </c>
    </row>
    <row r="41" spans="1:20" ht="20" thickBot="1">
      <c r="A41" s="273" t="s">
        <v>140</v>
      </c>
      <c r="B41" s="274"/>
      <c r="C41" s="264">
        <f>C39*$H$7</f>
        <v>68734.695193790147</v>
      </c>
      <c r="D41" s="264">
        <f>D39*$H$7</f>
        <v>81622.450542625811</v>
      </c>
      <c r="E41" s="264">
        <f>E39*$H$7</f>
        <v>96926.660019368152</v>
      </c>
      <c r="F41" s="306">
        <f>SUM(C41:E41)</f>
        <v>247283.80575578409</v>
      </c>
      <c r="G41" s="264">
        <f>G39*$H$7</f>
        <v>115100.40877299968</v>
      </c>
      <c r="H41" s="264">
        <f>H39*$H$7</f>
        <v>136681.73541793713</v>
      </c>
      <c r="I41" s="264">
        <f>I39*$H$7</f>
        <v>162309.56080880036</v>
      </c>
      <c r="J41" s="306">
        <f>SUM(G41:I41)</f>
        <v>414091.70499973721</v>
      </c>
      <c r="K41" s="264">
        <f>K39*$H$7</f>
        <v>192742.60346045039</v>
      </c>
      <c r="L41" s="264">
        <f>L39*$H$7</f>
        <v>228881.84160928486</v>
      </c>
      <c r="M41" s="264">
        <f>M39*$H$7</f>
        <v>271797.18691102578</v>
      </c>
      <c r="N41" s="306">
        <f>SUM(K41:M41)</f>
        <v>693421.63198076107</v>
      </c>
      <c r="O41" s="264">
        <f>O39*$H$7</f>
        <v>322759.1594568431</v>
      </c>
      <c r="P41" s="264">
        <f>P39*$H$7</f>
        <v>383276.50185500114</v>
      </c>
      <c r="Q41" s="264">
        <f>Q39*$H$7</f>
        <v>455140.84595281386</v>
      </c>
      <c r="R41" s="306">
        <f>SUM(O41:Q41)</f>
        <v>1161176.5072646581</v>
      </c>
      <c r="S41" s="265" t="s">
        <v>137</v>
      </c>
      <c r="T41" s="307">
        <f>SUM(R41+N41+J41+F41)</f>
        <v>2515973.6500009405</v>
      </c>
    </row>
    <row r="42" spans="1:20">
      <c r="A42" s="263" t="s">
        <v>148</v>
      </c>
      <c r="C42" s="245">
        <f>(Q31+$A$8)+Q31</f>
        <v>38185.941774327861</v>
      </c>
      <c r="D42" s="24">
        <f>(C42*$A$8)+C42</f>
        <v>45345.805857014333</v>
      </c>
      <c r="E42" s="24">
        <f>(D42*$A$8)+D42</f>
        <v>53848.144455204521</v>
      </c>
      <c r="F42" s="24"/>
      <c r="G42" s="24">
        <f>(E42*$A$8)+E42</f>
        <v>63944.67154055537</v>
      </c>
      <c r="H42" s="24">
        <f>(G42*$A$8)+G42</f>
        <v>75934.297454409505</v>
      </c>
      <c r="I42" s="24">
        <f>(H42*$A$8)+H42</f>
        <v>90171.978227111293</v>
      </c>
      <c r="J42" s="24"/>
      <c r="K42" s="24">
        <f>(I42*$A$8)+I42</f>
        <v>107079.22414469466</v>
      </c>
      <c r="L42" s="24">
        <f>(K42*$A$8)+K42</f>
        <v>127156.57867182491</v>
      </c>
      <c r="M42" s="24">
        <f>(L42*$A$8)+L42</f>
        <v>150998.4371727921</v>
      </c>
      <c r="N42" s="24"/>
      <c r="O42" s="24">
        <f>(M42*$A$8)+M42</f>
        <v>179310.64414269061</v>
      </c>
      <c r="P42" s="24">
        <f>(O42*$A$8)+O42</f>
        <v>212931.38991944509</v>
      </c>
      <c r="Q42" s="24">
        <f>(P42*$A$8)+P42</f>
        <v>252856.02552934104</v>
      </c>
    </row>
    <row r="43" spans="1:20">
      <c r="A43" s="263" t="s">
        <v>149</v>
      </c>
      <c r="C43" s="245">
        <v>1000</v>
      </c>
      <c r="D43" s="24">
        <f>C43</f>
        <v>1000</v>
      </c>
      <c r="E43" s="24">
        <f>D43</f>
        <v>1000</v>
      </c>
      <c r="F43" s="24"/>
      <c r="G43" s="24">
        <f>E43</f>
        <v>1000</v>
      </c>
      <c r="H43" s="24">
        <f>G43</f>
        <v>1000</v>
      </c>
      <c r="I43" s="24">
        <f>H43</f>
        <v>1000</v>
      </c>
      <c r="J43" s="24"/>
      <c r="K43" s="24">
        <f>I43</f>
        <v>1000</v>
      </c>
      <c r="L43" s="24">
        <f>K43</f>
        <v>1000</v>
      </c>
      <c r="M43" s="24">
        <f>L43</f>
        <v>1000</v>
      </c>
      <c r="N43" s="24"/>
      <c r="O43" s="24">
        <f>M43</f>
        <v>1000</v>
      </c>
      <c r="P43" s="24">
        <f>O43</f>
        <v>1000</v>
      </c>
      <c r="Q43" s="24">
        <f>P43</f>
        <v>1000</v>
      </c>
      <c r="S43" s="354"/>
    </row>
    <row r="44" spans="1:20">
      <c r="A44" s="263" t="s">
        <v>150</v>
      </c>
      <c r="C44" s="245">
        <f>IF((C43*C42)*$B$13&gt;$E$7,$E$7,(C43*C42)*$B$13)</f>
        <v>7637188.3548655724</v>
      </c>
      <c r="D44" s="245">
        <f>IF((D43*D42)*$B$13&gt;$E$7,$E$7,(D43*D42)*$B$13)</f>
        <v>9069161.1714028679</v>
      </c>
      <c r="E44" s="245">
        <f>IF((E43*E42)*$B$13&gt;$E$7,$E$7,(E43*E42)*$B$13)</f>
        <v>10769628.891040906</v>
      </c>
      <c r="F44" s="24"/>
      <c r="G44" s="245">
        <f>IF((G43*G42)*$B$13&gt;$E$7,$E$7,(G43*G42)*$B$13)</f>
        <v>12788934.308111075</v>
      </c>
      <c r="H44" s="245">
        <f>IF((H43*H42)*$B$13&gt;$E$7,$E$7,(H43*H42)*$B$13)</f>
        <v>15186859.490881903</v>
      </c>
      <c r="I44" s="245">
        <f>IF((I43*I42)*$B$13&gt;$E$7,$E$7,(I43*I42)*$B$13)</f>
        <v>18034395.645422261</v>
      </c>
      <c r="J44" s="24"/>
      <c r="K44" s="245">
        <f>IF((K43*K42)*$B$13&gt;$E$7,$E$7,(K43*K42)*$B$13)</f>
        <v>21415844.828938931</v>
      </c>
      <c r="L44" s="245">
        <f>IF((L43*L42)*$B$13&gt;$E$7,$E$7,(L43*L42)*$B$13)</f>
        <v>25431315.734364986</v>
      </c>
      <c r="M44" s="245">
        <f>IF((M43*M42)*$B$13&gt;$E$7,$E$7,(M43*M42)*$B$13)</f>
        <v>30199687.434558421</v>
      </c>
      <c r="N44" s="24"/>
      <c r="O44" s="245">
        <f>IF((O43*O42)*$B$13&gt;$E$7,$E$7,(O43*O42)*$B$13)</f>
        <v>35862128.82853812</v>
      </c>
      <c r="P44" s="245">
        <f>IF((P43*P42)*$B$13&gt;$E$7,$E$7,(P43*P42)*$B$13)</f>
        <v>42586277.983889021</v>
      </c>
      <c r="Q44" s="245">
        <f>IF((Q43*Q42)*$B$13&gt;$E$7,$E$7,(Q43*Q42)*$B$13)</f>
        <v>50571205.105868213</v>
      </c>
      <c r="S44" s="355"/>
    </row>
    <row r="45" spans="1:20">
      <c r="A45" s="263" t="s">
        <v>147</v>
      </c>
      <c r="C45" s="245">
        <f t="shared" ref="C45:E45" si="8">C44*1%</f>
        <v>76371.883548655722</v>
      </c>
      <c r="D45" s="245">
        <f t="shared" si="8"/>
        <v>90691.611714028681</v>
      </c>
      <c r="E45" s="245">
        <f t="shared" si="8"/>
        <v>107696.28891040907</v>
      </c>
      <c r="F45" s="24"/>
      <c r="G45" s="245">
        <f t="shared" ref="G45" si="9">G44*1%</f>
        <v>127889.34308111075</v>
      </c>
      <c r="H45" s="245">
        <f t="shared" ref="H45" si="10">H44*1%</f>
        <v>151868.59490881904</v>
      </c>
      <c r="I45" s="245">
        <f t="shared" ref="I45" si="11">I44*1%</f>
        <v>180343.95645422261</v>
      </c>
      <c r="J45" s="24"/>
      <c r="K45" s="245">
        <f t="shared" ref="K45" si="12">K44*1%</f>
        <v>214158.44828938931</v>
      </c>
      <c r="L45" s="245">
        <f>(K45)+((K45)*$A$8)</f>
        <v>254313.15734364983</v>
      </c>
      <c r="M45" s="245">
        <f>(L45)+((L45)*$A$8)</f>
        <v>301996.87434558419</v>
      </c>
      <c r="N45" s="24"/>
      <c r="O45" s="245">
        <f>(M45)+((M45)*$A$8)</f>
        <v>358621.28828538122</v>
      </c>
      <c r="P45" s="245">
        <f t="shared" ref="P45:Q45" si="13">(O45)+((O45)*$A$8)</f>
        <v>425862.77983889019</v>
      </c>
      <c r="Q45" s="245">
        <f t="shared" si="13"/>
        <v>505712.05105868209</v>
      </c>
      <c r="S45" s="54"/>
    </row>
    <row r="46" spans="1:20">
      <c r="S46" s="229"/>
    </row>
  </sheetData>
  <mergeCells count="8">
    <mergeCell ref="A4:B4"/>
    <mergeCell ref="A10:B10"/>
    <mergeCell ref="S16:T16"/>
    <mergeCell ref="S27:T27"/>
    <mergeCell ref="S38:T38"/>
    <mergeCell ref="G4:H4"/>
    <mergeCell ref="D9:E9"/>
    <mergeCell ref="D4:E4"/>
  </mergeCells>
  <pageMargins left="0.7" right="0.7" top="0.75" bottom="0.75" header="0.3" footer="0.3"/>
  <pageSetup scale="26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8DEB4-2376-FD44-8738-9F97765CCA05}">
  <sheetPr>
    <pageSetUpPr fitToPage="1"/>
  </sheetPr>
  <dimension ref="A1:T46"/>
  <sheetViews>
    <sheetView tabSelected="1" workbookViewId="0">
      <selection activeCell="A25" sqref="A25"/>
    </sheetView>
  </sheetViews>
  <sheetFormatPr baseColWidth="10" defaultColWidth="11.5" defaultRowHeight="15"/>
  <cols>
    <col min="1" max="1" width="38.5" customWidth="1"/>
    <col min="3" max="3" width="19.33203125" customWidth="1"/>
    <col min="4" max="4" width="18.6640625" customWidth="1"/>
    <col min="5" max="5" width="16.33203125" customWidth="1"/>
    <col min="6" max="6" width="17.6640625" customWidth="1"/>
    <col min="7" max="7" width="15.5" customWidth="1"/>
    <col min="8" max="8" width="15.83203125" customWidth="1"/>
    <col min="9" max="9" width="18.33203125" customWidth="1"/>
    <col min="10" max="10" width="17.5" customWidth="1"/>
    <col min="11" max="11" width="15.6640625" customWidth="1"/>
    <col min="12" max="12" width="16.6640625" customWidth="1"/>
    <col min="13" max="14" width="16.5" customWidth="1"/>
    <col min="15" max="15" width="15.1640625" customWidth="1"/>
    <col min="16" max="16" width="16.33203125" customWidth="1"/>
    <col min="17" max="17" width="16" customWidth="1"/>
    <col min="18" max="18" width="17.83203125" customWidth="1"/>
    <col min="19" max="20" width="19" customWidth="1"/>
  </cols>
  <sheetData>
    <row r="1" spans="1:20" ht="26">
      <c r="A1" s="151" t="s">
        <v>161</v>
      </c>
      <c r="C1" s="73"/>
    </row>
    <row r="2" spans="1:20" ht="21">
      <c r="A2" s="289" t="s">
        <v>163</v>
      </c>
      <c r="B2" s="231"/>
      <c r="C2" s="73"/>
    </row>
    <row r="3" spans="1:20" ht="16" thickBot="1">
      <c r="C3" s="1"/>
      <c r="F3" s="24"/>
      <c r="G3" s="54"/>
    </row>
    <row r="4" spans="1:20" ht="16" thickBot="1">
      <c r="A4" s="390" t="s">
        <v>145</v>
      </c>
      <c r="B4" s="391"/>
      <c r="C4" s="1"/>
      <c r="D4" s="390" t="s">
        <v>132</v>
      </c>
      <c r="E4" s="391"/>
      <c r="F4" s="24"/>
      <c r="G4" s="392" t="s">
        <v>138</v>
      </c>
      <c r="H4" s="393"/>
    </row>
    <row r="5" spans="1:20">
      <c r="A5" s="238" t="s">
        <v>125</v>
      </c>
      <c r="B5" s="234" t="s">
        <v>126</v>
      </c>
      <c r="C5" s="1"/>
      <c r="D5" s="301" t="s">
        <v>155</v>
      </c>
      <c r="E5" s="281">
        <v>7906250000</v>
      </c>
      <c r="F5" s="24"/>
      <c r="G5" s="253" t="s">
        <v>135</v>
      </c>
      <c r="H5" s="278">
        <v>1</v>
      </c>
    </row>
    <row r="6" spans="1:20">
      <c r="A6" s="247">
        <v>0.75</v>
      </c>
      <c r="B6" s="236">
        <f>A6*12</f>
        <v>9</v>
      </c>
      <c r="C6" s="1"/>
      <c r="D6" s="272" t="s">
        <v>156</v>
      </c>
      <c r="E6" s="282">
        <v>5000000000</v>
      </c>
      <c r="F6" s="24"/>
      <c r="G6" s="251" t="s">
        <v>307</v>
      </c>
      <c r="H6" s="279">
        <v>0.85</v>
      </c>
    </row>
    <row r="7" spans="1:20" ht="16" thickBot="1">
      <c r="A7" s="247">
        <f>A6/2</f>
        <v>0.375</v>
      </c>
      <c r="B7" s="236">
        <f>A7*12</f>
        <v>4.5</v>
      </c>
      <c r="C7" s="1"/>
      <c r="D7" s="261" t="s">
        <v>157</v>
      </c>
      <c r="E7" s="283">
        <v>4650000000</v>
      </c>
      <c r="F7" s="24"/>
      <c r="G7" s="252" t="s">
        <v>137</v>
      </c>
      <c r="H7" s="280">
        <v>0.15</v>
      </c>
    </row>
    <row r="8" spans="1:20" ht="16" thickBot="1">
      <c r="A8" s="246">
        <f>A7/2</f>
        <v>0.1875</v>
      </c>
      <c r="B8" s="237">
        <f>A8*12</f>
        <v>2.25</v>
      </c>
      <c r="C8" s="1"/>
      <c r="F8" s="24"/>
      <c r="G8" s="54"/>
    </row>
    <row r="9" spans="1:20" ht="16" thickBot="1">
      <c r="C9" s="1"/>
      <c r="D9" s="390" t="s">
        <v>133</v>
      </c>
      <c r="E9" s="391"/>
      <c r="F9" s="24"/>
      <c r="G9" s="54"/>
    </row>
    <row r="10" spans="1:20" ht="16" thickBot="1">
      <c r="A10" s="394" t="s">
        <v>146</v>
      </c>
      <c r="B10" s="395"/>
      <c r="C10" s="1"/>
      <c r="D10" s="302" t="s">
        <v>141</v>
      </c>
      <c r="E10" s="250">
        <v>3</v>
      </c>
      <c r="F10" s="24"/>
      <c r="G10" s="54"/>
    </row>
    <row r="11" spans="1:20">
      <c r="A11" s="275" t="s">
        <v>142</v>
      </c>
      <c r="B11" s="164">
        <v>0.97499999999999998</v>
      </c>
      <c r="C11" s="1"/>
      <c r="D11" s="235" t="s">
        <v>134</v>
      </c>
      <c r="E11" s="5">
        <v>2</v>
      </c>
      <c r="F11" s="24"/>
      <c r="G11" s="54"/>
    </row>
    <row r="12" spans="1:20" ht="16" thickBot="1">
      <c r="A12" s="276" t="s">
        <v>143</v>
      </c>
      <c r="B12" s="248">
        <v>0.5</v>
      </c>
      <c r="C12" s="1"/>
      <c r="D12" s="261" t="s">
        <v>158</v>
      </c>
      <c r="E12" s="249">
        <f>E10*E11</f>
        <v>6</v>
      </c>
      <c r="F12" s="24"/>
      <c r="G12" s="54"/>
    </row>
    <row r="13" spans="1:20" ht="16" thickBot="1">
      <c r="A13" s="277" t="s">
        <v>144</v>
      </c>
      <c r="B13" s="260">
        <v>0.2</v>
      </c>
      <c r="C13" s="1"/>
      <c r="F13" s="24"/>
      <c r="G13" s="54"/>
    </row>
    <row r="14" spans="1:20">
      <c r="C14" s="1"/>
      <c r="F14" s="24"/>
      <c r="G14" s="54"/>
    </row>
    <row r="15" spans="1:20" ht="16" thickBot="1">
      <c r="C15" s="1"/>
      <c r="D15" s="230" t="s">
        <v>131</v>
      </c>
      <c r="F15" s="24"/>
      <c r="G15" s="54"/>
    </row>
    <row r="16" spans="1:20" ht="20" thickBot="1">
      <c r="A16" s="284" t="s">
        <v>115</v>
      </c>
      <c r="B16" s="262"/>
      <c r="C16" s="239">
        <v>44743</v>
      </c>
      <c r="D16" s="240">
        <v>44774</v>
      </c>
      <c r="E16" s="239">
        <v>44805</v>
      </c>
      <c r="F16" s="241" t="s">
        <v>111</v>
      </c>
      <c r="G16" s="239">
        <v>44856</v>
      </c>
      <c r="H16" s="239">
        <v>44887</v>
      </c>
      <c r="I16" s="239">
        <v>44917</v>
      </c>
      <c r="J16" s="241" t="s">
        <v>112</v>
      </c>
      <c r="K16" s="239">
        <v>44949</v>
      </c>
      <c r="L16" s="239">
        <v>44980</v>
      </c>
      <c r="M16" s="239">
        <v>45008</v>
      </c>
      <c r="N16" s="241" t="s">
        <v>113</v>
      </c>
      <c r="O16" s="239">
        <v>45039</v>
      </c>
      <c r="P16" s="239">
        <v>45069</v>
      </c>
      <c r="Q16" s="239">
        <v>45100</v>
      </c>
      <c r="R16" s="241" t="s">
        <v>114</v>
      </c>
      <c r="S16" s="386" t="s">
        <v>123</v>
      </c>
      <c r="T16" s="387"/>
    </row>
    <row r="17" spans="1:20" ht="19">
      <c r="A17" s="266" t="s">
        <v>139</v>
      </c>
      <c r="B17" s="160"/>
      <c r="C17" s="267">
        <v>0</v>
      </c>
      <c r="D17" s="267">
        <f>D23*$E$12</f>
        <v>0</v>
      </c>
      <c r="E17" s="267">
        <f>E23*$E$12</f>
        <v>0</v>
      </c>
      <c r="F17" s="268">
        <f>SUM(C17:E17)</f>
        <v>0</v>
      </c>
      <c r="G17" s="267">
        <f>G23*$E$12</f>
        <v>0</v>
      </c>
      <c r="H17" s="267">
        <f>H23*$E$12</f>
        <v>0</v>
      </c>
      <c r="I17" s="267">
        <f>I23*$E$12</f>
        <v>2925</v>
      </c>
      <c r="J17" s="269">
        <f>SUM(G17:I17)</f>
        <v>2925</v>
      </c>
      <c r="K17" s="267">
        <f>K23*$E$12</f>
        <v>5265</v>
      </c>
      <c r="L17" s="267">
        <f>L23*$E$12</f>
        <v>9213.75</v>
      </c>
      <c r="M17" s="267">
        <f>M23*$E$12</f>
        <v>16124.0625</v>
      </c>
      <c r="N17" s="269">
        <f>SUM(K17:M17)</f>
        <v>30602.8125</v>
      </c>
      <c r="O17" s="267">
        <f>O23*$E$12</f>
        <v>6028217.109375</v>
      </c>
      <c r="P17" s="267">
        <f>P23*$E$12</f>
        <v>6049379.94140625</v>
      </c>
      <c r="Q17" s="267">
        <f>Q23*$E$12</f>
        <v>6086414.8974609375</v>
      </c>
      <c r="R17" s="269">
        <f>SUM(O17:Q17)</f>
        <v>18164011.948242188</v>
      </c>
      <c r="S17" s="270" t="s">
        <v>109</v>
      </c>
      <c r="T17" s="271">
        <f>SUM(R17+N17+J17+F17)</f>
        <v>18197539.760742188</v>
      </c>
    </row>
    <row r="18" spans="1:20" ht="19">
      <c r="A18" s="272" t="s">
        <v>110</v>
      </c>
      <c r="B18" s="2"/>
      <c r="C18" s="186">
        <v>0</v>
      </c>
      <c r="D18" s="186">
        <f>D17*$H$6</f>
        <v>0</v>
      </c>
      <c r="E18" s="186">
        <f>E17*$H$6</f>
        <v>0</v>
      </c>
      <c r="F18" s="254">
        <f>SUM(C18:E18)</f>
        <v>0</v>
      </c>
      <c r="G18" s="186">
        <f>G17*$H$6</f>
        <v>0</v>
      </c>
      <c r="H18" s="186">
        <f>H17*$H$6</f>
        <v>0</v>
      </c>
      <c r="I18" s="186">
        <f>I17*$H$6</f>
        <v>2486.25</v>
      </c>
      <c r="J18" s="242">
        <f>SUM(G18:I18)</f>
        <v>2486.25</v>
      </c>
      <c r="K18" s="186">
        <f>K17*$H$6</f>
        <v>4475.25</v>
      </c>
      <c r="L18" s="186">
        <f>L17*$H$6</f>
        <v>7831.6875</v>
      </c>
      <c r="M18" s="186">
        <f>M17*$H$6</f>
        <v>13705.453125</v>
      </c>
      <c r="N18" s="242">
        <f>SUM(K18:M18)</f>
        <v>26012.390625</v>
      </c>
      <c r="O18" s="186">
        <f>O17*$H$6</f>
        <v>5123984.54296875</v>
      </c>
      <c r="P18" s="186">
        <f>P17*$H$6</f>
        <v>5141972.9501953125</v>
      </c>
      <c r="Q18" s="245">
        <f>(O18)+((O18)*$A$7)</f>
        <v>7045478.7465820312</v>
      </c>
      <c r="R18" s="245">
        <f>(Q18)+((Q18)*$A$8)</f>
        <v>8366506.0115661621</v>
      </c>
      <c r="S18" s="245">
        <f>(R18)+((R18)*$A$8)</f>
        <v>9935225.8887348175</v>
      </c>
      <c r="T18" s="244">
        <f>SUM(R18+N18+J18+F18)</f>
        <v>8395004.6521911621</v>
      </c>
    </row>
    <row r="19" spans="1:20" ht="20" thickBot="1">
      <c r="A19" s="273" t="s">
        <v>140</v>
      </c>
      <c r="B19" s="274"/>
      <c r="C19" s="264">
        <v>0</v>
      </c>
      <c r="D19" s="264">
        <f>D17*$H$7</f>
        <v>0</v>
      </c>
      <c r="E19" s="264">
        <f>E17*$H$7</f>
        <v>0</v>
      </c>
      <c r="F19" s="305">
        <f>SUM(C19:E19)</f>
        <v>0</v>
      </c>
      <c r="G19" s="264">
        <f>G17*$H$7</f>
        <v>0</v>
      </c>
      <c r="H19" s="264">
        <f>H17*$H$7</f>
        <v>0</v>
      </c>
      <c r="I19" s="264">
        <f>I17*$H$7</f>
        <v>438.75</v>
      </c>
      <c r="J19" s="306">
        <f>SUM(G19:I19)</f>
        <v>438.75</v>
      </c>
      <c r="K19" s="264">
        <f>K17*$H$7</f>
        <v>789.75</v>
      </c>
      <c r="L19" s="264">
        <f>L17*$H$7</f>
        <v>1382.0625</v>
      </c>
      <c r="M19" s="264">
        <f>M17*$H$7</f>
        <v>2418.609375</v>
      </c>
      <c r="N19" s="306">
        <f>SUM(K19:M19)</f>
        <v>4590.421875</v>
      </c>
      <c r="O19" s="264">
        <f>O17*$H$7</f>
        <v>904232.56640625</v>
      </c>
      <c r="P19" s="264">
        <f>P17*$H$7</f>
        <v>907406.9912109375</v>
      </c>
      <c r="Q19" s="264">
        <f>Q17*$H$7</f>
        <v>912962.23461914062</v>
      </c>
      <c r="R19" s="306">
        <f>SUM(O19:Q19)</f>
        <v>2724601.7922363281</v>
      </c>
      <c r="S19" s="265" t="s">
        <v>108</v>
      </c>
      <c r="T19" s="307">
        <f>SUM(R19+N19+J19+F19)</f>
        <v>2729630.9641113281</v>
      </c>
    </row>
    <row r="20" spans="1:20">
      <c r="A20" s="263" t="s">
        <v>148</v>
      </c>
      <c r="C20" s="245">
        <v>0</v>
      </c>
      <c r="D20" s="24"/>
      <c r="E20" s="24"/>
      <c r="F20" s="24"/>
      <c r="G20" s="24"/>
      <c r="H20" s="24"/>
      <c r="I20" s="24">
        <v>10</v>
      </c>
      <c r="J20" s="24"/>
      <c r="K20" s="303">
        <f>((I20*$A$6)+I20)+(I23/3)</f>
        <v>180</v>
      </c>
      <c r="L20" s="24">
        <f>(K20*$A$6)+K20</f>
        <v>315</v>
      </c>
      <c r="M20" s="24">
        <f>(L20*$A$6)+L20</f>
        <v>551.25</v>
      </c>
      <c r="N20" s="24"/>
      <c r="O20" s="24">
        <f>(M20*$A$6)+M20</f>
        <v>964.6875</v>
      </c>
      <c r="P20" s="24">
        <f>(O20*$A$6)+O20</f>
        <v>1688.203125</v>
      </c>
      <c r="Q20" s="24">
        <f>(P20*$A$6)+P20</f>
        <v>2954.35546875</v>
      </c>
    </row>
    <row r="21" spans="1:20">
      <c r="A21" s="263" t="s">
        <v>149</v>
      </c>
      <c r="C21" s="245"/>
      <c r="D21" s="24">
        <v>5000</v>
      </c>
      <c r="E21" s="24">
        <f>D21</f>
        <v>5000</v>
      </c>
      <c r="F21" s="24"/>
      <c r="G21" s="24">
        <f>E21</f>
        <v>5000</v>
      </c>
      <c r="H21" s="24">
        <f>G21</f>
        <v>5000</v>
      </c>
      <c r="I21" s="24">
        <f>H21</f>
        <v>5000</v>
      </c>
      <c r="J21" s="24"/>
      <c r="K21" s="303">
        <v>500</v>
      </c>
      <c r="L21" s="304">
        <f>K21</f>
        <v>500</v>
      </c>
      <c r="M21" s="304">
        <f>L21</f>
        <v>500</v>
      </c>
      <c r="N21" s="24"/>
      <c r="O21" s="24">
        <f>M21</f>
        <v>500</v>
      </c>
      <c r="P21" s="24">
        <f>O21</f>
        <v>500</v>
      </c>
      <c r="Q21" s="24">
        <f>P21</f>
        <v>500</v>
      </c>
      <c r="S21" s="354"/>
    </row>
    <row r="22" spans="1:20">
      <c r="A22" s="263" t="s">
        <v>150</v>
      </c>
      <c r="C22" s="245">
        <f>(C21*C20)</f>
        <v>0</v>
      </c>
      <c r="D22" s="245">
        <f>(D21*D20)*$B$11</f>
        <v>0</v>
      </c>
      <c r="E22" s="245">
        <f>(E21*E20)*$B$11</f>
        <v>0</v>
      </c>
      <c r="F22" s="24"/>
      <c r="G22" s="245">
        <f>(G21*G20)*$B$11</f>
        <v>0</v>
      </c>
      <c r="H22" s="245">
        <f>(H21*H20)*$B$11</f>
        <v>0</v>
      </c>
      <c r="I22" s="245">
        <f>(I21*I20)*$B$11</f>
        <v>48750</v>
      </c>
      <c r="J22" s="24"/>
      <c r="K22" s="245">
        <f>(K21*K20)*$B$11</f>
        <v>87750</v>
      </c>
      <c r="L22" s="245">
        <f>(L21*L20)*$B$11</f>
        <v>153562.5</v>
      </c>
      <c r="M22" s="245">
        <f>(M21*M20)*$B$11</f>
        <v>268734.375</v>
      </c>
      <c r="N22" s="308">
        <v>100000000</v>
      </c>
      <c r="O22" s="245">
        <f>((O21*O20)*$B$11)+N22</f>
        <v>100470285.15625</v>
      </c>
      <c r="P22" s="245">
        <f>((P21*P20)*$B$11)+$N$22</f>
        <v>100822999.0234375</v>
      </c>
      <c r="Q22" s="245">
        <f>((Q21*Q20)*$B$11)+$N$22</f>
        <v>101440248.29101562</v>
      </c>
      <c r="S22" s="355"/>
    </row>
    <row r="23" spans="1:20">
      <c r="A23" s="263" t="s">
        <v>147</v>
      </c>
      <c r="C23" s="245">
        <f>C22*1%</f>
        <v>0</v>
      </c>
      <c r="D23" s="245">
        <f>D22*1%</f>
        <v>0</v>
      </c>
      <c r="E23" s="245">
        <f t="shared" ref="E23" si="0">E22*1%</f>
        <v>0</v>
      </c>
      <c r="F23" s="24"/>
      <c r="G23" s="245">
        <f>G22*1%</f>
        <v>0</v>
      </c>
      <c r="H23" s="245">
        <f t="shared" ref="H23:I23" si="1">H22*1%</f>
        <v>0</v>
      </c>
      <c r="I23" s="245">
        <f t="shared" si="1"/>
        <v>487.5</v>
      </c>
      <c r="J23" s="24"/>
      <c r="K23" s="245">
        <f>K22*1%</f>
        <v>877.5</v>
      </c>
      <c r="L23" s="245">
        <f>L22*1%</f>
        <v>1535.625</v>
      </c>
      <c r="M23" s="245">
        <f t="shared" ref="M23:Q23" si="2">M22*1%</f>
        <v>2687.34375</v>
      </c>
      <c r="N23" s="24"/>
      <c r="O23" s="245">
        <f t="shared" si="2"/>
        <v>1004702.8515625</v>
      </c>
      <c r="P23" s="245">
        <f t="shared" si="2"/>
        <v>1008229.990234375</v>
      </c>
      <c r="Q23" s="245">
        <f t="shared" si="2"/>
        <v>1014402.4829101562</v>
      </c>
      <c r="S23" s="54"/>
    </row>
    <row r="24" spans="1:20" ht="48">
      <c r="B24" s="263"/>
      <c r="C24" s="245"/>
      <c r="D24" s="245"/>
      <c r="E24" s="245"/>
      <c r="F24" s="24"/>
      <c r="G24" s="245"/>
      <c r="H24" s="245"/>
      <c r="I24" s="245"/>
      <c r="J24" s="24"/>
      <c r="K24" s="310" t="s">
        <v>164</v>
      </c>
      <c r="L24" s="245"/>
      <c r="M24" s="245"/>
      <c r="N24" s="309" t="s">
        <v>165</v>
      </c>
      <c r="O24" s="245"/>
      <c r="P24" s="245"/>
      <c r="Q24" s="245"/>
      <c r="S24" s="229"/>
    </row>
    <row r="25" spans="1:20">
      <c r="B25" s="263"/>
      <c r="C25" s="245"/>
      <c r="D25" s="245"/>
      <c r="E25" s="245"/>
      <c r="F25" s="24"/>
      <c r="G25" s="245"/>
      <c r="H25" s="245"/>
      <c r="I25" s="245"/>
      <c r="J25" s="24"/>
      <c r="K25" s="245"/>
      <c r="L25" s="245"/>
      <c r="M25" s="245"/>
      <c r="N25" s="24"/>
      <c r="O25" s="245"/>
      <c r="P25" s="245"/>
      <c r="Q25" s="245"/>
      <c r="S25" s="54"/>
    </row>
    <row r="26" spans="1:20" ht="16" thickBot="1">
      <c r="B26" s="263"/>
      <c r="F26" s="24"/>
    </row>
    <row r="27" spans="1:20" ht="20" thickBot="1">
      <c r="A27" s="284" t="s">
        <v>116</v>
      </c>
      <c r="B27" s="262"/>
      <c r="C27" s="239">
        <v>45108</v>
      </c>
      <c r="D27" s="240">
        <f>C27+31</f>
        <v>45139</v>
      </c>
      <c r="E27" s="239">
        <f>D27+31</f>
        <v>45170</v>
      </c>
      <c r="F27" s="241" t="s">
        <v>118</v>
      </c>
      <c r="G27" s="239">
        <f>E27+30.5</f>
        <v>45200.5</v>
      </c>
      <c r="H27" s="239">
        <f>G27+30.5</f>
        <v>45231</v>
      </c>
      <c r="I27" s="239">
        <v>45282</v>
      </c>
      <c r="J27" s="241" t="s">
        <v>119</v>
      </c>
      <c r="K27" s="239">
        <f>I27+30.5</f>
        <v>45312.5</v>
      </c>
      <c r="L27" s="239">
        <f>K27+30.5</f>
        <v>45343</v>
      </c>
      <c r="M27" s="239">
        <f>L27+30.5</f>
        <v>45373.5</v>
      </c>
      <c r="N27" s="241" t="s">
        <v>120</v>
      </c>
      <c r="O27" s="239">
        <f>M27+30.5</f>
        <v>45404</v>
      </c>
      <c r="P27" s="239">
        <f>O27+30.5</f>
        <v>45434.5</v>
      </c>
      <c r="Q27" s="239">
        <f>P27+30.5</f>
        <v>45465</v>
      </c>
      <c r="R27" s="241" t="s">
        <v>121</v>
      </c>
      <c r="S27" s="386" t="s">
        <v>122</v>
      </c>
      <c r="T27" s="387"/>
    </row>
    <row r="28" spans="1:20" ht="19">
      <c r="A28" s="266" t="s">
        <v>139</v>
      </c>
      <c r="B28" s="160"/>
      <c r="C28" s="267">
        <f>C34*$E$12</f>
        <v>6088636.2890625</v>
      </c>
      <c r="D28" s="267">
        <f>D34*$E$12</f>
        <v>6121874.8974609375</v>
      </c>
      <c r="E28" s="267">
        <f>E34*$E$12</f>
        <v>6167577.9840087891</v>
      </c>
      <c r="F28" s="269">
        <f>SUM(C28:E28)</f>
        <v>18378089.170532227</v>
      </c>
      <c r="G28" s="267">
        <f>G34*$E$12</f>
        <v>6230419.728012085</v>
      </c>
      <c r="H28" s="267">
        <f>H34*$E$12</f>
        <v>6316827.1260166168</v>
      </c>
      <c r="I28" s="267">
        <f>I34*$E$12</f>
        <v>6435637.2982728481</v>
      </c>
      <c r="J28" s="269">
        <f>SUM(G28:I28)</f>
        <v>18982884.15230155</v>
      </c>
      <c r="K28" s="267">
        <f>K34*$E$12</f>
        <v>8849001.2851251662</v>
      </c>
      <c r="L28" s="267">
        <f>L34*$E$12</f>
        <v>10508189.026086135</v>
      </c>
      <c r="M28" s="267">
        <f>M34*$E$12</f>
        <v>12478474.468477286</v>
      </c>
      <c r="N28" s="269">
        <f>SUM(K28:M28)</f>
        <v>31835664.779688589</v>
      </c>
      <c r="O28" s="267">
        <f>O34*$E$12</f>
        <v>17157902.39415627</v>
      </c>
      <c r="P28" s="267">
        <f>P34*$E$12</f>
        <v>20375009.093060568</v>
      </c>
      <c r="Q28" s="267">
        <f>Q34*$E$12</f>
        <v>24195323.298009425</v>
      </c>
      <c r="R28" s="269">
        <f>SUM(O28:Q28)</f>
        <v>61728234.785226263</v>
      </c>
      <c r="S28" s="270" t="s">
        <v>109</v>
      </c>
      <c r="T28" s="271">
        <f>SUM(R28+N28+J28+F28)</f>
        <v>130924872.88774863</v>
      </c>
    </row>
    <row r="29" spans="1:20" ht="19">
      <c r="A29" s="272" t="s">
        <v>110</v>
      </c>
      <c r="B29" s="2"/>
      <c r="C29" s="186">
        <f>C28*$H$6</f>
        <v>5175340.845703125</v>
      </c>
      <c r="D29" s="186">
        <f>D28*$H$6</f>
        <v>5203593.6628417969</v>
      </c>
      <c r="E29" s="186">
        <f>E28*$H$6</f>
        <v>5242441.2864074707</v>
      </c>
      <c r="F29" s="242">
        <f>SUM(C29:E29)</f>
        <v>15621375.794952393</v>
      </c>
      <c r="G29" s="186">
        <f>G28*$H$6</f>
        <v>5295856.7688102722</v>
      </c>
      <c r="H29" s="186">
        <f>H28*$H$6</f>
        <v>5369303.0571141243</v>
      </c>
      <c r="I29" s="186">
        <f>I28*$H$6</f>
        <v>5470291.7035319209</v>
      </c>
      <c r="J29" s="242">
        <f>SUM(G29:I29)</f>
        <v>16135451.529456317</v>
      </c>
      <c r="K29" s="186">
        <f>K28*$H$6</f>
        <v>7521651.0923563913</v>
      </c>
      <c r="L29" s="186">
        <f>L28*$H$6</f>
        <v>8931960.6721732151</v>
      </c>
      <c r="M29" s="186">
        <f>M28*$H$6</f>
        <v>10606703.298205692</v>
      </c>
      <c r="N29" s="242">
        <f>SUM(K29:M29)</f>
        <v>27060315.062735297</v>
      </c>
      <c r="O29" s="186">
        <f>O28*$H$6</f>
        <v>14584217.035032829</v>
      </c>
      <c r="P29" s="186">
        <f>P28*$H$6</f>
        <v>17318757.729101483</v>
      </c>
      <c r="Q29" s="186">
        <f>Q28*$H$6</f>
        <v>20566024.80330801</v>
      </c>
      <c r="R29" s="242">
        <f>SUM(O29:Q29)</f>
        <v>52468999.56744232</v>
      </c>
      <c r="S29" s="232" t="s">
        <v>110</v>
      </c>
      <c r="T29" s="244">
        <f>SUM(R29+N29+J29+F29)</f>
        <v>111286141.95458633</v>
      </c>
    </row>
    <row r="30" spans="1:20" ht="20" thickBot="1">
      <c r="A30" s="273" t="s">
        <v>140</v>
      </c>
      <c r="B30" s="274"/>
      <c r="C30" s="264">
        <f>C28*$H$7</f>
        <v>913295.443359375</v>
      </c>
      <c r="D30" s="264">
        <f>D28*$H$7</f>
        <v>918281.23461914062</v>
      </c>
      <c r="E30" s="264">
        <f>E28*$H$7</f>
        <v>925136.69760131836</v>
      </c>
      <c r="F30" s="306">
        <f>SUM(C30:E30)</f>
        <v>2756713.375579834</v>
      </c>
      <c r="G30" s="264">
        <f>G28*$H$7</f>
        <v>934562.95920181274</v>
      </c>
      <c r="H30" s="264">
        <f>H28*$H$7</f>
        <v>947524.06890249252</v>
      </c>
      <c r="I30" s="264">
        <f>I28*$H$7</f>
        <v>965345.59474092722</v>
      </c>
      <c r="J30" s="306">
        <f>SUM(G30:I30)</f>
        <v>2847432.6228452325</v>
      </c>
      <c r="K30" s="264">
        <f>K28*$H$7</f>
        <v>1327350.1927687749</v>
      </c>
      <c r="L30" s="264">
        <f>L28*$H$7</f>
        <v>1576228.3539129202</v>
      </c>
      <c r="M30" s="264">
        <f>M28*$H$7</f>
        <v>1871771.1702715929</v>
      </c>
      <c r="N30" s="306">
        <f>SUM(K30:M30)</f>
        <v>4775349.7169532878</v>
      </c>
      <c r="O30" s="264">
        <f>O28*$H$7</f>
        <v>2573685.3591234405</v>
      </c>
      <c r="P30" s="264">
        <f>P28*$H$7</f>
        <v>3056251.3639590852</v>
      </c>
      <c r="Q30" s="264">
        <f>Q28*$H$7</f>
        <v>3629298.4947014139</v>
      </c>
      <c r="R30" s="306">
        <f>SUM(O30:Q30)</f>
        <v>9259235.2177839391</v>
      </c>
      <c r="S30" s="265" t="s">
        <v>108</v>
      </c>
      <c r="T30" s="307">
        <f>SUM(R30+N30+J30+F30)</f>
        <v>19638730.933162294</v>
      </c>
    </row>
    <row r="31" spans="1:20">
      <c r="A31" s="263" t="s">
        <v>148</v>
      </c>
      <c r="C31" s="245">
        <f>(Q20+$A$7)+Q20</f>
        <v>5909.0859375</v>
      </c>
      <c r="D31" s="24">
        <f>(C31*$A$7)+C31</f>
        <v>8124.9931640625</v>
      </c>
      <c r="E31" s="24">
        <f>(D31*$A$7)+D31</f>
        <v>11171.865600585938</v>
      </c>
      <c r="F31" s="24"/>
      <c r="G31" s="24">
        <f>(E31*$A$7)+E31</f>
        <v>15361.315200805664</v>
      </c>
      <c r="H31" s="24">
        <f>(G31*$A$7)+G31</f>
        <v>21121.808401107788</v>
      </c>
      <c r="I31" s="24">
        <f>(H31*$A$7)+H31</f>
        <v>29042.486551523209</v>
      </c>
      <c r="J31" s="24"/>
      <c r="K31" s="24">
        <f>(I31*$A$7)+I31</f>
        <v>39933.419008344412</v>
      </c>
      <c r="L31" s="24">
        <f>(K31*$A$7)+K31</f>
        <v>54908.451136473566</v>
      </c>
      <c r="M31" s="24">
        <f>(L31*$A$7)+L31</f>
        <v>75499.120312651154</v>
      </c>
      <c r="N31" s="24"/>
      <c r="O31" s="24">
        <f>(M31*$A$7)+M31</f>
        <v>103811.29042989534</v>
      </c>
      <c r="P31" s="24">
        <f>(O31*$A$7)+O31</f>
        <v>142740.52434110609</v>
      </c>
      <c r="Q31" s="24">
        <f>(P31*$A$7)+P31</f>
        <v>196268.22096902088</v>
      </c>
    </row>
    <row r="32" spans="1:20">
      <c r="A32" s="263" t="s">
        <v>149</v>
      </c>
      <c r="C32" s="245">
        <v>500</v>
      </c>
      <c r="D32" s="24">
        <f>C32</f>
        <v>500</v>
      </c>
      <c r="E32" s="24">
        <f>D32</f>
        <v>500</v>
      </c>
      <c r="F32" s="24"/>
      <c r="G32" s="24">
        <f>E32</f>
        <v>500</v>
      </c>
      <c r="H32" s="24">
        <f>G32</f>
        <v>500</v>
      </c>
      <c r="I32" s="24">
        <f>H32</f>
        <v>500</v>
      </c>
      <c r="J32" s="24"/>
      <c r="K32" s="24">
        <f>I32</f>
        <v>500</v>
      </c>
      <c r="L32" s="24">
        <f>K32</f>
        <v>500</v>
      </c>
      <c r="M32" s="24">
        <f>L32</f>
        <v>500</v>
      </c>
      <c r="N32" s="24"/>
      <c r="O32" s="24">
        <f>M32</f>
        <v>500</v>
      </c>
      <c r="P32" s="24">
        <f>O32</f>
        <v>500</v>
      </c>
      <c r="Q32" s="24">
        <f>P32</f>
        <v>500</v>
      </c>
      <c r="S32" s="354"/>
    </row>
    <row r="33" spans="1:20">
      <c r="A33" s="263" t="s">
        <v>150</v>
      </c>
      <c r="C33" s="245">
        <f>((C32*C31)*$B$12)+$N$22</f>
        <v>101477271.484375</v>
      </c>
      <c r="D33" s="245">
        <f>((D32*D31)*$B$12)+$N$22</f>
        <v>102031248.29101562</v>
      </c>
      <c r="E33" s="245">
        <f>((E32*E31)*$B$12)+$N$22</f>
        <v>102792966.40014648</v>
      </c>
      <c r="F33" s="24"/>
      <c r="G33" s="245">
        <f>((G32*G31)*$B$12)+$N$22</f>
        <v>103840328.80020142</v>
      </c>
      <c r="H33" s="245">
        <f>((H32*H31)*$B$12)+$N$22</f>
        <v>105280452.10027695</v>
      </c>
      <c r="I33" s="245">
        <f>((I32*I31)*$B$12)+$N$22</f>
        <v>107260621.6378808</v>
      </c>
      <c r="J33" s="24"/>
      <c r="K33" s="245">
        <f>((K32*K31)*$B$12)+$N$22</f>
        <v>109983354.7520861</v>
      </c>
      <c r="L33" s="245">
        <f>((L32*L31)*$B$12)+$N$22</f>
        <v>113727112.78411838</v>
      </c>
      <c r="M33" s="245">
        <f>((M32*M31)*$B$12)+$N$22</f>
        <v>118874780.07816279</v>
      </c>
      <c r="N33" s="24"/>
      <c r="O33" s="245">
        <f>IF((O32*O31)*$B$12&gt;$E$7,$E$7,(O32*O31)*$B$12)</f>
        <v>25952822.607473835</v>
      </c>
      <c r="P33" s="245">
        <f>IF((P32*P31)*$B$12&gt;$E$7,$E$7,(P32*P31)*$B$12)</f>
        <v>35685131.085276522</v>
      </c>
      <c r="Q33" s="245">
        <f>IF((Q32*Q31)*$B$12&gt;$E$7,$E$7,(Q32*Q31)*$B$12)</f>
        <v>49067055.242255218</v>
      </c>
      <c r="S33" s="355"/>
    </row>
    <row r="34" spans="1:20">
      <c r="A34" s="263" t="s">
        <v>147</v>
      </c>
      <c r="C34" s="245">
        <f>C33*1%</f>
        <v>1014772.71484375</v>
      </c>
      <c r="D34" s="245">
        <f>D33*1%</f>
        <v>1020312.4829101562</v>
      </c>
      <c r="E34" s="245">
        <f>E33*1%</f>
        <v>1027929.6640014648</v>
      </c>
      <c r="F34" s="24"/>
      <c r="G34" s="245">
        <f>G33*1%</f>
        <v>1038403.2880020142</v>
      </c>
      <c r="H34" s="245">
        <f>H33*1%</f>
        <v>1052804.5210027695</v>
      </c>
      <c r="I34" s="245">
        <f>I33*1%</f>
        <v>1072606.216378808</v>
      </c>
      <c r="J34" s="24"/>
      <c r="K34" s="245">
        <f>(I34)+((I34)*$A$7)</f>
        <v>1474833.547520861</v>
      </c>
      <c r="L34" s="245">
        <f>(K34)+((K34)*$A$8)</f>
        <v>1751364.8376810225</v>
      </c>
      <c r="M34" s="245">
        <f>(L34)+((L34)*$A$8)</f>
        <v>2079745.7447462142</v>
      </c>
      <c r="N34" s="245"/>
      <c r="O34" s="245">
        <f>(M34)+((M34)*$A$7)</f>
        <v>2859650.3990260446</v>
      </c>
      <c r="P34" s="245">
        <f>(O34)+((O34)*$A$8)</f>
        <v>3395834.8488434283</v>
      </c>
      <c r="Q34" s="245">
        <f>(P34)+((P34)*$A$8)</f>
        <v>4032553.8830015711</v>
      </c>
      <c r="S34" s="54"/>
    </row>
    <row r="35" spans="1:20">
      <c r="B35" s="263"/>
      <c r="C35" s="245"/>
      <c r="D35" s="245"/>
      <c r="E35" s="245"/>
      <c r="F35" s="24"/>
      <c r="G35" s="245"/>
      <c r="H35" s="245"/>
      <c r="I35" s="245"/>
      <c r="J35" s="24"/>
      <c r="K35" s="245"/>
      <c r="L35" s="245"/>
      <c r="M35" s="245"/>
      <c r="N35" s="24"/>
      <c r="O35" s="245"/>
      <c r="P35" s="245"/>
      <c r="Q35" s="245"/>
      <c r="S35" s="229"/>
    </row>
    <row r="36" spans="1:20">
      <c r="B36" s="263"/>
      <c r="C36" s="245"/>
      <c r="D36" s="245"/>
      <c r="E36" s="245"/>
      <c r="F36" s="24"/>
      <c r="G36" s="245"/>
      <c r="H36" s="245"/>
      <c r="I36" s="245"/>
      <c r="J36" s="24"/>
      <c r="K36" s="245"/>
      <c r="L36" s="245"/>
      <c r="M36" s="245"/>
      <c r="N36" s="24"/>
      <c r="O36" s="245"/>
      <c r="P36" s="245"/>
      <c r="Q36" s="245"/>
      <c r="S36" s="54"/>
    </row>
    <row r="37" spans="1:20" ht="20" thickBot="1">
      <c r="B37" s="263"/>
      <c r="S37" s="233"/>
      <c r="T37" s="233"/>
    </row>
    <row r="38" spans="1:20" ht="20" thickBot="1">
      <c r="A38" s="284" t="s">
        <v>117</v>
      </c>
      <c r="B38" s="262"/>
      <c r="C38" s="258">
        <v>45474</v>
      </c>
      <c r="D38" s="259">
        <v>45505</v>
      </c>
      <c r="E38" s="258">
        <v>45536</v>
      </c>
      <c r="F38" s="243" t="s">
        <v>127</v>
      </c>
      <c r="G38" s="258">
        <v>45566</v>
      </c>
      <c r="H38" s="258">
        <v>45597</v>
      </c>
      <c r="I38" s="258">
        <v>45627</v>
      </c>
      <c r="J38" s="243" t="s">
        <v>128</v>
      </c>
      <c r="K38" s="258">
        <v>45658</v>
      </c>
      <c r="L38" s="258">
        <v>45689</v>
      </c>
      <c r="M38" s="258">
        <v>45717</v>
      </c>
      <c r="N38" s="243" t="s">
        <v>129</v>
      </c>
      <c r="O38" s="258">
        <v>45748</v>
      </c>
      <c r="P38" s="258">
        <v>45778</v>
      </c>
      <c r="Q38" s="258">
        <v>45809</v>
      </c>
      <c r="R38" s="243" t="s">
        <v>130</v>
      </c>
      <c r="S38" s="388" t="s">
        <v>124</v>
      </c>
      <c r="T38" s="389"/>
    </row>
    <row r="39" spans="1:20" ht="19">
      <c r="A39" s="285" t="s">
        <v>139</v>
      </c>
      <c r="B39" s="160"/>
      <c r="C39" s="267">
        <f>C45*$E$12</f>
        <v>28731946.416386191</v>
      </c>
      <c r="D39" s="267">
        <f>D45*$E$12</f>
        <v>34119186.369458601</v>
      </c>
      <c r="E39" s="267">
        <f>E45*$E$12</f>
        <v>40516533.813732088</v>
      </c>
      <c r="F39" s="269">
        <f>SUM(C39:E39)</f>
        <v>103367666.59957688</v>
      </c>
      <c r="G39" s="267">
        <f>G45*$E$12</f>
        <v>48113383.903806858</v>
      </c>
      <c r="H39" s="267">
        <f>H45*$E$12</f>
        <v>57134643.385770649</v>
      </c>
      <c r="I39" s="267">
        <f>I45*$E$12</f>
        <v>67847389.020602643</v>
      </c>
      <c r="J39" s="269">
        <f>SUM(G39:I39)</f>
        <v>173095416.31018016</v>
      </c>
      <c r="K39" s="267">
        <f>K45*$E$12</f>
        <v>80568774.461965635</v>
      </c>
      <c r="L39" s="267">
        <f>L45*$E$12</f>
        <v>95675419.673584193</v>
      </c>
      <c r="M39" s="267">
        <f>M45*$E$12</f>
        <v>113614560.86238122</v>
      </c>
      <c r="N39" s="269">
        <f>SUM(K39:M39)</f>
        <v>289858754.99793106</v>
      </c>
      <c r="O39" s="267">
        <f>O45*$E$12</f>
        <v>134917291.02407771</v>
      </c>
      <c r="P39" s="267">
        <f>P45*$E$12</f>
        <v>160214283.09109229</v>
      </c>
      <c r="Q39" s="267">
        <f>Q45*$E$12</f>
        <v>190254461.17067212</v>
      </c>
      <c r="R39" s="269">
        <f>SUM(O39:Q39)</f>
        <v>485386035.28584212</v>
      </c>
      <c r="S39" s="270" t="s">
        <v>109</v>
      </c>
      <c r="T39" s="271">
        <f>SUM(R39+N39+J39+F39)</f>
        <v>1051707873.1935302</v>
      </c>
    </row>
    <row r="40" spans="1:20" ht="19">
      <c r="A40" s="272" t="s">
        <v>110</v>
      </c>
      <c r="B40" s="2"/>
      <c r="C40" s="186">
        <f>C39*$H$6</f>
        <v>24422154.453928262</v>
      </c>
      <c r="D40" s="186">
        <f>D39*$H$6</f>
        <v>29001308.414039809</v>
      </c>
      <c r="E40" s="186">
        <f>E39*$H$6</f>
        <v>34439053.74167227</v>
      </c>
      <c r="F40" s="242">
        <f>SUM(C40:E40)</f>
        <v>87862516.60964033</v>
      </c>
      <c r="G40" s="186">
        <f>G39*$H$6</f>
        <v>40896376.318235829</v>
      </c>
      <c r="H40" s="186">
        <f>H39*$H$6</f>
        <v>48564446.877905048</v>
      </c>
      <c r="I40" s="186">
        <f>I39*$H$6</f>
        <v>57670280.667512245</v>
      </c>
      <c r="J40" s="242">
        <f>SUM(G40:I40)</f>
        <v>147131103.86365312</v>
      </c>
      <c r="K40" s="186">
        <f>K39*$H$6</f>
        <v>68483458.292670786</v>
      </c>
      <c r="L40" s="186">
        <f>L39*$H$6</f>
        <v>81324106.722546563</v>
      </c>
      <c r="M40" s="186">
        <f>M39*$H$6</f>
        <v>96572376.733024031</v>
      </c>
      <c r="N40" s="242">
        <f>SUM(K40:M40)</f>
        <v>246379941.74824139</v>
      </c>
      <c r="O40" s="186">
        <f>O39*$H$6</f>
        <v>114679697.37046605</v>
      </c>
      <c r="P40" s="186">
        <f>P39*$H$6</f>
        <v>136182140.62742844</v>
      </c>
      <c r="Q40" s="186">
        <f>Q39*$H$6</f>
        <v>161716291.99507129</v>
      </c>
      <c r="R40" s="242">
        <f>SUM(O40:Q40)</f>
        <v>412578129.99296582</v>
      </c>
      <c r="S40" s="232" t="s">
        <v>110</v>
      </c>
      <c r="T40" s="244">
        <f>SUM(R40+N40+J40+F40)</f>
        <v>893951692.21450067</v>
      </c>
    </row>
    <row r="41" spans="1:20" ht="20" thickBot="1">
      <c r="A41" s="273" t="s">
        <v>140</v>
      </c>
      <c r="B41" s="274"/>
      <c r="C41" s="264">
        <f>C39*$H$7</f>
        <v>4309791.9624579288</v>
      </c>
      <c r="D41" s="264">
        <f>D39*$H$7</f>
        <v>5117877.9554187898</v>
      </c>
      <c r="E41" s="264">
        <f>E39*$H$7</f>
        <v>6077480.072059813</v>
      </c>
      <c r="F41" s="306">
        <f>SUM(C41:E41)</f>
        <v>15505149.989936531</v>
      </c>
      <c r="G41" s="264">
        <f>G39*$H$7</f>
        <v>7217007.5855710283</v>
      </c>
      <c r="H41" s="264">
        <f>H39*$H$7</f>
        <v>8570196.5078655966</v>
      </c>
      <c r="I41" s="264">
        <f>I39*$H$7</f>
        <v>10177108.353090396</v>
      </c>
      <c r="J41" s="306">
        <f>SUM(G41:I41)</f>
        <v>25964312.446527019</v>
      </c>
      <c r="K41" s="264">
        <f>K39*$H$7</f>
        <v>12085316.169294845</v>
      </c>
      <c r="L41" s="264">
        <f>L39*$H$7</f>
        <v>14351312.951037629</v>
      </c>
      <c r="M41" s="264">
        <f>M39*$H$7</f>
        <v>17042184.129357181</v>
      </c>
      <c r="N41" s="306">
        <f>SUM(K41:M41)</f>
        <v>43478813.249689654</v>
      </c>
      <c r="O41" s="264">
        <f>O39*$H$7</f>
        <v>20237593.653611656</v>
      </c>
      <c r="P41" s="264">
        <f>P39*$H$7</f>
        <v>24032142.463663843</v>
      </c>
      <c r="Q41" s="264">
        <f>Q39*$H$7</f>
        <v>28538169.175600816</v>
      </c>
      <c r="R41" s="306">
        <f>SUM(O41:Q41)</f>
        <v>72807905.292876318</v>
      </c>
      <c r="S41" s="265" t="s">
        <v>108</v>
      </c>
      <c r="T41" s="307">
        <f>SUM(R41+N41+J41+F41)</f>
        <v>157756180.97902954</v>
      </c>
    </row>
    <row r="42" spans="1:20">
      <c r="A42" s="263" t="s">
        <v>148</v>
      </c>
      <c r="C42" s="245">
        <f>(Q31+$A$8)+Q31</f>
        <v>392536.62943804177</v>
      </c>
      <c r="D42" s="24">
        <f>(C42*$A$8)+C42</f>
        <v>466137.24745767459</v>
      </c>
      <c r="E42" s="24">
        <f>(D42*$A$8)+D42</f>
        <v>553537.98135598854</v>
      </c>
      <c r="F42" s="24"/>
      <c r="G42" s="24">
        <f>(E42*$A$8)+E42</f>
        <v>657326.35286023642</v>
      </c>
      <c r="H42" s="24">
        <f>(G42*$A$8)+G42</f>
        <v>780575.04402153078</v>
      </c>
      <c r="I42" s="24">
        <f>(H42*$A$8)+H42</f>
        <v>926932.86477556778</v>
      </c>
      <c r="J42" s="24"/>
      <c r="K42" s="24">
        <f>(I42*$A$8)+I42</f>
        <v>1100732.7769209868</v>
      </c>
      <c r="L42" s="24">
        <f>(K42*$A$8)+K42</f>
        <v>1307120.1725936718</v>
      </c>
      <c r="M42" s="24">
        <f>(L42*$A$8)+L42</f>
        <v>1552205.2049549853</v>
      </c>
      <c r="N42" s="24"/>
      <c r="O42" s="24">
        <f>(M42*$A$8)+M42</f>
        <v>1843243.6808840451</v>
      </c>
      <c r="P42" s="24">
        <f>(O42*$A$8)+O42</f>
        <v>2188851.8710498037</v>
      </c>
      <c r="Q42" s="24">
        <f>(P42*$A$8)+P42</f>
        <v>2599261.5968716419</v>
      </c>
    </row>
    <row r="43" spans="1:20">
      <c r="A43" s="263" t="s">
        <v>149</v>
      </c>
      <c r="C43" s="245">
        <v>500</v>
      </c>
      <c r="D43" s="24">
        <f>C43</f>
        <v>500</v>
      </c>
      <c r="E43" s="24">
        <f>D43</f>
        <v>500</v>
      </c>
      <c r="F43" s="24"/>
      <c r="G43" s="24">
        <f>E43</f>
        <v>500</v>
      </c>
      <c r="H43" s="24">
        <f>G43</f>
        <v>500</v>
      </c>
      <c r="I43" s="24">
        <f>H43</f>
        <v>500</v>
      </c>
      <c r="J43" s="24"/>
      <c r="K43" s="24">
        <f>I43</f>
        <v>500</v>
      </c>
      <c r="L43" s="24">
        <f>K43</f>
        <v>500</v>
      </c>
      <c r="M43" s="24">
        <f>L43</f>
        <v>500</v>
      </c>
      <c r="N43" s="24"/>
      <c r="O43" s="24">
        <f>M43</f>
        <v>500</v>
      </c>
      <c r="P43" s="24">
        <f>O43</f>
        <v>500</v>
      </c>
      <c r="Q43" s="24">
        <f>P43</f>
        <v>500</v>
      </c>
      <c r="S43" s="354"/>
    </row>
    <row r="44" spans="1:20">
      <c r="A44" s="263" t="s">
        <v>150</v>
      </c>
      <c r="C44" s="245">
        <f>IF((C43*C42)*$B$13&gt;$E$7,$E$7,(C43*C42)*$B$13)</f>
        <v>39253662.943804175</v>
      </c>
      <c r="D44" s="245">
        <f>IF((D43*D42)*$B$13&gt;$E$7,$E$7,(D43*D42)*$B$13)</f>
        <v>46613724.745767459</v>
      </c>
      <c r="E44" s="245">
        <f>IF((E43*E42)*$B$13&gt;$E$7,$E$7,(E43*E42)*$B$13)</f>
        <v>55353798.135598853</v>
      </c>
      <c r="F44" s="24"/>
      <c r="G44" s="245">
        <f>IF((G43*G42)*$B$13&gt;$E$7,$E$7,(G43*G42)*$B$13)</f>
        <v>65732635.286023647</v>
      </c>
      <c r="H44" s="245">
        <f>IF((H43*H42)*$B$13&gt;$E$7,$E$7,(H43*H42)*$B$13)</f>
        <v>78057504.402153075</v>
      </c>
      <c r="I44" s="245">
        <f>IF((I43*I42)*$B$13&gt;$E$7,$E$7,(I43*I42)*$B$13)</f>
        <v>92693286.47755678</v>
      </c>
      <c r="J44" s="24"/>
      <c r="K44" s="245">
        <f>IF((K43*K42)*$B$13&gt;$E$7,$E$7,(K43*K42)*$B$13)</f>
        <v>110073277.69209869</v>
      </c>
      <c r="L44" s="245">
        <f>IF((L43*L42)*$B$13&gt;$E$7,$E$7,(L43*L42)*$B$13)</f>
        <v>130712017.25936718</v>
      </c>
      <c r="M44" s="245">
        <f>IF((M43*M42)*$B$13&gt;$E$7,$E$7,(M43*M42)*$B$13)</f>
        <v>155220520.49549854</v>
      </c>
      <c r="N44" s="24"/>
      <c r="O44" s="245">
        <f>IF((O43*O42)*$B$13&gt;$E$7,$E$7,(O43*O42)*$B$13)</f>
        <v>184324368.08840454</v>
      </c>
      <c r="P44" s="245">
        <f>IF((P43*P42)*$B$13&gt;$E$7,$E$7,(P43*P42)*$B$13)</f>
        <v>218885187.10498038</v>
      </c>
      <c r="Q44" s="245">
        <f>IF((Q43*Q42)*$B$13&gt;$E$7,$E$7,(Q43*Q42)*$B$13)</f>
        <v>259926159.68716422</v>
      </c>
      <c r="S44" s="355"/>
    </row>
    <row r="45" spans="1:20">
      <c r="A45" s="263" t="s">
        <v>147</v>
      </c>
      <c r="C45" s="245">
        <f>(Q34)+((Q34)*$A$8)</f>
        <v>4788657.7360643651</v>
      </c>
      <c r="D45" s="245">
        <f t="shared" ref="D45:I45" si="3">(C45)+((C45)*$A$8)</f>
        <v>5686531.0615764335</v>
      </c>
      <c r="E45" s="245">
        <f t="shared" si="3"/>
        <v>6752755.6356220152</v>
      </c>
      <c r="F45" s="24"/>
      <c r="G45" s="245">
        <f>(E45)+((E45)*$A$8)</f>
        <v>8018897.317301143</v>
      </c>
      <c r="H45" s="245">
        <f t="shared" si="3"/>
        <v>9522440.5642951075</v>
      </c>
      <c r="I45" s="245">
        <f t="shared" si="3"/>
        <v>11307898.170100439</v>
      </c>
      <c r="J45" s="24"/>
      <c r="K45" s="245">
        <f>(I45)+((I45)*$A$8)</f>
        <v>13428129.076994272</v>
      </c>
      <c r="L45" s="245">
        <f t="shared" ref="L45:M45" si="4">(K45)+((K45)*$A$8)</f>
        <v>15945903.278930698</v>
      </c>
      <c r="M45" s="245">
        <f t="shared" si="4"/>
        <v>18935760.143730205</v>
      </c>
      <c r="N45" s="24"/>
      <c r="O45" s="245">
        <f>(M45)+((M45)*$A$8)</f>
        <v>22486215.170679618</v>
      </c>
      <c r="P45" s="245">
        <f t="shared" ref="P45:Q45" si="5">(O45)+((O45)*$A$8)</f>
        <v>26702380.515182048</v>
      </c>
      <c r="Q45" s="245">
        <f t="shared" si="5"/>
        <v>31709076.861778684</v>
      </c>
      <c r="S45" s="54"/>
    </row>
    <row r="46" spans="1:20">
      <c r="S46" s="229"/>
    </row>
  </sheetData>
  <mergeCells count="8">
    <mergeCell ref="S27:T27"/>
    <mergeCell ref="S38:T38"/>
    <mergeCell ref="A4:B4"/>
    <mergeCell ref="D4:E4"/>
    <mergeCell ref="G4:H4"/>
    <mergeCell ref="D9:E9"/>
    <mergeCell ref="A10:B10"/>
    <mergeCell ref="S16:T16"/>
  </mergeCells>
  <pageMargins left="0.7" right="0.7" top="0.75" bottom="0.75" header="0.3" footer="0.3"/>
  <pageSetup scale="32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B4218-3DB2-D34C-859E-965A0B2C91F2}">
  <sheetPr>
    <pageSetUpPr fitToPage="1"/>
  </sheetPr>
  <dimension ref="A1:N74"/>
  <sheetViews>
    <sheetView view="pageLayout" topLeftCell="A24" zoomScale="150" zoomScaleNormal="200" zoomScalePageLayoutView="150" workbookViewId="0">
      <selection activeCell="B30" sqref="B30"/>
    </sheetView>
  </sheetViews>
  <sheetFormatPr baseColWidth="10" defaultColWidth="11.5" defaultRowHeight="15"/>
  <cols>
    <col min="1" max="1" width="9.33203125" customWidth="1"/>
    <col min="2" max="2" width="20.33203125" customWidth="1"/>
    <col min="3" max="3" width="15.5" customWidth="1"/>
    <col min="4" max="4" width="16.1640625" style="53" customWidth="1"/>
    <col min="5" max="5" width="10" customWidth="1"/>
    <col min="6" max="6" width="8.1640625" customWidth="1"/>
    <col min="7" max="7" width="6.33203125" customWidth="1"/>
    <col min="8" max="8" width="24" customWidth="1"/>
    <col min="9" max="9" width="7.6640625" customWidth="1"/>
    <col min="10" max="10" width="18" customWidth="1"/>
    <col min="11" max="11" width="6.1640625" customWidth="1"/>
  </cols>
  <sheetData>
    <row r="1" spans="1:14" ht="26">
      <c r="A1" s="151" t="s">
        <v>162</v>
      </c>
      <c r="B1" s="288"/>
    </row>
    <row r="2" spans="1:14" ht="21">
      <c r="A2" s="289" t="s">
        <v>85</v>
      </c>
      <c r="C2" t="s">
        <v>282</v>
      </c>
    </row>
    <row r="3" spans="1:14" ht="16" thickBot="1">
      <c r="A3" s="73"/>
    </row>
    <row r="4" spans="1:14" ht="65" thickBot="1">
      <c r="A4" s="396" t="s">
        <v>152</v>
      </c>
      <c r="B4" s="397"/>
      <c r="C4" s="398"/>
      <c r="D4" s="193" t="s">
        <v>54</v>
      </c>
      <c r="E4" s="221" t="s">
        <v>53</v>
      </c>
      <c r="F4" s="290" t="s">
        <v>151</v>
      </c>
      <c r="G4" s="294" t="s">
        <v>154</v>
      </c>
      <c r="H4" s="185" t="s">
        <v>153</v>
      </c>
    </row>
    <row r="5" spans="1:14" ht="21">
      <c r="A5" s="291" t="s">
        <v>12</v>
      </c>
      <c r="B5" s="297">
        <v>16500000</v>
      </c>
      <c r="C5" s="71" t="s">
        <v>58</v>
      </c>
      <c r="D5" s="194" t="s">
        <v>40</v>
      </c>
      <c r="E5" s="222">
        <v>0.45</v>
      </c>
      <c r="F5" s="224"/>
      <c r="G5" s="24"/>
      <c r="H5" s="56"/>
    </row>
    <row r="6" spans="1:14" ht="30" customHeight="1">
      <c r="A6" s="292" t="s">
        <v>54</v>
      </c>
      <c r="B6" s="298" t="s">
        <v>40</v>
      </c>
      <c r="C6" s="72" t="s">
        <v>56</v>
      </c>
      <c r="D6" s="195" t="s">
        <v>50</v>
      </c>
      <c r="E6" s="222">
        <v>0.3</v>
      </c>
      <c r="F6" s="224"/>
      <c r="G6" s="24"/>
      <c r="H6" s="24"/>
    </row>
    <row r="7" spans="1:14" ht="48">
      <c r="A7" s="293" t="s">
        <v>53</v>
      </c>
      <c r="B7" s="182">
        <f>IF(B6="Z1",E5,IF(B6="Z2",E6,IF(B6=D6,E6,IF(B6=D7,E7,IF(B6=D8,E8,FALSE)))))</f>
        <v>0.45</v>
      </c>
      <c r="C7" s="183" t="s">
        <v>57</v>
      </c>
      <c r="D7" s="195" t="s">
        <v>51</v>
      </c>
      <c r="E7" s="222">
        <v>0.15</v>
      </c>
      <c r="F7" s="224"/>
      <c r="G7" s="24"/>
      <c r="H7" s="24"/>
    </row>
    <row r="8" spans="1:14" ht="22" thickBot="1">
      <c r="A8" s="273" t="s">
        <v>88</v>
      </c>
      <c r="B8" s="296">
        <v>0.01</v>
      </c>
      <c r="C8" s="184" t="s">
        <v>58</v>
      </c>
      <c r="D8" s="196" t="s">
        <v>52</v>
      </c>
      <c r="E8" s="223">
        <v>7.4999999999999997E-2</v>
      </c>
      <c r="F8" s="225"/>
      <c r="G8" s="54"/>
      <c r="H8" s="55"/>
    </row>
    <row r="9" spans="1:14" ht="20" thickBot="1">
      <c r="D9" s="57"/>
      <c r="E9" s="58"/>
      <c r="F9" s="54"/>
      <c r="G9" s="55"/>
    </row>
    <row r="10" spans="1:14" ht="22" thickBot="1">
      <c r="A10" s="67"/>
      <c r="B10" s="63" t="s">
        <v>69</v>
      </c>
      <c r="C10" s="12"/>
      <c r="D10" s="13"/>
      <c r="E10" s="29"/>
      <c r="G10" s="67"/>
      <c r="H10" s="63" t="s">
        <v>70</v>
      </c>
      <c r="I10" s="29"/>
    </row>
    <row r="11" spans="1:14" ht="32">
      <c r="A11" s="69">
        <v>1</v>
      </c>
      <c r="B11" s="158" t="s">
        <v>65</v>
      </c>
      <c r="C11" s="159" t="s">
        <v>7</v>
      </c>
      <c r="D11" s="160" t="s">
        <v>24</v>
      </c>
      <c r="E11" s="16"/>
      <c r="G11" s="69">
        <v>2</v>
      </c>
      <c r="H11" s="161" t="s">
        <v>71</v>
      </c>
      <c r="I11" s="227"/>
    </row>
    <row r="12" spans="1:14" ht="25">
      <c r="A12" s="40"/>
      <c r="B12" s="59"/>
      <c r="C12" s="60"/>
      <c r="D12" s="61"/>
      <c r="E12" s="16"/>
      <c r="G12" s="41"/>
      <c r="H12" s="295">
        <v>220</v>
      </c>
      <c r="I12" s="228" t="s">
        <v>58</v>
      </c>
      <c r="M12" s="371"/>
    </row>
    <row r="13" spans="1:14" ht="16">
      <c r="A13" s="40"/>
      <c r="B13" s="6" t="s">
        <v>2</v>
      </c>
      <c r="C13" s="2"/>
      <c r="D13" s="299">
        <v>2</v>
      </c>
      <c r="E13" s="150" t="s">
        <v>58</v>
      </c>
      <c r="G13" s="40"/>
      <c r="H13" s="64">
        <f>D13</f>
        <v>2</v>
      </c>
      <c r="I13" s="41"/>
      <c r="M13" s="373"/>
      <c r="N13" s="372"/>
    </row>
    <row r="14" spans="1:14" ht="16">
      <c r="A14" s="40"/>
      <c r="B14" s="6" t="s">
        <v>12</v>
      </c>
      <c r="C14" s="25"/>
      <c r="D14" s="7">
        <f>B5</f>
        <v>16500000</v>
      </c>
      <c r="E14" s="16"/>
      <c r="G14" s="40"/>
      <c r="H14" s="65">
        <f>D14</f>
        <v>16500000</v>
      </c>
      <c r="I14" s="41"/>
      <c r="M14" s="374"/>
    </row>
    <row r="15" spans="1:14" ht="32">
      <c r="A15" s="40"/>
      <c r="B15" s="6" t="s">
        <v>11</v>
      </c>
      <c r="C15" s="181" t="s">
        <v>89</v>
      </c>
      <c r="D15" s="7">
        <f>D14*B8</f>
        <v>165000</v>
      </c>
      <c r="E15" s="16"/>
      <c r="G15" s="40"/>
      <c r="H15" s="65">
        <f>D15</f>
        <v>165000</v>
      </c>
      <c r="I15" s="41"/>
      <c r="M15" s="375"/>
    </row>
    <row r="16" spans="1:14" ht="16">
      <c r="A16" s="40"/>
      <c r="B16" s="6" t="s">
        <v>3</v>
      </c>
      <c r="C16" s="26" t="s">
        <v>94</v>
      </c>
      <c r="D16" s="135">
        <f t="shared" ref="D16" si="0">D13*D15</f>
        <v>330000</v>
      </c>
      <c r="E16" s="16"/>
      <c r="G16" s="40"/>
      <c r="H16" s="132">
        <f t="shared" ref="H16" si="1">(H13*H15)*H12</f>
        <v>72600000</v>
      </c>
      <c r="I16" s="41"/>
      <c r="M16" s="376"/>
      <c r="N16" s="372"/>
    </row>
    <row r="17" spans="1:13" ht="16">
      <c r="A17" s="40"/>
      <c r="B17" s="6" t="s">
        <v>0</v>
      </c>
      <c r="C17" s="26" t="s">
        <v>95</v>
      </c>
      <c r="D17" s="186" t="str">
        <f>IF(G4&gt;0,G4,0)</f>
        <v>0%</v>
      </c>
      <c r="E17" s="16"/>
      <c r="G17" s="40"/>
      <c r="H17" s="226">
        <f>IF(J4&gt;0,J4,0)</f>
        <v>0</v>
      </c>
      <c r="I17" s="41"/>
      <c r="M17" s="377"/>
    </row>
    <row r="18" spans="1:13" ht="32">
      <c r="A18" s="40"/>
      <c r="B18" s="6" t="s">
        <v>1</v>
      </c>
      <c r="C18" s="26" t="s">
        <v>96</v>
      </c>
      <c r="D18" s="135">
        <f>(D16-D17)</f>
        <v>330000</v>
      </c>
      <c r="E18" s="16"/>
      <c r="G18" s="40"/>
      <c r="H18" s="132">
        <f t="shared" ref="H18" si="2">H16-H17</f>
        <v>72600000</v>
      </c>
      <c r="I18" s="41"/>
      <c r="M18" s="375"/>
    </row>
    <row r="19" spans="1:13" ht="16">
      <c r="A19" s="40"/>
      <c r="B19" s="11" t="s">
        <v>18</v>
      </c>
      <c r="C19" s="27" t="s">
        <v>97</v>
      </c>
      <c r="D19" s="136">
        <f>D18/2</f>
        <v>165000</v>
      </c>
      <c r="E19" s="16"/>
      <c r="G19" s="40"/>
      <c r="H19" s="133">
        <f>H18/2</f>
        <v>36300000</v>
      </c>
      <c r="I19" s="41"/>
      <c r="M19" s="376"/>
    </row>
    <row r="20" spans="1:13" ht="32">
      <c r="A20" s="40"/>
      <c r="B20" s="9" t="s">
        <v>16</v>
      </c>
      <c r="C20" s="28" t="s">
        <v>98</v>
      </c>
      <c r="D20" s="137">
        <f>$D$19*0.2</f>
        <v>33000</v>
      </c>
      <c r="E20" s="16"/>
      <c r="G20" s="40"/>
      <c r="H20" s="134">
        <f>D20*H12</f>
        <v>7260000</v>
      </c>
      <c r="I20" s="41"/>
      <c r="M20" s="377"/>
    </row>
    <row r="21" spans="1:13" ht="64">
      <c r="A21" s="40"/>
      <c r="B21" s="166" t="s">
        <v>55</v>
      </c>
      <c r="C21" s="168" t="s">
        <v>76</v>
      </c>
      <c r="D21" s="153">
        <f>B7*D19</f>
        <v>74250</v>
      </c>
      <c r="E21" s="16"/>
      <c r="G21" s="40"/>
      <c r="H21" s="169">
        <f>D21*H12</f>
        <v>16335000</v>
      </c>
      <c r="I21" s="41"/>
    </row>
    <row r="22" spans="1:13" ht="64">
      <c r="A22" s="40"/>
      <c r="B22" s="170" t="s">
        <v>82</v>
      </c>
      <c r="C22" s="171" t="s">
        <v>99</v>
      </c>
      <c r="D22" s="156">
        <f>0.05*D19</f>
        <v>8250</v>
      </c>
      <c r="E22" s="16"/>
      <c r="G22" s="40"/>
      <c r="H22" s="172">
        <f>D22*H12</f>
        <v>1815000</v>
      </c>
      <c r="I22" s="41"/>
    </row>
    <row r="23" spans="1:13" ht="32">
      <c r="A23" s="40"/>
      <c r="B23" s="31" t="s">
        <v>20</v>
      </c>
      <c r="C23" s="32" t="s">
        <v>100</v>
      </c>
      <c r="D23" s="138">
        <f>D19-SUM(D20:D22)</f>
        <v>49500</v>
      </c>
      <c r="E23" s="16"/>
      <c r="G23" s="40"/>
      <c r="H23" s="145">
        <f>H19-SUM(H20:H22)</f>
        <v>10890000</v>
      </c>
      <c r="I23" s="41"/>
    </row>
    <row r="24" spans="1:13" ht="16">
      <c r="A24" s="40"/>
      <c r="B24" s="34" t="s">
        <v>19</v>
      </c>
      <c r="C24" s="27" t="s">
        <v>97</v>
      </c>
      <c r="D24" s="136">
        <f>D18-D19</f>
        <v>165000</v>
      </c>
      <c r="E24" s="16"/>
      <c r="G24" s="40"/>
      <c r="H24" s="133">
        <f>H19</f>
        <v>36300000</v>
      </c>
      <c r="I24" s="41"/>
    </row>
    <row r="25" spans="1:13" ht="48">
      <c r="A25" s="70"/>
      <c r="B25" s="197" t="s">
        <v>80</v>
      </c>
      <c r="C25" s="198" t="s">
        <v>101</v>
      </c>
      <c r="D25" s="176">
        <f>D24*0.1</f>
        <v>16500</v>
      </c>
      <c r="E25" s="16"/>
      <c r="G25" s="70"/>
      <c r="H25" s="199">
        <f>D25*H12</f>
        <v>3630000</v>
      </c>
      <c r="I25" s="41"/>
    </row>
    <row r="26" spans="1:13" ht="33" thickBot="1">
      <c r="A26" s="66"/>
      <c r="B26" s="200" t="s">
        <v>17</v>
      </c>
      <c r="C26" s="201" t="s">
        <v>102</v>
      </c>
      <c r="D26" s="179">
        <f>D24*0.9</f>
        <v>148500</v>
      </c>
      <c r="E26" s="16"/>
      <c r="G26" s="66"/>
      <c r="H26" s="202">
        <f>D26*H12</f>
        <v>32670000</v>
      </c>
      <c r="I26" s="192"/>
    </row>
    <row r="27" spans="1:13" ht="16" thickBot="1">
      <c r="A27" s="68"/>
      <c r="B27" s="18"/>
      <c r="C27" s="19"/>
      <c r="D27" s="20"/>
      <c r="E27" s="29"/>
      <c r="G27" s="68"/>
      <c r="H27" s="18"/>
      <c r="I27" s="29"/>
    </row>
    <row r="28" spans="1:13" ht="12" customHeight="1" thickBot="1">
      <c r="A28" s="1"/>
      <c r="B28" s="1"/>
      <c r="D28"/>
      <c r="G28" s="131"/>
      <c r="H28" s="23"/>
    </row>
    <row r="29" spans="1:13" ht="22" customHeight="1" thickBot="1">
      <c r="A29" s="29"/>
      <c r="B29" s="12" t="s">
        <v>77</v>
      </c>
      <c r="C29" s="12"/>
      <c r="D29" s="14"/>
      <c r="E29" s="29"/>
      <c r="G29" s="62"/>
      <c r="H29" s="37" t="s">
        <v>78</v>
      </c>
      <c r="I29" s="37"/>
      <c r="J29" s="38"/>
      <c r="K29" s="29"/>
    </row>
    <row r="30" spans="1:13" ht="144">
      <c r="A30" s="52">
        <v>3</v>
      </c>
      <c r="B30" s="163" t="s">
        <v>6</v>
      </c>
      <c r="C30" s="159" t="s">
        <v>73</v>
      </c>
      <c r="D30" s="164" t="s">
        <v>24</v>
      </c>
      <c r="E30" s="16"/>
      <c r="G30" s="146">
        <v>4</v>
      </c>
      <c r="H30" s="158" t="s">
        <v>6</v>
      </c>
      <c r="I30" s="159" t="s">
        <v>72</v>
      </c>
      <c r="J30" s="162" t="s">
        <v>24</v>
      </c>
      <c r="K30" s="41"/>
    </row>
    <row r="31" spans="1:13" ht="32">
      <c r="A31" s="17"/>
      <c r="B31" s="4" t="s">
        <v>1</v>
      </c>
      <c r="C31" s="43">
        <v>1</v>
      </c>
      <c r="D31" s="141">
        <f>D18</f>
        <v>330000</v>
      </c>
      <c r="E31" s="16"/>
      <c r="G31" s="40"/>
      <c r="H31" s="11" t="s">
        <v>18</v>
      </c>
      <c r="I31" s="44">
        <v>1</v>
      </c>
      <c r="J31" s="143">
        <f>D32</f>
        <v>165000</v>
      </c>
      <c r="K31" s="41"/>
    </row>
    <row r="32" spans="1:13" ht="32">
      <c r="A32" s="17"/>
      <c r="B32" s="33" t="s">
        <v>18</v>
      </c>
      <c r="C32" s="44">
        <v>0.5</v>
      </c>
      <c r="D32" s="139">
        <f>D31/2</f>
        <v>165000</v>
      </c>
      <c r="E32" s="16"/>
      <c r="G32" s="40"/>
      <c r="H32" s="9" t="s">
        <v>16</v>
      </c>
      <c r="I32" s="45">
        <f>0.2</f>
        <v>0.2</v>
      </c>
      <c r="J32" s="144">
        <f>$J$31*I32</f>
        <v>33000</v>
      </c>
      <c r="K32" s="41"/>
    </row>
    <row r="33" spans="1:11" ht="32">
      <c r="A33" s="17"/>
      <c r="B33" s="8" t="s">
        <v>16</v>
      </c>
      <c r="C33" s="45">
        <f>0.2/2</f>
        <v>0.1</v>
      </c>
      <c r="D33" s="140">
        <f>$D$31*C33</f>
        <v>33000</v>
      </c>
      <c r="E33" s="16"/>
      <c r="G33" s="40"/>
      <c r="H33" s="166" t="s">
        <v>55</v>
      </c>
      <c r="I33" s="165">
        <f>B7</f>
        <v>0.45</v>
      </c>
      <c r="J33" s="167">
        <f>$J$31*I33</f>
        <v>74250</v>
      </c>
      <c r="K33" s="41"/>
    </row>
    <row r="34" spans="1:11" ht="48">
      <c r="A34" s="17"/>
      <c r="B34" s="152" t="s">
        <v>55</v>
      </c>
      <c r="C34" s="165">
        <f>B7/2</f>
        <v>0.22500000000000001</v>
      </c>
      <c r="D34" s="154">
        <f>$D$31*C34</f>
        <v>74250</v>
      </c>
      <c r="E34" s="16"/>
      <c r="G34" s="40"/>
      <c r="H34" s="170" t="s">
        <v>79</v>
      </c>
      <c r="I34" s="173">
        <f>0.05</f>
        <v>0.05</v>
      </c>
      <c r="J34" s="174">
        <f>$J$31*I34</f>
        <v>8250</v>
      </c>
      <c r="K34" s="41"/>
    </row>
    <row r="35" spans="1:11" ht="49" thickBot="1">
      <c r="A35" s="17"/>
      <c r="B35" s="155" t="s">
        <v>81</v>
      </c>
      <c r="C35" s="173">
        <f>0.05/2</f>
        <v>2.5000000000000001E-2</v>
      </c>
      <c r="D35" s="157">
        <f>$D$31*C35</f>
        <v>8250</v>
      </c>
      <c r="E35" s="16"/>
      <c r="G35" s="66"/>
      <c r="H35" s="47" t="s">
        <v>20</v>
      </c>
      <c r="I35" s="48">
        <f>J35/J31</f>
        <v>0.3</v>
      </c>
      <c r="J35" s="145">
        <f>$J$31-(SUM(J32:J34))</f>
        <v>49500</v>
      </c>
      <c r="K35" s="41"/>
    </row>
    <row r="36" spans="1:11" ht="33" thickBot="1">
      <c r="A36" s="17"/>
      <c r="B36" s="30" t="s">
        <v>20</v>
      </c>
      <c r="C36" s="46">
        <f>(C31/2)-SUM(C33:C35)</f>
        <v>0.14999999999999997</v>
      </c>
      <c r="D36" s="142">
        <f>$D$31*C36</f>
        <v>49499.999999999985</v>
      </c>
      <c r="E36" s="16"/>
      <c r="G36" s="29"/>
      <c r="H36" s="49"/>
      <c r="I36" s="50">
        <f>SUM(I32:I35)</f>
        <v>1</v>
      </c>
      <c r="J36" s="49"/>
      <c r="K36" s="29"/>
    </row>
    <row r="37" spans="1:11" ht="17" thickBot="1">
      <c r="A37" s="17"/>
      <c r="B37" s="33" t="s">
        <v>19</v>
      </c>
      <c r="C37" s="44">
        <v>0.5</v>
      </c>
      <c r="D37" s="139">
        <f>D31/2</f>
        <v>165000</v>
      </c>
      <c r="E37" s="16"/>
    </row>
    <row r="38" spans="1:11" ht="64">
      <c r="A38" s="42"/>
      <c r="B38" s="175" t="s">
        <v>83</v>
      </c>
      <c r="C38" s="187">
        <f>0.1/2</f>
        <v>0.05</v>
      </c>
      <c r="D38" s="188">
        <f>$D$31*C38</f>
        <v>16500</v>
      </c>
      <c r="E38" s="16"/>
      <c r="G38" s="356" t="s">
        <v>279</v>
      </c>
      <c r="H38" s="357">
        <f>D39*I38</f>
        <v>118800</v>
      </c>
      <c r="I38" s="358">
        <v>0.8</v>
      </c>
      <c r="J38" s="369" t="s">
        <v>283</v>
      </c>
      <c r="K38" s="359"/>
    </row>
    <row r="39" spans="1:11" ht="33" thickBot="1">
      <c r="A39" s="17"/>
      <c r="B39" s="178" t="s">
        <v>17</v>
      </c>
      <c r="C39" s="190">
        <f>0.9/2</f>
        <v>0.45</v>
      </c>
      <c r="D39" s="189">
        <f>$D$31*C39</f>
        <v>148500</v>
      </c>
      <c r="E39" s="16"/>
      <c r="G39" s="360" t="s">
        <v>280</v>
      </c>
      <c r="H39" s="361">
        <f>D39*I39</f>
        <v>22275</v>
      </c>
      <c r="I39" s="362">
        <v>0.15</v>
      </c>
      <c r="J39" s="370">
        <v>100</v>
      </c>
      <c r="K39" s="363"/>
    </row>
    <row r="40" spans="1:11" ht="22" thickBot="1">
      <c r="A40" s="51"/>
      <c r="B40" s="35"/>
      <c r="C40" s="39">
        <f>SUM(C33:C36)+SUM(C38:C39)</f>
        <v>1</v>
      </c>
      <c r="D40" s="36"/>
      <c r="E40" s="29"/>
      <c r="G40" s="364" t="s">
        <v>281</v>
      </c>
      <c r="H40" s="365">
        <f>D39*I40</f>
        <v>7425</v>
      </c>
      <c r="I40" s="366">
        <v>0.05</v>
      </c>
      <c r="J40" s="367"/>
      <c r="K40" s="368"/>
    </row>
    <row r="74" spans="4:5">
      <c r="D74"/>
      <c r="E74" s="53"/>
    </row>
  </sheetData>
  <mergeCells count="1">
    <mergeCell ref="A4:C4"/>
  </mergeCells>
  <dataValidations disablePrompts="1" count="1">
    <dataValidation type="list" allowBlank="1" showInputMessage="1" showErrorMessage="1" sqref="B6" xr:uid="{495399D0-917D-324E-9CEB-519329ADA2A9}">
      <formula1>$D$5:$D$8</formula1>
    </dataValidation>
  </dataValidations>
  <pageMargins left="0.7" right="0.7" top="0.75" bottom="0.75" header="0.3" footer="0.3"/>
  <pageSetup scale="55" orientation="portrait" r:id="rId1"/>
  <headerFooter>
    <oddHeader>&amp;C&amp;"Calibri (Body),Bold"&amp;48ZUKI, Inc.</oddHeader>
    <oddFooter xml:space="preserve">&amp;CStrictly Confidential 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3F187-978D-46F9-A417-9F6C7FC148EC}">
  <sheetPr>
    <pageSetUpPr fitToPage="1"/>
  </sheetPr>
  <dimension ref="A1:O33"/>
  <sheetViews>
    <sheetView view="pageLayout" zoomScaleNormal="150" workbookViewId="0">
      <selection activeCell="B6" sqref="B6"/>
    </sheetView>
  </sheetViews>
  <sheetFormatPr baseColWidth="10" defaultColWidth="8.83203125" defaultRowHeight="15"/>
  <cols>
    <col min="1" max="1" width="3.33203125" customWidth="1"/>
    <col min="2" max="2" width="41.6640625" style="1" customWidth="1"/>
    <col min="3" max="3" width="23.83203125" customWidth="1"/>
    <col min="4" max="4" width="22.83203125" customWidth="1"/>
    <col min="5" max="5" width="21.1640625" customWidth="1"/>
    <col min="6" max="6" width="19.1640625" customWidth="1"/>
    <col min="7" max="7" width="19" customWidth="1"/>
    <col min="8" max="8" width="26.5" customWidth="1"/>
    <col min="9" max="9" width="24" customWidth="1"/>
    <col min="10" max="10" width="5.33203125" customWidth="1"/>
    <col min="11" max="11" width="19.5" customWidth="1"/>
    <col min="12" max="12" width="5.6640625" customWidth="1"/>
    <col min="13" max="14" width="10.5" bestFit="1" customWidth="1"/>
    <col min="15" max="15" width="11.5" bestFit="1" customWidth="1"/>
  </cols>
  <sheetData>
    <row r="1" spans="1:15" ht="26">
      <c r="A1" s="73" t="s">
        <v>68</v>
      </c>
      <c r="B1" s="151" t="s">
        <v>162</v>
      </c>
      <c r="D1" s="53"/>
    </row>
    <row r="2" spans="1:15" ht="21">
      <c r="A2" s="73" t="s">
        <v>86</v>
      </c>
      <c r="B2" s="287"/>
      <c r="D2" s="53"/>
    </row>
    <row r="3" spans="1:15" ht="16" thickBot="1"/>
    <row r="4" spans="1:15" ht="22" thickBot="1">
      <c r="A4" s="29"/>
      <c r="B4" s="12" t="s">
        <v>66</v>
      </c>
      <c r="C4" s="14" t="s">
        <v>74</v>
      </c>
      <c r="D4" s="14" t="s">
        <v>42</v>
      </c>
      <c r="E4" s="14" t="s">
        <v>42</v>
      </c>
      <c r="F4" s="14" t="s">
        <v>41</v>
      </c>
      <c r="G4" s="14" t="s">
        <v>40</v>
      </c>
      <c r="H4" s="14" t="s">
        <v>40</v>
      </c>
      <c r="I4" s="13"/>
      <c r="J4" s="29"/>
    </row>
    <row r="5" spans="1:15" ht="24">
      <c r="A5" s="15">
        <v>5</v>
      </c>
      <c r="B5" s="163" t="s">
        <v>2</v>
      </c>
      <c r="C5" s="215">
        <f>'Basic Game Economics'!D13</f>
        <v>2</v>
      </c>
      <c r="D5" s="215">
        <v>5</v>
      </c>
      <c r="E5" s="215">
        <v>20</v>
      </c>
      <c r="F5" s="215">
        <v>100</v>
      </c>
      <c r="G5" s="215">
        <v>250</v>
      </c>
      <c r="H5" s="216">
        <v>1000</v>
      </c>
      <c r="I5" s="216">
        <v>10000</v>
      </c>
      <c r="J5" s="16"/>
    </row>
    <row r="6" spans="1:15" ht="16">
      <c r="A6" s="17"/>
      <c r="B6" s="4" t="s">
        <v>12</v>
      </c>
      <c r="C6" s="7">
        <f>'Basic Game Economics'!B5</f>
        <v>16500000</v>
      </c>
      <c r="D6" s="3"/>
      <c r="E6" s="3"/>
      <c r="F6" s="3"/>
      <c r="G6" s="3"/>
      <c r="H6" s="5"/>
      <c r="I6" s="5"/>
      <c r="J6" s="16"/>
    </row>
    <row r="7" spans="1:15" ht="16">
      <c r="A7" s="17"/>
      <c r="B7" s="4" t="s">
        <v>11</v>
      </c>
      <c r="C7" s="7">
        <f>'Basic Game Economics'!D15</f>
        <v>165000</v>
      </c>
      <c r="D7" s="7">
        <f>C7*0.75</f>
        <v>123750</v>
      </c>
      <c r="E7" s="7">
        <f t="shared" ref="E7:I7" si="0">D7*0.5</f>
        <v>61875</v>
      </c>
      <c r="F7" s="7">
        <f t="shared" si="0"/>
        <v>30937.5</v>
      </c>
      <c r="G7" s="7">
        <f t="shared" si="0"/>
        <v>15468.75</v>
      </c>
      <c r="H7" s="10">
        <f t="shared" si="0"/>
        <v>7734.375</v>
      </c>
      <c r="I7" s="10">
        <f t="shared" si="0"/>
        <v>3867.1875</v>
      </c>
      <c r="J7" s="16"/>
    </row>
    <row r="8" spans="1:15" ht="16">
      <c r="A8" s="17"/>
      <c r="B8" s="4" t="s">
        <v>3</v>
      </c>
      <c r="C8" s="135">
        <f>'Basic Game Economics'!D16</f>
        <v>330000</v>
      </c>
      <c r="D8" s="135">
        <f t="shared" ref="D8:I8" si="1">D5*D7</f>
        <v>618750</v>
      </c>
      <c r="E8" s="135">
        <f t="shared" si="1"/>
        <v>1237500</v>
      </c>
      <c r="F8" s="135">
        <f t="shared" si="1"/>
        <v>3093750</v>
      </c>
      <c r="G8" s="135">
        <f t="shared" si="1"/>
        <v>3867187.5</v>
      </c>
      <c r="H8" s="141">
        <f t="shared" si="1"/>
        <v>7734375</v>
      </c>
      <c r="I8" s="141">
        <f t="shared" si="1"/>
        <v>38671875</v>
      </c>
      <c r="J8" s="16"/>
    </row>
    <row r="9" spans="1:15" ht="16">
      <c r="A9" s="17"/>
      <c r="B9" s="4" t="s">
        <v>0</v>
      </c>
      <c r="C9" s="135">
        <f>C8*'Basic Game Economics'!$D$17</f>
        <v>0</v>
      </c>
      <c r="D9" s="135">
        <f>D8*'Basic Game Economics'!$D$17</f>
        <v>0</v>
      </c>
      <c r="E9" s="135">
        <f>E8*'Basic Game Economics'!$D$17</f>
        <v>0</v>
      </c>
      <c r="F9" s="135">
        <f>F8*'Basic Game Economics'!$D$17</f>
        <v>0</v>
      </c>
      <c r="G9" s="135">
        <f>G8*'Basic Game Economics'!$D$17</f>
        <v>0</v>
      </c>
      <c r="H9" s="135">
        <f>H8*'Basic Game Economics'!$D$17</f>
        <v>0</v>
      </c>
      <c r="I9" s="141">
        <f>I8*'Basic Game Economics'!$D$17</f>
        <v>0</v>
      </c>
      <c r="J9" s="16"/>
    </row>
    <row r="10" spans="1:15" ht="16">
      <c r="A10" s="17"/>
      <c r="B10" s="4" t="s">
        <v>1</v>
      </c>
      <c r="C10" s="135">
        <f>'Basic Game Economics'!D18</f>
        <v>330000</v>
      </c>
      <c r="D10" s="135">
        <f t="shared" ref="D10:H10" si="2">D8-D9</f>
        <v>618750</v>
      </c>
      <c r="E10" s="135">
        <f t="shared" si="2"/>
        <v>1237500</v>
      </c>
      <c r="F10" s="135">
        <f t="shared" si="2"/>
        <v>3093750</v>
      </c>
      <c r="G10" s="135">
        <f t="shared" si="2"/>
        <v>3867187.5</v>
      </c>
      <c r="H10" s="141">
        <f t="shared" si="2"/>
        <v>7734375</v>
      </c>
      <c r="I10" s="141">
        <f t="shared" ref="I10" si="3">I8-I9</f>
        <v>38671875</v>
      </c>
      <c r="J10" s="16"/>
    </row>
    <row r="11" spans="1:15" ht="13.5" customHeight="1">
      <c r="A11" s="17"/>
      <c r="B11" s="33" t="s">
        <v>18</v>
      </c>
      <c r="C11" s="136">
        <f>C10/2</f>
        <v>165000</v>
      </c>
      <c r="D11" s="136">
        <f t="shared" ref="D11:I11" si="4">D10/2</f>
        <v>309375</v>
      </c>
      <c r="E11" s="136">
        <f t="shared" si="4"/>
        <v>618750</v>
      </c>
      <c r="F11" s="136">
        <f t="shared" si="4"/>
        <v>1546875</v>
      </c>
      <c r="G11" s="136">
        <f t="shared" si="4"/>
        <v>1933593.75</v>
      </c>
      <c r="H11" s="136">
        <f t="shared" si="4"/>
        <v>3867187.5</v>
      </c>
      <c r="I11" s="139">
        <f t="shared" si="4"/>
        <v>19335937.5</v>
      </c>
      <c r="J11" s="16"/>
    </row>
    <row r="12" spans="1:15" ht="16">
      <c r="A12" s="17"/>
      <c r="B12" s="8" t="s">
        <v>16</v>
      </c>
      <c r="C12" s="137">
        <f>C$11*0.2</f>
        <v>33000</v>
      </c>
      <c r="D12" s="137">
        <f t="shared" ref="D12:I12" si="5">D$11*0.2</f>
        <v>61875</v>
      </c>
      <c r="E12" s="137">
        <f t="shared" si="5"/>
        <v>123750</v>
      </c>
      <c r="F12" s="137">
        <f t="shared" si="5"/>
        <v>309375</v>
      </c>
      <c r="G12" s="137">
        <f t="shared" si="5"/>
        <v>386718.75</v>
      </c>
      <c r="H12" s="137">
        <f t="shared" si="5"/>
        <v>773437.5</v>
      </c>
      <c r="I12" s="147">
        <f t="shared" si="5"/>
        <v>3867187.5</v>
      </c>
      <c r="J12" s="16"/>
    </row>
    <row r="13" spans="1:15" ht="32">
      <c r="A13" s="17"/>
      <c r="B13" s="152" t="s">
        <v>55</v>
      </c>
      <c r="C13" s="153">
        <f>C$11*'Basic Game Economics'!$B$7</f>
        <v>74250</v>
      </c>
      <c r="D13" s="153">
        <f>D$11*'Basic Game Economics'!$B$7</f>
        <v>139218.75</v>
      </c>
      <c r="E13" s="153">
        <f>E$11*'Basic Game Economics'!$B$7</f>
        <v>278437.5</v>
      </c>
      <c r="F13" s="153">
        <f>F$11*'Basic Game Economics'!$B$7</f>
        <v>696093.75</v>
      </c>
      <c r="G13" s="153">
        <f>G$11*'Basic Game Economics'!$B$7</f>
        <v>870117.1875</v>
      </c>
      <c r="H13" s="153">
        <f>H$11*'Basic Game Economics'!$B$7</f>
        <v>1740234.375</v>
      </c>
      <c r="I13" s="154">
        <f>I$11*'Basic Game Economics'!$B$7</f>
        <v>8701171.875</v>
      </c>
      <c r="J13" s="16"/>
      <c r="L13" s="23"/>
      <c r="M13" s="23"/>
      <c r="N13" s="23"/>
      <c r="O13" s="23"/>
    </row>
    <row r="14" spans="1:15" ht="16">
      <c r="A14" s="17"/>
      <c r="B14" s="155" t="s">
        <v>81</v>
      </c>
      <c r="C14" s="156">
        <f>C$11*0.05</f>
        <v>8250</v>
      </c>
      <c r="D14" s="156">
        <f t="shared" ref="D14:I14" si="6">D$11*0.05</f>
        <v>15468.75</v>
      </c>
      <c r="E14" s="156">
        <f t="shared" si="6"/>
        <v>30937.5</v>
      </c>
      <c r="F14" s="156">
        <f t="shared" si="6"/>
        <v>77343.75</v>
      </c>
      <c r="G14" s="156">
        <f t="shared" si="6"/>
        <v>96679.6875</v>
      </c>
      <c r="H14" s="156">
        <f t="shared" si="6"/>
        <v>193359.375</v>
      </c>
      <c r="I14" s="157">
        <f t="shared" si="6"/>
        <v>966796.875</v>
      </c>
      <c r="J14" s="16"/>
    </row>
    <row r="15" spans="1:15" ht="16">
      <c r="A15" s="17"/>
      <c r="B15" s="30" t="s">
        <v>20</v>
      </c>
      <c r="C15" s="138">
        <f>C11-SUM(C12:C14)</f>
        <v>49500</v>
      </c>
      <c r="D15" s="138">
        <f t="shared" ref="D15:I15" si="7">D11-SUM(D12:D14)</f>
        <v>92812.5</v>
      </c>
      <c r="E15" s="138">
        <f t="shared" si="7"/>
        <v>185625</v>
      </c>
      <c r="F15" s="138">
        <f t="shared" si="7"/>
        <v>464062.5</v>
      </c>
      <c r="G15" s="138">
        <f t="shared" si="7"/>
        <v>580078.125</v>
      </c>
      <c r="H15" s="138">
        <f t="shared" si="7"/>
        <v>1160156.25</v>
      </c>
      <c r="I15" s="142">
        <f t="shared" si="7"/>
        <v>5800781.25</v>
      </c>
      <c r="J15" s="16"/>
    </row>
    <row r="16" spans="1:15" ht="14" customHeight="1">
      <c r="A16" s="17"/>
      <c r="B16" s="214" t="s">
        <v>19</v>
      </c>
      <c r="C16" s="136">
        <f>C10/2</f>
        <v>165000</v>
      </c>
      <c r="D16" s="136">
        <f t="shared" ref="D16:I16" si="8">D10/2</f>
        <v>309375</v>
      </c>
      <c r="E16" s="136">
        <f t="shared" si="8"/>
        <v>618750</v>
      </c>
      <c r="F16" s="136">
        <f t="shared" si="8"/>
        <v>1546875</v>
      </c>
      <c r="G16" s="136">
        <f t="shared" si="8"/>
        <v>1933593.75</v>
      </c>
      <c r="H16" s="136">
        <f t="shared" si="8"/>
        <v>3867187.5</v>
      </c>
      <c r="I16" s="139">
        <f t="shared" si="8"/>
        <v>19335937.5</v>
      </c>
      <c r="J16" s="16"/>
    </row>
    <row r="17" spans="1:12" ht="32">
      <c r="A17" s="213"/>
      <c r="B17" s="175" t="s">
        <v>83</v>
      </c>
      <c r="C17" s="176">
        <f>C16*0.1</f>
        <v>16500</v>
      </c>
      <c r="D17" s="176">
        <f t="shared" ref="D17:I17" si="9">D16*0.1</f>
        <v>30937.5</v>
      </c>
      <c r="E17" s="176">
        <f t="shared" si="9"/>
        <v>61875</v>
      </c>
      <c r="F17" s="176">
        <f t="shared" si="9"/>
        <v>154687.5</v>
      </c>
      <c r="G17" s="176">
        <f t="shared" si="9"/>
        <v>193359.375</v>
      </c>
      <c r="H17" s="176">
        <f t="shared" si="9"/>
        <v>386718.75</v>
      </c>
      <c r="I17" s="177">
        <f t="shared" si="9"/>
        <v>1933593.75</v>
      </c>
      <c r="J17" s="16"/>
    </row>
    <row r="18" spans="1:12" ht="17" thickBot="1">
      <c r="A18" s="17"/>
      <c r="B18" s="178" t="s">
        <v>17</v>
      </c>
      <c r="C18" s="179">
        <f>C16*0.9</f>
        <v>148500</v>
      </c>
      <c r="D18" s="179">
        <f t="shared" ref="D18:I18" si="10">D16*0.9</f>
        <v>278437.5</v>
      </c>
      <c r="E18" s="179">
        <f t="shared" si="10"/>
        <v>556875</v>
      </c>
      <c r="F18" s="179">
        <f t="shared" si="10"/>
        <v>1392187.5</v>
      </c>
      <c r="G18" s="179">
        <f t="shared" si="10"/>
        <v>1740234.375</v>
      </c>
      <c r="H18" s="179">
        <f t="shared" si="10"/>
        <v>3480468.75</v>
      </c>
      <c r="I18" s="180">
        <f t="shared" si="10"/>
        <v>17402343.75</v>
      </c>
      <c r="J18" s="16"/>
    </row>
    <row r="19" spans="1:12" ht="16" thickBot="1">
      <c r="A19" s="29"/>
      <c r="B19" s="18"/>
      <c r="C19" s="20"/>
      <c r="D19" s="22"/>
      <c r="E19" s="22"/>
      <c r="F19" s="21"/>
      <c r="G19" s="19"/>
      <c r="H19" s="19"/>
      <c r="I19" s="19"/>
      <c r="J19" s="29"/>
    </row>
    <row r="20" spans="1:12" ht="16" thickBot="1">
      <c r="A20" s="1"/>
    </row>
    <row r="21" spans="1:12" ht="22" thickBot="1">
      <c r="A21" s="29"/>
      <c r="B21" s="12" t="s">
        <v>67</v>
      </c>
      <c r="C21" s="14" t="s">
        <v>74</v>
      </c>
      <c r="D21" s="14" t="s">
        <v>42</v>
      </c>
      <c r="E21" s="14" t="s">
        <v>42</v>
      </c>
      <c r="F21" s="14" t="s">
        <v>41</v>
      </c>
      <c r="G21" s="14" t="s">
        <v>40</v>
      </c>
      <c r="H21" s="14" t="s">
        <v>40</v>
      </c>
      <c r="I21" s="13"/>
      <c r="J21" s="29"/>
      <c r="K21" s="191"/>
      <c r="L21" s="29"/>
    </row>
    <row r="22" spans="1:12" ht="37">
      <c r="A22" s="15">
        <v>6</v>
      </c>
      <c r="B22" s="163" t="s">
        <v>64</v>
      </c>
      <c r="C22" s="286">
        <f>'Basic Game Economics'!H12</f>
        <v>220</v>
      </c>
      <c r="D22" s="286">
        <v>0</v>
      </c>
      <c r="E22" s="286">
        <v>0</v>
      </c>
      <c r="F22" s="286">
        <v>0</v>
      </c>
      <c r="G22" s="286"/>
      <c r="H22" s="286"/>
      <c r="I22" s="300"/>
      <c r="J22" s="203" t="s">
        <v>87</v>
      </c>
      <c r="K22" s="205" t="s">
        <v>93</v>
      </c>
      <c r="L22" s="16"/>
    </row>
    <row r="23" spans="1:12" ht="16">
      <c r="A23" s="17"/>
      <c r="B23" s="33" t="s">
        <v>18</v>
      </c>
      <c r="C23" s="136">
        <f t="shared" ref="C23:I23" si="11">C11*C22</f>
        <v>36300000</v>
      </c>
      <c r="D23" s="136">
        <f t="shared" si="11"/>
        <v>0</v>
      </c>
      <c r="E23" s="136">
        <f t="shared" si="11"/>
        <v>0</v>
      </c>
      <c r="F23" s="136">
        <f t="shared" si="11"/>
        <v>0</v>
      </c>
      <c r="G23" s="136">
        <f t="shared" si="11"/>
        <v>0</v>
      </c>
      <c r="H23" s="136">
        <f t="shared" si="11"/>
        <v>0</v>
      </c>
      <c r="I23" s="139">
        <f t="shared" si="11"/>
        <v>0</v>
      </c>
      <c r="J23" s="204"/>
      <c r="K23" s="206"/>
      <c r="L23" s="16"/>
    </row>
    <row r="24" spans="1:12" ht="16">
      <c r="A24" s="17"/>
      <c r="B24" s="8" t="s">
        <v>16</v>
      </c>
      <c r="C24" s="137">
        <f t="shared" ref="C24:I24" si="12">C12*C22</f>
        <v>7260000</v>
      </c>
      <c r="D24" s="137">
        <f t="shared" si="12"/>
        <v>0</v>
      </c>
      <c r="E24" s="137">
        <f t="shared" si="12"/>
        <v>0</v>
      </c>
      <c r="F24" s="137">
        <f t="shared" si="12"/>
        <v>0</v>
      </c>
      <c r="G24" s="137">
        <f t="shared" si="12"/>
        <v>0</v>
      </c>
      <c r="H24" s="137">
        <f t="shared" si="12"/>
        <v>0</v>
      </c>
      <c r="I24" s="147">
        <f t="shared" si="12"/>
        <v>0</v>
      </c>
      <c r="J24" s="204"/>
      <c r="K24" s="207">
        <f>SUM(C24:I24)</f>
        <v>7260000</v>
      </c>
      <c r="L24" s="16" t="s">
        <v>92</v>
      </c>
    </row>
    <row r="25" spans="1:12" ht="32">
      <c r="A25" s="17"/>
      <c r="B25" s="152" t="s">
        <v>55</v>
      </c>
      <c r="C25" s="153">
        <f t="shared" ref="C25:I25" si="13">C13*C22</f>
        <v>16335000</v>
      </c>
      <c r="D25" s="153">
        <f t="shared" si="13"/>
        <v>0</v>
      </c>
      <c r="E25" s="153">
        <f t="shared" si="13"/>
        <v>0</v>
      </c>
      <c r="F25" s="153">
        <f t="shared" si="13"/>
        <v>0</v>
      </c>
      <c r="G25" s="153">
        <f t="shared" si="13"/>
        <v>0</v>
      </c>
      <c r="H25" s="153">
        <f t="shared" si="13"/>
        <v>0</v>
      </c>
      <c r="I25" s="154">
        <f t="shared" si="13"/>
        <v>0</v>
      </c>
      <c r="J25" s="204"/>
      <c r="K25" s="208">
        <f>SUM(C25:I25)</f>
        <v>16335000</v>
      </c>
      <c r="L25" s="16" t="s">
        <v>92</v>
      </c>
    </row>
    <row r="26" spans="1:12" ht="16">
      <c r="A26" s="17"/>
      <c r="B26" s="155" t="s">
        <v>81</v>
      </c>
      <c r="C26" s="156">
        <f t="shared" ref="C26:I26" si="14">C14*C22</f>
        <v>1815000</v>
      </c>
      <c r="D26" s="156">
        <f t="shared" si="14"/>
        <v>0</v>
      </c>
      <c r="E26" s="156">
        <f t="shared" si="14"/>
        <v>0</v>
      </c>
      <c r="F26" s="156">
        <f t="shared" si="14"/>
        <v>0</v>
      </c>
      <c r="G26" s="156">
        <f t="shared" si="14"/>
        <v>0</v>
      </c>
      <c r="H26" s="156">
        <f t="shared" si="14"/>
        <v>0</v>
      </c>
      <c r="I26" s="157">
        <f t="shared" si="14"/>
        <v>0</v>
      </c>
      <c r="J26" s="204"/>
      <c r="K26" s="209">
        <f>SUM(C26:I26)</f>
        <v>1815000</v>
      </c>
      <c r="L26" s="16" t="s">
        <v>92</v>
      </c>
    </row>
    <row r="27" spans="1:12" ht="16">
      <c r="A27" s="17"/>
      <c r="B27" s="30" t="s">
        <v>90</v>
      </c>
      <c r="C27" s="138">
        <f t="shared" ref="C27:I27" si="15">C15*C22</f>
        <v>10890000</v>
      </c>
      <c r="D27" s="138">
        <f t="shared" si="15"/>
        <v>0</v>
      </c>
      <c r="E27" s="138">
        <f t="shared" si="15"/>
        <v>0</v>
      </c>
      <c r="F27" s="138">
        <f t="shared" si="15"/>
        <v>0</v>
      </c>
      <c r="G27" s="138">
        <f t="shared" si="15"/>
        <v>0</v>
      </c>
      <c r="H27" s="138">
        <f t="shared" si="15"/>
        <v>0</v>
      </c>
      <c r="I27" s="142">
        <f t="shared" si="15"/>
        <v>0</v>
      </c>
      <c r="J27" s="204"/>
      <c r="K27" s="210">
        <f>SUM(C27:I27)</f>
        <v>10890000</v>
      </c>
      <c r="L27" s="16" t="s">
        <v>92</v>
      </c>
    </row>
    <row r="28" spans="1:12" ht="16">
      <c r="A28" s="17"/>
      <c r="B28" s="214" t="s">
        <v>19</v>
      </c>
      <c r="C28" s="136">
        <f t="shared" ref="C28:I28" si="16">C16*C22</f>
        <v>36300000</v>
      </c>
      <c r="D28" s="136">
        <f t="shared" si="16"/>
        <v>0</v>
      </c>
      <c r="E28" s="136">
        <f t="shared" si="16"/>
        <v>0</v>
      </c>
      <c r="F28" s="136">
        <f t="shared" si="16"/>
        <v>0</v>
      </c>
      <c r="G28" s="136">
        <f t="shared" si="16"/>
        <v>0</v>
      </c>
      <c r="H28" s="136">
        <f t="shared" si="16"/>
        <v>0</v>
      </c>
      <c r="I28" s="139">
        <f t="shared" si="16"/>
        <v>0</v>
      </c>
      <c r="J28" s="204"/>
      <c r="K28" s="206"/>
      <c r="L28" s="16"/>
    </row>
    <row r="29" spans="1:12" ht="32">
      <c r="A29" s="213"/>
      <c r="B29" s="175" t="s">
        <v>83</v>
      </c>
      <c r="C29" s="176">
        <f t="shared" ref="C29:I29" si="17">C17*C22</f>
        <v>3630000</v>
      </c>
      <c r="D29" s="176">
        <f t="shared" si="17"/>
        <v>0</v>
      </c>
      <c r="E29" s="176">
        <f t="shared" si="17"/>
        <v>0</v>
      </c>
      <c r="F29" s="176">
        <f t="shared" si="17"/>
        <v>0</v>
      </c>
      <c r="G29" s="176">
        <f t="shared" si="17"/>
        <v>0</v>
      </c>
      <c r="H29" s="176">
        <f t="shared" si="17"/>
        <v>0</v>
      </c>
      <c r="I29" s="177">
        <f t="shared" si="17"/>
        <v>0</v>
      </c>
      <c r="J29" s="204"/>
      <c r="K29" s="211">
        <f>SUM(C29:I29)</f>
        <v>3630000</v>
      </c>
      <c r="L29" s="16" t="s">
        <v>92</v>
      </c>
    </row>
    <row r="30" spans="1:12" ht="17" thickBot="1">
      <c r="A30" s="17"/>
      <c r="B30" s="178" t="s">
        <v>17</v>
      </c>
      <c r="C30" s="179">
        <f t="shared" ref="C30:I30" si="18">C18*C22</f>
        <v>32670000</v>
      </c>
      <c r="D30" s="179">
        <f t="shared" si="18"/>
        <v>0</v>
      </c>
      <c r="E30" s="179">
        <f t="shared" si="18"/>
        <v>0</v>
      </c>
      <c r="F30" s="179">
        <f t="shared" si="18"/>
        <v>0</v>
      </c>
      <c r="G30" s="179">
        <f t="shared" si="18"/>
        <v>0</v>
      </c>
      <c r="H30" s="179">
        <f t="shared" si="18"/>
        <v>0</v>
      </c>
      <c r="I30" s="180">
        <f t="shared" si="18"/>
        <v>0</v>
      </c>
      <c r="J30" s="204"/>
      <c r="K30" s="212">
        <f>SUM(C30:I30)</f>
        <v>32670000</v>
      </c>
      <c r="L30" s="16" t="s">
        <v>92</v>
      </c>
    </row>
    <row r="31" spans="1:12" ht="16" thickBot="1">
      <c r="A31" s="29"/>
      <c r="B31" s="18"/>
      <c r="C31" s="20"/>
      <c r="D31" s="22"/>
      <c r="E31" s="20"/>
      <c r="F31" s="21"/>
      <c r="G31" s="19"/>
      <c r="H31" s="19"/>
      <c r="I31" s="19"/>
      <c r="J31" s="29"/>
      <c r="K31" s="192"/>
      <c r="L31" s="29"/>
    </row>
    <row r="32" spans="1:12">
      <c r="A32" t="s">
        <v>91</v>
      </c>
    </row>
    <row r="33" spans="8:9">
      <c r="H33" s="1"/>
      <c r="I33" s="23"/>
    </row>
  </sheetData>
  <pageMargins left="0.7" right="0.7" top="0.75" bottom="0.75" header="0.3" footer="0.3"/>
  <pageSetup scale="49" orientation="landscape" r:id="rId1"/>
  <headerFooter>
    <oddHeader>&amp;C&amp;"Calibri (Body),Bold"&amp;48ZUKI, Inc.</oddHeader>
    <oddFooter xml:space="preserve">&amp;CStrictly Confidential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68851-2D43-054F-A93B-3493F8ED00A1}">
  <sheetPr>
    <pageSetUpPr fitToPage="1"/>
  </sheetPr>
  <dimension ref="A1:P23"/>
  <sheetViews>
    <sheetView view="pageLayout" zoomScaleNormal="100" workbookViewId="0">
      <selection activeCell="A32" sqref="A32"/>
    </sheetView>
  </sheetViews>
  <sheetFormatPr baseColWidth="10" defaultColWidth="11.5" defaultRowHeight="15"/>
  <cols>
    <col min="2" max="2" width="20.6640625" customWidth="1"/>
    <col min="3" max="3" width="17.83203125" customWidth="1"/>
    <col min="4" max="4" width="16.1640625" customWidth="1"/>
    <col min="5" max="5" width="16.5" customWidth="1"/>
    <col min="6" max="6" width="19.6640625" customWidth="1"/>
    <col min="7" max="7" width="15.33203125" customWidth="1"/>
    <col min="8" max="8" width="17.5" customWidth="1"/>
    <col min="9" max="9" width="12.6640625" customWidth="1"/>
    <col min="10" max="10" width="21.83203125" customWidth="1"/>
    <col min="11" max="11" width="32.6640625" customWidth="1"/>
  </cols>
  <sheetData>
    <row r="1" spans="1:16" ht="26">
      <c r="A1" s="151" t="s">
        <v>162</v>
      </c>
      <c r="B1" s="288"/>
      <c r="D1" s="53"/>
    </row>
    <row r="2" spans="1:16" ht="21">
      <c r="A2" s="289" t="s">
        <v>84</v>
      </c>
    </row>
    <row r="3" spans="1:16" ht="16" thickBot="1"/>
    <row r="4" spans="1:16" s="81" customFormat="1" ht="17" thickBot="1">
      <c r="A4" s="74"/>
      <c r="B4" s="75" t="s">
        <v>25</v>
      </c>
      <c r="C4" s="75"/>
      <c r="D4" s="76"/>
      <c r="E4" s="77"/>
      <c r="F4" s="78"/>
      <c r="G4" s="78"/>
      <c r="H4" s="78"/>
      <c r="I4" s="79"/>
      <c r="J4" s="78"/>
      <c r="K4" s="78"/>
      <c r="L4" s="80"/>
    </row>
    <row r="5" spans="1:16" s="81" customFormat="1" ht="51">
      <c r="A5" s="218">
        <v>7</v>
      </c>
      <c r="B5" s="83" t="s">
        <v>10</v>
      </c>
      <c r="C5" s="83"/>
      <c r="D5" s="84"/>
      <c r="E5" s="85"/>
      <c r="F5" s="86"/>
      <c r="G5" s="86"/>
      <c r="H5" s="86"/>
      <c r="I5" s="87"/>
      <c r="J5" s="86"/>
      <c r="K5" s="88"/>
      <c r="L5" s="89"/>
    </row>
    <row r="6" spans="1:16" s="81" customFormat="1" ht="68">
      <c r="A6" s="82"/>
      <c r="B6" s="90" t="s">
        <v>54</v>
      </c>
      <c r="C6" s="90"/>
      <c r="D6" s="91" t="s">
        <v>4</v>
      </c>
      <c r="E6" s="92" t="s">
        <v>8</v>
      </c>
      <c r="F6" s="90" t="s">
        <v>5</v>
      </c>
      <c r="G6" s="93" t="s">
        <v>39</v>
      </c>
      <c r="H6" s="93"/>
      <c r="I6" s="93"/>
      <c r="J6" s="94"/>
      <c r="K6" s="95"/>
      <c r="L6" s="89"/>
    </row>
    <row r="7" spans="1:16" s="81" customFormat="1" ht="17">
      <c r="A7" s="82"/>
      <c r="B7" s="90" t="s">
        <v>103</v>
      </c>
      <c r="C7" s="90"/>
      <c r="D7" s="96"/>
      <c r="E7" s="97">
        <f>I13</f>
        <v>4999.99</v>
      </c>
      <c r="F7" s="98"/>
      <c r="G7" s="99">
        <v>0.45</v>
      </c>
      <c r="H7" s="93"/>
      <c r="I7" s="93"/>
      <c r="J7" s="94"/>
      <c r="K7" s="95"/>
      <c r="L7" s="89"/>
    </row>
    <row r="8" spans="1:16" s="81" customFormat="1" ht="17">
      <c r="A8" s="82"/>
      <c r="B8" s="90" t="s">
        <v>50</v>
      </c>
      <c r="C8" s="90"/>
      <c r="D8" s="96"/>
      <c r="E8" s="97">
        <f>I14</f>
        <v>499.99</v>
      </c>
      <c r="F8" s="98"/>
      <c r="G8" s="99">
        <v>0.3</v>
      </c>
      <c r="H8" s="93"/>
      <c r="I8" s="93"/>
      <c r="J8" s="94"/>
      <c r="K8" s="95"/>
      <c r="L8" s="89"/>
    </row>
    <row r="9" spans="1:16" s="81" customFormat="1" ht="17">
      <c r="A9" s="82"/>
      <c r="B9" s="90" t="s">
        <v>51</v>
      </c>
      <c r="C9" s="90"/>
      <c r="D9" s="96"/>
      <c r="E9" s="97">
        <f>I15</f>
        <v>49.99</v>
      </c>
      <c r="F9" s="98"/>
      <c r="G9" s="99">
        <v>0.15</v>
      </c>
      <c r="H9" s="93"/>
      <c r="I9" s="93"/>
      <c r="J9" s="94"/>
      <c r="K9" s="95"/>
      <c r="L9" s="89"/>
    </row>
    <row r="10" spans="1:16" s="81" customFormat="1" ht="34">
      <c r="A10" s="82"/>
      <c r="B10" s="90" t="s">
        <v>167</v>
      </c>
      <c r="C10" s="90"/>
      <c r="D10" s="96"/>
      <c r="E10" s="148" t="str">
        <f>I16</f>
        <v xml:space="preserve"> $                                              -  </v>
      </c>
      <c r="F10" s="98"/>
      <c r="G10" s="255">
        <v>7.4999999999999997E-2</v>
      </c>
      <c r="H10" s="93"/>
      <c r="I10" s="93"/>
      <c r="J10" s="94"/>
      <c r="K10" s="95"/>
      <c r="L10" s="89"/>
    </row>
    <row r="11" spans="1:16" s="81" customFormat="1" ht="17" thickBot="1">
      <c r="A11" s="82"/>
      <c r="B11" s="100" t="s">
        <v>30</v>
      </c>
      <c r="C11" s="100"/>
      <c r="D11" s="100"/>
      <c r="E11" s="101"/>
      <c r="F11" s="102"/>
      <c r="G11" s="102"/>
      <c r="H11" s="102"/>
      <c r="I11" s="103"/>
      <c r="J11" s="102"/>
      <c r="K11" s="102"/>
      <c r="L11" s="89"/>
    </row>
    <row r="12" spans="1:16" s="81" customFormat="1" ht="85">
      <c r="A12" s="217">
        <v>8</v>
      </c>
      <c r="B12" s="104" t="s">
        <v>9</v>
      </c>
      <c r="C12" s="104" t="s">
        <v>34</v>
      </c>
      <c r="D12" s="105" t="s">
        <v>43</v>
      </c>
      <c r="E12" s="106" t="s">
        <v>44</v>
      </c>
      <c r="F12" s="105" t="s">
        <v>45</v>
      </c>
      <c r="G12" s="105" t="s">
        <v>14</v>
      </c>
      <c r="H12" s="105" t="s">
        <v>35</v>
      </c>
      <c r="I12" s="107" t="s">
        <v>8</v>
      </c>
      <c r="J12" s="108" t="s">
        <v>21</v>
      </c>
      <c r="K12" s="109" t="s">
        <v>23</v>
      </c>
      <c r="L12" s="89"/>
    </row>
    <row r="13" spans="1:16" s="81" customFormat="1" ht="153">
      <c r="A13" s="82"/>
      <c r="B13" s="110" t="s">
        <v>28</v>
      </c>
      <c r="C13" s="110" t="s">
        <v>15</v>
      </c>
      <c r="D13" s="110" t="s">
        <v>31</v>
      </c>
      <c r="E13" s="257">
        <v>0.45</v>
      </c>
      <c r="F13" s="111" t="s">
        <v>22</v>
      </c>
      <c r="G13" s="112">
        <v>10000</v>
      </c>
      <c r="H13" s="113" t="s">
        <v>36</v>
      </c>
      <c r="I13" s="114">
        <v>4999.99</v>
      </c>
      <c r="J13" s="115" t="s">
        <v>59</v>
      </c>
      <c r="K13" s="116" t="s">
        <v>46</v>
      </c>
      <c r="L13" s="117"/>
    </row>
    <row r="14" spans="1:16" s="81" customFormat="1" ht="153">
      <c r="A14" s="82"/>
      <c r="B14" s="110" t="s">
        <v>27</v>
      </c>
      <c r="C14" s="110" t="s">
        <v>15</v>
      </c>
      <c r="D14" s="110" t="s">
        <v>32</v>
      </c>
      <c r="E14" s="257">
        <v>0.3</v>
      </c>
      <c r="F14" s="111" t="s">
        <v>22</v>
      </c>
      <c r="G14" s="112">
        <v>5000</v>
      </c>
      <c r="H14" s="113" t="s">
        <v>37</v>
      </c>
      <c r="I14" s="114">
        <v>499.99</v>
      </c>
      <c r="J14" s="115" t="s">
        <v>60</v>
      </c>
      <c r="K14" s="116" t="s">
        <v>47</v>
      </c>
      <c r="L14" s="89"/>
      <c r="P14" s="149"/>
    </row>
    <row r="15" spans="1:16" s="81" customFormat="1" ht="153">
      <c r="A15" s="82"/>
      <c r="B15" s="110" t="s">
        <v>26</v>
      </c>
      <c r="C15" s="110" t="s">
        <v>15</v>
      </c>
      <c r="D15" s="110" t="s">
        <v>33</v>
      </c>
      <c r="E15" s="257">
        <v>0.15</v>
      </c>
      <c r="F15" s="111" t="s">
        <v>22</v>
      </c>
      <c r="G15" s="112">
        <v>1000</v>
      </c>
      <c r="H15" s="113" t="s">
        <v>38</v>
      </c>
      <c r="I15" s="114">
        <v>49.99</v>
      </c>
      <c r="J15" s="115" t="s">
        <v>61</v>
      </c>
      <c r="K15" s="116" t="s">
        <v>48</v>
      </c>
      <c r="L15" s="89"/>
    </row>
    <row r="16" spans="1:16" s="81" customFormat="1" ht="52" thickBot="1">
      <c r="A16" s="82"/>
      <c r="B16" s="118" t="s">
        <v>29</v>
      </c>
      <c r="C16" s="118" t="s">
        <v>15</v>
      </c>
      <c r="D16" s="118" t="s">
        <v>75</v>
      </c>
      <c r="E16" s="256">
        <v>7.4999999999999997E-2</v>
      </c>
      <c r="F16" s="111" t="s">
        <v>22</v>
      </c>
      <c r="G16" s="119">
        <v>1000</v>
      </c>
      <c r="H16" s="120" t="s">
        <v>13</v>
      </c>
      <c r="I16" s="121" t="s">
        <v>62</v>
      </c>
      <c r="J16" s="122" t="s">
        <v>63</v>
      </c>
      <c r="K16" s="123" t="s">
        <v>49</v>
      </c>
      <c r="L16" s="89"/>
    </row>
    <row r="17" spans="1:12" s="81" customFormat="1" ht="17" thickBot="1">
      <c r="A17" s="74"/>
      <c r="B17" s="124"/>
      <c r="C17" s="124"/>
      <c r="D17" s="125"/>
      <c r="E17" s="126"/>
      <c r="F17" s="127"/>
      <c r="G17" s="128"/>
      <c r="H17" s="129"/>
      <c r="I17" s="125"/>
      <c r="J17" s="125"/>
      <c r="K17" s="125"/>
      <c r="L17" s="130"/>
    </row>
    <row r="18" spans="1:12" ht="16" thickBot="1"/>
    <row r="19" spans="1:12" ht="16" thickBot="1">
      <c r="A19" s="29"/>
      <c r="B19" s="49" t="s">
        <v>104</v>
      </c>
      <c r="C19" s="49"/>
      <c r="D19" s="219"/>
    </row>
    <row r="20" spans="1:12" ht="26">
      <c r="A20" s="217">
        <v>9</v>
      </c>
      <c r="B20" t="s">
        <v>105</v>
      </c>
      <c r="C20" s="58">
        <v>0.5</v>
      </c>
      <c r="D20" s="220"/>
    </row>
    <row r="21" spans="1:12">
      <c r="A21" s="41"/>
      <c r="B21" t="s">
        <v>106</v>
      </c>
      <c r="C21" s="58">
        <v>0.3</v>
      </c>
      <c r="D21" s="220"/>
    </row>
    <row r="22" spans="1:12" ht="16" thickBot="1">
      <c r="A22" s="41"/>
      <c r="B22" t="s">
        <v>107</v>
      </c>
      <c r="C22" s="58">
        <v>0.2</v>
      </c>
      <c r="D22" s="220"/>
    </row>
    <row r="23" spans="1:12" ht="16" thickBot="1">
      <c r="A23" s="29"/>
      <c r="B23" s="49"/>
      <c r="C23" s="49"/>
      <c r="D23" s="219"/>
    </row>
  </sheetData>
  <pageMargins left="0.7" right="0.7" top="0.75" bottom="0.75" header="0.3" footer="0.3"/>
  <pageSetup scale="53" orientation="landscape" r:id="rId1"/>
  <headerFooter>
    <oddHeader>&amp;C&amp;"Calibri,Bold"&amp;48ZUKI, Inc.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Combined Proformas</vt:lpstr>
      <vt:lpstr>Proforma Charts</vt:lpstr>
      <vt:lpstr>Income Projection (MRV)</vt:lpstr>
      <vt:lpstr>Moderate Revenue Model (MRV)</vt:lpstr>
      <vt:lpstr>Conservative Revenue Model</vt:lpstr>
      <vt:lpstr>Aggressive Revenue Model</vt:lpstr>
      <vt:lpstr>Basic Game Economics</vt:lpstr>
      <vt:lpstr>Multiple Price Points Economics</vt:lpstr>
      <vt:lpstr>Z Level Costs &amp; Benefits</vt:lpstr>
      <vt:lpstr>All Other Expenses Detail</vt:lpstr>
      <vt:lpstr>'Aggressive Revenue Model'!Print_Area</vt:lpstr>
      <vt:lpstr>'Basic Game Economics'!Print_Area</vt:lpstr>
      <vt:lpstr>'Conservative Revenue Model'!Print_Area</vt:lpstr>
      <vt:lpstr>'Moderate Revenue Model (MRV)'!Print_Area</vt:lpstr>
      <vt:lpstr>'Multiple Price Points Economics'!Print_Area</vt:lpstr>
      <vt:lpstr>'Z Level Costs &amp; Benefits'!Print_Area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James Phipps</cp:lastModifiedBy>
  <cp:lastPrinted>2022-07-07T04:29:27Z</cp:lastPrinted>
  <dcterms:created xsi:type="dcterms:W3CDTF">2022-05-11T19:14:02Z</dcterms:created>
  <dcterms:modified xsi:type="dcterms:W3CDTF">2022-10-26T22:00:53Z</dcterms:modified>
</cp:coreProperties>
</file>