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filterPrivacy="1" codeName="ThisWorkbook" defaultThemeVersion="124226"/>
  <xr:revisionPtr revIDLastSave="0" documentId="8_{92B0E3F6-5AFE-4E53-81C4-B3594359FFFC}" xr6:coauthVersionLast="47" xr6:coauthVersionMax="47" xr10:uidLastSave="{00000000-0000-0000-0000-000000000000}"/>
  <bookViews>
    <workbookView xWindow="-108" yWindow="-108" windowWidth="23256" windowHeight="12576" tabRatio="590" xr2:uid="{00000000-000D-0000-FFFF-FFFF00000000}"/>
  </bookViews>
  <sheets>
    <sheet name="Material List Format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4" i="13" l="1"/>
  <c r="L393" i="13"/>
  <c r="L392" i="13"/>
  <c r="L391" i="13"/>
  <c r="L390" i="13"/>
  <c r="L389" i="13"/>
  <c r="L388" i="13"/>
  <c r="L387" i="13"/>
  <c r="L386" i="13"/>
  <c r="L385" i="13"/>
  <c r="L384" i="13"/>
  <c r="L383" i="13"/>
  <c r="L382" i="13"/>
  <c r="L381" i="13"/>
  <c r="L380" i="13"/>
  <c r="L379" i="13"/>
  <c r="L378" i="13"/>
  <c r="L377" i="13"/>
  <c r="L376" i="13"/>
  <c r="L375" i="13"/>
  <c r="L374" i="13"/>
  <c r="L373" i="13"/>
  <c r="L372" i="13"/>
  <c r="L371" i="13"/>
  <c r="L370" i="13"/>
  <c r="L369" i="13"/>
  <c r="L368" i="13"/>
  <c r="L367" i="13"/>
  <c r="L366" i="13"/>
  <c r="L365" i="13"/>
  <c r="L364" i="13"/>
  <c r="L363" i="13"/>
  <c r="L362" i="13"/>
  <c r="L361" i="13"/>
  <c r="L360" i="13"/>
  <c r="L359" i="13"/>
  <c r="L358" i="13"/>
  <c r="I357" i="13"/>
  <c r="L357" i="13" s="1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I343" i="13"/>
  <c r="L343" i="13" s="1"/>
  <c r="I342" i="13"/>
  <c r="L342" i="13" s="1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5" i="13"/>
  <c r="I328" i="13" s="1"/>
  <c r="L328" i="13" s="1"/>
  <c r="I320" i="13"/>
  <c r="L320" i="13" s="1"/>
  <c r="L315" i="13"/>
  <c r="I318" i="13" s="1"/>
  <c r="L318" i="13" s="1"/>
  <c r="I314" i="13"/>
  <c r="L314" i="13" s="1"/>
  <c r="I313" i="13"/>
  <c r="L313" i="13" s="1"/>
  <c r="I312" i="13"/>
  <c r="L312" i="13" s="1"/>
  <c r="I311" i="13"/>
  <c r="L311" i="13" s="1"/>
  <c r="I310" i="13"/>
  <c r="L310" i="13" s="1"/>
  <c r="I309" i="13"/>
  <c r="L309" i="13" s="1"/>
  <c r="I304" i="13"/>
  <c r="L304" i="13" s="1"/>
  <c r="I299" i="13"/>
  <c r="L299" i="13" s="1"/>
  <c r="I298" i="13"/>
  <c r="L298" i="13" s="1"/>
  <c r="I297" i="13"/>
  <c r="L297" i="13" s="1"/>
  <c r="I296" i="13"/>
  <c r="L296" i="13" s="1"/>
  <c r="I295" i="13"/>
  <c r="L295" i="13" s="1"/>
  <c r="I294" i="13"/>
  <c r="L294" i="13" s="1"/>
  <c r="I293" i="13"/>
  <c r="L293" i="13" s="1"/>
  <c r="I288" i="13"/>
  <c r="L288" i="13" s="1"/>
  <c r="I283" i="13"/>
  <c r="L283" i="13" s="1"/>
  <c r="I278" i="13"/>
  <c r="L278" i="13" s="1"/>
  <c r="I277" i="13"/>
  <c r="L277" i="13" s="1"/>
  <c r="I276" i="13"/>
  <c r="L276" i="13" s="1"/>
  <c r="I275" i="13"/>
  <c r="L275" i="13" s="1"/>
  <c r="I274" i="13"/>
  <c r="L274" i="13" s="1"/>
  <c r="I273" i="13"/>
  <c r="L273" i="13" s="1"/>
  <c r="I272" i="13"/>
  <c r="L272" i="13" s="1"/>
  <c r="I271" i="13"/>
  <c r="L271" i="13" s="1"/>
  <c r="I268" i="13"/>
  <c r="L268" i="13" s="1"/>
  <c r="I269" i="13" s="1"/>
  <c r="L269" i="13" s="1"/>
  <c r="I270" i="13" s="1"/>
  <c r="L270" i="13" s="1"/>
  <c r="I263" i="13"/>
  <c r="L263" i="13" s="1"/>
  <c r="I258" i="13"/>
  <c r="L258" i="13" s="1"/>
  <c r="I257" i="13"/>
  <c r="L257" i="13" s="1"/>
  <c r="I256" i="13"/>
  <c r="L256" i="13" s="1"/>
  <c r="I255" i="13"/>
  <c r="L255" i="13" s="1"/>
  <c r="I254" i="13"/>
  <c r="L254" i="13" s="1"/>
  <c r="I253" i="13"/>
  <c r="L253" i="13" s="1"/>
  <c r="I252" i="13"/>
  <c r="L252" i="13" s="1"/>
  <c r="I249" i="13"/>
  <c r="L249" i="13" s="1"/>
  <c r="I250" i="13" s="1"/>
  <c r="L250" i="13" s="1"/>
  <c r="I251" i="13" s="1"/>
  <c r="L251" i="13" s="1"/>
  <c r="I244" i="13"/>
  <c r="L244" i="13" s="1"/>
  <c r="I239" i="13"/>
  <c r="L239" i="13" s="1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I206" i="13"/>
  <c r="L206" i="13" s="1"/>
  <c r="L205" i="13"/>
  <c r="L204" i="13"/>
  <c r="L203" i="13"/>
  <c r="L202" i="13"/>
  <c r="I201" i="13"/>
  <c r="L201" i="13" s="1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2" i="13"/>
  <c r="I183" i="13" s="1"/>
  <c r="I181" i="13"/>
  <c r="L181" i="13" s="1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I93" i="13"/>
  <c r="L93" i="13" s="1"/>
  <c r="I92" i="13"/>
  <c r="L92" i="13" s="1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I70" i="13"/>
  <c r="L70" i="13" s="1"/>
  <c r="I69" i="13"/>
  <c r="L69" i="13" s="1"/>
  <c r="I68" i="13"/>
  <c r="L68" i="13" s="1"/>
  <c r="I67" i="13"/>
  <c r="L67" i="13" s="1"/>
  <c r="I66" i="13"/>
  <c r="L66" i="13" s="1"/>
  <c r="I65" i="13"/>
  <c r="L65" i="13" s="1"/>
  <c r="I64" i="13"/>
  <c r="L64" i="13" s="1"/>
  <c r="L63" i="13"/>
  <c r="L62" i="13"/>
  <c r="L61" i="13"/>
  <c r="I60" i="13"/>
  <c r="L60" i="13" s="1"/>
  <c r="L59" i="13"/>
  <c r="L58" i="13"/>
  <c r="I57" i="13"/>
  <c r="L57" i="13" s="1"/>
  <c r="I55" i="13"/>
  <c r="L55" i="13" s="1"/>
  <c r="I52" i="13"/>
  <c r="L52" i="13" s="1"/>
  <c r="I51" i="13"/>
  <c r="L51" i="13" s="1"/>
  <c r="I50" i="13"/>
  <c r="L50" i="13" s="1"/>
  <c r="I49" i="13"/>
  <c r="L49" i="13" s="1"/>
  <c r="I48" i="13"/>
  <c r="L48" i="13" s="1"/>
  <c r="I47" i="13"/>
  <c r="L47" i="13" s="1"/>
  <c r="I46" i="13"/>
  <c r="L46" i="13" s="1"/>
  <c r="I45" i="13"/>
  <c r="L45" i="13" s="1"/>
  <c r="I44" i="13"/>
  <c r="L44" i="13" s="1"/>
  <c r="I43" i="13"/>
  <c r="L43" i="13" s="1"/>
  <c r="I42" i="13"/>
  <c r="L42" i="13" s="1"/>
  <c r="I41" i="13"/>
  <c r="L41" i="13" s="1"/>
  <c r="I40" i="13"/>
  <c r="L40" i="13" s="1"/>
  <c r="I39" i="13"/>
  <c r="L39" i="13" s="1"/>
  <c r="I38" i="13"/>
  <c r="L38" i="13" s="1"/>
  <c r="I37" i="13"/>
  <c r="L37" i="13" s="1"/>
  <c r="I36" i="13"/>
  <c r="L36" i="13" s="1"/>
  <c r="I35" i="13"/>
  <c r="L35" i="13" s="1"/>
  <c r="I33" i="13"/>
  <c r="L33" i="13" s="1"/>
  <c r="I32" i="13"/>
  <c r="L32" i="13" s="1"/>
  <c r="I31" i="13"/>
  <c r="L31" i="13" s="1"/>
  <c r="I30" i="13"/>
  <c r="L30" i="13" s="1"/>
  <c r="I29" i="13"/>
  <c r="L29" i="13" s="1"/>
  <c r="I28" i="13"/>
  <c r="L28" i="13" s="1"/>
  <c r="I22" i="13"/>
  <c r="L22" i="13" s="1"/>
  <c r="I27" i="13"/>
  <c r="L27" i="13" s="1"/>
  <c r="I26" i="13"/>
  <c r="L26" i="13" s="1"/>
  <c r="I25" i="13"/>
  <c r="L25" i="13" s="1"/>
  <c r="I24" i="13"/>
  <c r="L24" i="13" s="1"/>
  <c r="I23" i="13"/>
  <c r="L23" i="13" s="1"/>
  <c r="I21" i="13"/>
  <c r="L21" i="13" s="1"/>
  <c r="I20" i="13"/>
  <c r="L20" i="13" s="1"/>
  <c r="I19" i="13"/>
  <c r="L19" i="13" s="1"/>
  <c r="I18" i="13"/>
  <c r="L18" i="13" s="1"/>
  <c r="I17" i="13"/>
  <c r="L17" i="13" s="1"/>
  <c r="I15" i="13"/>
  <c r="L15" i="13" s="1"/>
  <c r="I14" i="13"/>
  <c r="L14" i="13" s="1"/>
  <c r="I13" i="13"/>
  <c r="L13" i="13" s="1"/>
  <c r="I12" i="13"/>
  <c r="L12" i="13" s="1"/>
  <c r="I11" i="13"/>
  <c r="L11" i="13" s="1"/>
  <c r="I10" i="13"/>
  <c r="L10" i="13" s="1"/>
  <c r="L9" i="13"/>
  <c r="L8" i="13"/>
  <c r="L7" i="13"/>
  <c r="L6" i="13"/>
  <c r="L5" i="13"/>
  <c r="L4" i="13"/>
  <c r="L3" i="13"/>
  <c r="L2" i="13"/>
  <c r="I316" i="13" l="1"/>
  <c r="I317" i="13" s="1"/>
  <c r="L317" i="13" s="1"/>
  <c r="I326" i="13"/>
  <c r="I329" i="13" s="1"/>
  <c r="L329" i="13" s="1"/>
  <c r="I245" i="13"/>
  <c r="I248" i="13" s="1"/>
  <c r="L248" i="13" s="1"/>
  <c r="I247" i="13"/>
  <c r="L247" i="13" s="1"/>
  <c r="I321" i="13"/>
  <c r="I323" i="13"/>
  <c r="L323" i="13" s="1"/>
  <c r="I302" i="13"/>
  <c r="L302" i="13" s="1"/>
  <c r="I300" i="13"/>
  <c r="I305" i="13"/>
  <c r="I307" i="13"/>
  <c r="L307" i="13" s="1"/>
  <c r="I286" i="13"/>
  <c r="L286" i="13" s="1"/>
  <c r="I284" i="13"/>
  <c r="I289" i="13"/>
  <c r="I291" i="13"/>
  <c r="L291" i="13" s="1"/>
  <c r="I281" i="13"/>
  <c r="L281" i="13" s="1"/>
  <c r="I279" i="13"/>
  <c r="I261" i="13"/>
  <c r="L261" i="13" s="1"/>
  <c r="I259" i="13"/>
  <c r="I266" i="13"/>
  <c r="L266" i="13" s="1"/>
  <c r="I264" i="13"/>
  <c r="I242" i="13"/>
  <c r="L242" i="13" s="1"/>
  <c r="I240" i="13"/>
  <c r="L183" i="13"/>
  <c r="I184" i="13"/>
  <c r="L184" i="13" s="1"/>
  <c r="L326" i="13" l="1"/>
  <c r="I327" i="13"/>
  <c r="L327" i="13" s="1"/>
  <c r="L245" i="13"/>
  <c r="I319" i="13"/>
  <c r="L319" i="13" s="1"/>
  <c r="I246" i="13"/>
  <c r="L246" i="13" s="1"/>
  <c r="L316" i="13"/>
  <c r="I324" i="13"/>
  <c r="L324" i="13" s="1"/>
  <c r="L321" i="13"/>
  <c r="I322" i="13"/>
  <c r="L322" i="13" s="1"/>
  <c r="I301" i="13"/>
  <c r="L301" i="13" s="1"/>
  <c r="I303" i="13"/>
  <c r="L303" i="13" s="1"/>
  <c r="L300" i="13"/>
  <c r="I306" i="13"/>
  <c r="L306" i="13" s="1"/>
  <c r="L305" i="13"/>
  <c r="I308" i="13"/>
  <c r="L308" i="13" s="1"/>
  <c r="I282" i="13"/>
  <c r="L282" i="13" s="1"/>
  <c r="I280" i="13"/>
  <c r="L280" i="13" s="1"/>
  <c r="L279" i="13"/>
  <c r="I290" i="13"/>
  <c r="L290" i="13" s="1"/>
  <c r="L289" i="13"/>
  <c r="I292" i="13"/>
  <c r="L292" i="13" s="1"/>
  <c r="I285" i="13"/>
  <c r="L285" i="13" s="1"/>
  <c r="L284" i="13"/>
  <c r="I287" i="13"/>
  <c r="L287" i="13" s="1"/>
  <c r="L259" i="13"/>
  <c r="I262" i="13"/>
  <c r="L262" i="13" s="1"/>
  <c r="I260" i="13"/>
  <c r="L260" i="13" s="1"/>
  <c r="I265" i="13"/>
  <c r="L265" i="13" s="1"/>
  <c r="L264" i="13"/>
  <c r="I267" i="13"/>
  <c r="L267" i="13" s="1"/>
  <c r="I241" i="13"/>
  <c r="L241" i="13" s="1"/>
  <c r="L240" i="13"/>
  <c r="I243" i="13"/>
  <c r="L243" i="13" s="1"/>
</calcChain>
</file>

<file path=xl/sharedStrings.xml><?xml version="1.0" encoding="utf-8"?>
<sst xmlns="http://schemas.openxmlformats.org/spreadsheetml/2006/main" count="2381" uniqueCount="384">
  <si>
    <t>ITEM #</t>
  </si>
  <si>
    <t>DWG#</t>
  </si>
  <si>
    <t>Location</t>
  </si>
  <si>
    <t>Division</t>
  </si>
  <si>
    <t>Category</t>
  </si>
  <si>
    <t>Category Detail</t>
  </si>
  <si>
    <t>Detail #</t>
  </si>
  <si>
    <t>TAKE OFF DESCRIPTION</t>
  </si>
  <si>
    <t>QTY.</t>
  </si>
  <si>
    <t>UNIT</t>
  </si>
  <si>
    <t>WASTE FACTOR</t>
  </si>
  <si>
    <t xml:space="preserve">QTY WITH
WASTE FACTOR </t>
  </si>
  <si>
    <t>DIVISION 01 - GENERAL REQUIREMENTS</t>
  </si>
  <si>
    <t>Supervision</t>
  </si>
  <si>
    <t>LS</t>
  </si>
  <si>
    <t>Permits</t>
  </si>
  <si>
    <t>Final Clean-up</t>
  </si>
  <si>
    <t>Mobilization Costs</t>
  </si>
  <si>
    <t>Project Overheads</t>
  </si>
  <si>
    <t>Bonds</t>
  </si>
  <si>
    <t>Temporary Control &amp; Facilities</t>
  </si>
  <si>
    <t>Scaffolding</t>
  </si>
  <si>
    <t>SF</t>
  </si>
  <si>
    <t>S1.0</t>
  </si>
  <si>
    <t>A1/S2.0</t>
  </si>
  <si>
    <t>DIVISION 03 - CONCRETE</t>
  </si>
  <si>
    <t>CONTINUOUS FOOTING</t>
  </si>
  <si>
    <t>1'-2" W  x 2'-6'' D Continuous Concrete Footing (282 LF)</t>
  </si>
  <si>
    <t>CY</t>
  </si>
  <si>
    <t xml:space="preserve">(4) #6 Cont. Horizontal Rebar </t>
  </si>
  <si>
    <t>LBS</t>
  </si>
  <si>
    <t xml:space="preserve">#3 Ties @ 24" O.C </t>
  </si>
  <si>
    <t>Formwork</t>
  </si>
  <si>
    <t>Excavation</t>
  </si>
  <si>
    <t>Backfill</t>
  </si>
  <si>
    <t>A3/S2.0</t>
  </si>
  <si>
    <t xml:space="preserve"> 1'-2" W  x 2'-6'' D Continuous Concrete Footing (104 LF)</t>
  </si>
  <si>
    <t>B1/S2.0</t>
  </si>
  <si>
    <t>1'-2" W  x 2'-6'' D Continuous Concrete Footing (37 LF)</t>
  </si>
  <si>
    <t>B3/S2.0</t>
  </si>
  <si>
    <t>1'-2" W  x 2'-6'' D Continuous Concrete Footing (78 LF)</t>
  </si>
  <si>
    <t>A2/S2.0</t>
  </si>
  <si>
    <t>GRADE BEAM</t>
  </si>
  <si>
    <t xml:space="preserve"> 1'-2" W  x 2'-6'' D Continuous Concrete Grade Beam (625 LF)</t>
  </si>
  <si>
    <t>B2/S2.0</t>
  </si>
  <si>
    <t>2'-2" W  x 2'-6'' D Continuous Concrete Grade Beam (23 LF)</t>
  </si>
  <si>
    <t xml:space="preserve">(8) #6 Cont. Horizontal Rebar </t>
  </si>
  <si>
    <t>C3/S2.0</t>
  </si>
  <si>
    <t>3'-0" W  x 2'-6'' D Continuous Concrete Grade Beam (8 LF)</t>
  </si>
  <si>
    <t>SLAB DROP</t>
  </si>
  <si>
    <t>Thickened Edge For Slab Drop (75 LF)</t>
  </si>
  <si>
    <t>ADDITIONAL REINFORCEMENT</t>
  </si>
  <si>
    <t xml:space="preserve">(2) #4 x 4'-0" L Corner Bars </t>
  </si>
  <si>
    <t>CONCRETE SLAB</t>
  </si>
  <si>
    <t xml:space="preserve">4" Thick Concrete Slab W/ Reinforcement </t>
  </si>
  <si>
    <t>10 Mil Vapour Barrier</t>
  </si>
  <si>
    <t xml:space="preserve">#4 @ 16" O.C Each Way Rebar </t>
  </si>
  <si>
    <t xml:space="preserve">Prepared Subgrade </t>
  </si>
  <si>
    <t>ELEVATIONS</t>
  </si>
  <si>
    <t>DIVISION 04 - MASONRY</t>
  </si>
  <si>
    <t xml:space="preserve">STONE VENEER </t>
  </si>
  <si>
    <t xml:space="preserve">Stone Veneer </t>
  </si>
  <si>
    <t>S3.0</t>
  </si>
  <si>
    <t>DIVISION 05 - METAL</t>
  </si>
  <si>
    <t xml:space="preserve">HARDWARES </t>
  </si>
  <si>
    <t xml:space="preserve">3" x 3" x 1/4" Simpson (BPS5/8-3) Bearing Plate W/ 5/8" Dia x 2" Anchor Bolt </t>
  </si>
  <si>
    <t>EA</t>
  </si>
  <si>
    <t xml:space="preserve">5/8" Dia x 12" W/ 2" Hook @ 32" O.C W/ 2" x 2" 3/16" Plate Washers </t>
  </si>
  <si>
    <t>Simpson H2.5A Clip @ Each Rafter</t>
  </si>
  <si>
    <t xml:space="preserve">Simpson LSTA36 Strap Tie @ 4'-0" Max @ Exterior Wall Perimeter </t>
  </si>
  <si>
    <t xml:space="preserve">LSTA12 Strap @ 4'-0" O.C Max @ Ridge </t>
  </si>
  <si>
    <t>LUS26</t>
  </si>
  <si>
    <t>LUS28</t>
  </si>
  <si>
    <t>LUS210</t>
  </si>
  <si>
    <t>HU28-2</t>
  </si>
  <si>
    <t>HU210-2</t>
  </si>
  <si>
    <t>HU212-2</t>
  </si>
  <si>
    <t>HU212-3</t>
  </si>
  <si>
    <t>HGLTV418-2 OR HHGU7.25/SDS</t>
  </si>
  <si>
    <t>HGLTV5.518. OR HGUS5.50-SDS</t>
  </si>
  <si>
    <t>GLTV5.50/9.25, OR HGUS5.50/8</t>
  </si>
  <si>
    <t>HGLTV5.514, OR HGUS5.50/14</t>
  </si>
  <si>
    <t>HGLTV5.516, OR HGUS5.50-SDS</t>
  </si>
  <si>
    <t>HB3.56/11.25 OR HGUS410</t>
  </si>
  <si>
    <t>GLTV3.514, OR HGUS414</t>
  </si>
  <si>
    <t>GLTV3.516, OR HGUS414</t>
  </si>
  <si>
    <t>HGLTV3.516, OR HGUS414</t>
  </si>
  <si>
    <t>S3.0, S3.1</t>
  </si>
  <si>
    <t>DIVISION 06 - WOOD, PLASTIC &amp; COMPOSITES</t>
  </si>
  <si>
    <t>COLUMN</t>
  </si>
  <si>
    <t>ROUGH CARPENTRY</t>
  </si>
  <si>
    <t>1'-0" x 1'-0" Wood Column (10'-0"H)</t>
  </si>
  <si>
    <t>1'-0" x 1'-0" Wood Column (20'-0"H)</t>
  </si>
  <si>
    <t>BEAM</t>
  </si>
  <si>
    <t xml:space="preserve">SYP-48 HDR: 2-2x8 No.2 SYP, (4'-0" L) </t>
  </si>
  <si>
    <t>SYP-410 HDR: 2-2x10 No.2 SYP, (4'-0" L)</t>
  </si>
  <si>
    <t>SYP-410 HDR: 2-2x10 No.2 SYP, (6'-0" L)</t>
  </si>
  <si>
    <t xml:space="preserve">SYP-412 DB: 2-2x12 No.2 SYP, (4'-0" L) </t>
  </si>
  <si>
    <t>SYP-412 HDR: 2-2x12 No.2 SYP, (6'-0" L)</t>
  </si>
  <si>
    <t>SYP-412 HDR: 2-2x12 No.2 SYP, (4'-0" L)</t>
  </si>
  <si>
    <t>SYP 612 HDR: 3-2x12 No.2 SYP, (10'-0" L)</t>
  </si>
  <si>
    <t>SYP-612 DB: 3-2x12 No.2 SYP, (12'-0" L)</t>
  </si>
  <si>
    <t>GLU-718 DB: 7x18 Beam (28'-0" L)</t>
  </si>
  <si>
    <t>GLU-618 HDR: 5-1/2x18 Beam (20'-0" L)</t>
  </si>
  <si>
    <t>GLU-612 HDR: 5-1/2 x 11-1/4 (10'-0" L)</t>
  </si>
  <si>
    <t>GLU-614 HDR: 5-1/2x14 Beam (22'-0" L)</t>
  </si>
  <si>
    <t>GLU-412 : 3-1/2 x 11-1/4 (12'-0" L)</t>
  </si>
  <si>
    <t>GLU-418 DB: 3-1/2 x 14 (18'-0" L)</t>
  </si>
  <si>
    <t>GLU 416 DB: 3-1/2 x 16 (18'-0" L)</t>
  </si>
  <si>
    <t>GLU-414 DB: 3-1/2 x 14 (18'-0" L)</t>
  </si>
  <si>
    <t>GLU 616 DB: 5-1/2 x 16 (18'-0" L)</t>
  </si>
  <si>
    <t>GLU 416 FB, FRS: 3-1/2 x 16 (22'-0" L)</t>
  </si>
  <si>
    <t>GLU 616 FB: 5-1/2 x 16 (22'-0" L)</t>
  </si>
  <si>
    <t>2x12 Ridge Beam  (6'-0"  L)</t>
  </si>
  <si>
    <t>2x12 Ridge Beam  (12'-0" L)</t>
  </si>
  <si>
    <t>2x12 Ridge Beam  (78'-0")</t>
  </si>
  <si>
    <t>2x12 Ridge Beam  (38'-0")</t>
  </si>
  <si>
    <t>2x10 Hip Beam  (6'-0")</t>
  </si>
  <si>
    <t>2x10 Hip Beam  (32'-0")</t>
  </si>
  <si>
    <t>2x10 Hip Beam  (20'-0")</t>
  </si>
  <si>
    <t>2x10 Hip Beam  (36'-0")</t>
  </si>
  <si>
    <t>2x10 Hip Beam  (10'-0")</t>
  </si>
  <si>
    <t>2x10 Hip Beam  (18'-0")</t>
  </si>
  <si>
    <t>2x10 Hip Beam  (16'-0")</t>
  </si>
  <si>
    <t>2x10 Valley Beam  (17'-0")</t>
  </si>
  <si>
    <t>2x10 Valley Beam  (9'-0")</t>
  </si>
  <si>
    <t>2x10 Valley Beam  (30'-0")</t>
  </si>
  <si>
    <t>2x10 Valley Beam  (19'-0")</t>
  </si>
  <si>
    <t>2x10 Valley Beam  (27'-0")</t>
  </si>
  <si>
    <t>2x10 Valley Beam   (24'-0")</t>
  </si>
  <si>
    <t xml:space="preserve">CEILING JOISTS </t>
  </si>
  <si>
    <t>CJ-26-16: 2x6 @ 16" O.C  (8'-0" L)</t>
  </si>
  <si>
    <t>CJ-26-16: 2x6 @ 16" O.C  (6'-0" L)</t>
  </si>
  <si>
    <t>CJ-26-16: 2x6 @ 16" O.C (12'-0" L)</t>
  </si>
  <si>
    <t>CJ-26-16: 2x6 @ 16" O.C (2'-0" L)</t>
  </si>
  <si>
    <t>CJ-28-16: 2x8 @ 16" O.C  (10'-0" L)</t>
  </si>
  <si>
    <t>CJ-28-16: 2x8 @ 16" O.C  (8'-0" L)</t>
  </si>
  <si>
    <t>CJ-28-16: 2x8 @ 16" O.C  (14'-0" L)</t>
  </si>
  <si>
    <t>CJ-28-16: 2x8 @ 16" O.C  (22'-0" L)</t>
  </si>
  <si>
    <t>CJ-28-16: 2x8 @ 16" O.C  (12'-0" L)</t>
  </si>
  <si>
    <t>CJ-210-16: 2x10 @ 16" O.C  (16'-0" L)</t>
  </si>
  <si>
    <t>CJ-210-16: 2x10 @ 16" O.C  (14'-0" L)</t>
  </si>
  <si>
    <t>ROOF RAFTERS</t>
  </si>
  <si>
    <t>CJ-212-16 Rafter Ties: 2x12 @ 12" O.C  (18'-0" L)</t>
  </si>
  <si>
    <t>CJ-212-16 Rafter Ties: 2x12 @ 12" O.C  (20'-0" L)</t>
  </si>
  <si>
    <t>No. 2 2x6 @16" O.C Rafters  (8'-0" L)</t>
  </si>
  <si>
    <t>No. 2 2x6 @16" O.C Rafters  (10'-0" L)</t>
  </si>
  <si>
    <t>No. 2 2x6 @16" O.C Rafters  (4'-0" L)</t>
  </si>
  <si>
    <t>No.2 2 x 6 SYP @ 16" O.C Rafters  (18'-0" L)</t>
  </si>
  <si>
    <t>No.2 2 x 6 SYP @ 16" O.C Rafters  (20'-0" L)</t>
  </si>
  <si>
    <t>No.2 2 x 6 SYP @ 16" O.C Rafters  (22'-0" L)</t>
  </si>
  <si>
    <t>No.2 2 x 6 SYP @ 16" O.C Rafters  (16'-0" L)</t>
  </si>
  <si>
    <t>No.2 2 x 6 SYP @ 16" O.C  Rafters (14'-0" L)</t>
  </si>
  <si>
    <t>No.2 2 x 6 SYP @ 16" O.C Rafters (12'-0" L)</t>
  </si>
  <si>
    <t>No.2 2 x 6 SYP @ 16" O.C Rafters (2'-0" L)</t>
  </si>
  <si>
    <t>No.2 2 x 6 SYP @ 16" O.C Rafters(10'-0" L)</t>
  </si>
  <si>
    <t>No.2 2 x 6 SYP @ 16" O.C Rafters  (8'-0" L)</t>
  </si>
  <si>
    <t>No.2 2 x 6 SYP @ 16" O.C  Rafters (6'-0" L)</t>
  </si>
  <si>
    <t>No.2 2 x 6 SYP @ 16" O.C Rafters (4'-0" L)</t>
  </si>
  <si>
    <t>No.2 2 x 6 SYP @ 16" O.C Rafters (24'-0" L)</t>
  </si>
  <si>
    <t>No.2 2 x 8 SYP @ 16" O.C Rafters (28'-0" L)</t>
  </si>
  <si>
    <t>No.2 2 x 8 SYP @ 16" O.C Rafters (24'-0" L)</t>
  </si>
  <si>
    <t>No.2 2 x 8 SYP @ 16" O.C Rafters (18'-0" L)</t>
  </si>
  <si>
    <t>No.2 2 x 8 SYP @ 16" O.C Rafters (12'-0" L)</t>
  </si>
  <si>
    <t>No.2 2 x 8 SYP @ 16" O.C Rafters (6'-0" L)</t>
  </si>
  <si>
    <t>No.2 2 x 8 SYP @ 16" O.C Rafters (34'-0" L)</t>
  </si>
  <si>
    <t>No.2 2 x 8 SYP @ 16" O.C Rafters (16'-0" L)</t>
  </si>
  <si>
    <t>No.2 2 x 8 SYP @ 16" O.C Rafters (22'-0" L)</t>
  </si>
  <si>
    <t>No.2 2 x 8 SYP @ 16" O.C Rafters (10'-0" L)</t>
  </si>
  <si>
    <t>No.2 2 x 8 SYP @ 16" O.C Rafters (4'-0" L)</t>
  </si>
  <si>
    <t>No.2 2 x 8 SYP @ 16" O.C Rafters (14'-0" L)</t>
  </si>
  <si>
    <t>No.2 2 x 8 SYP @ 16" O.C Rafters (8'-0" L)</t>
  </si>
  <si>
    <t>No.2 2 x 8 SYP @ 16" O.C Rafters (2'-0" L)</t>
  </si>
  <si>
    <t>No.2 2 x6 SYP @ 16" O.C Rafters  (6'-0" L)</t>
  </si>
  <si>
    <t>No.2 2 x6 SYP @ 16" O.C Rafters  (4'-0" L)</t>
  </si>
  <si>
    <t>No.2 2 x6 SYP @ 16" O.C Rafters  (2'-0" L)</t>
  </si>
  <si>
    <t>No.2 2 x6 SYP @ 16" O.C Rafters  (26'-0" L)</t>
  </si>
  <si>
    <t>No.2 2 x6 SYP @ 16" O.C Rafters  (28'-0" L)</t>
  </si>
  <si>
    <t>No.2 2 x6 SYP @ 16" O.C Rafters  (24'-0" L)</t>
  </si>
  <si>
    <t>No.2 2 x6 SYP @ 16" O.C Rafters  (22'-0" L)</t>
  </si>
  <si>
    <t>No.2 2 x6 SYP @ 16" O.C Rafters  (20'-0" L)</t>
  </si>
  <si>
    <t>No.2 2 x6 SYP @ 16" O.C Rafters  (18'-0" L)</t>
  </si>
  <si>
    <t>No.2 2 x6 SYP @ 16" O.C Rafters  (14'-0" L)</t>
  </si>
  <si>
    <t>No.2 2 x6 SYP @ 16" O.C Rafters  (12'-0" L)</t>
  </si>
  <si>
    <t>No.2 2 x6 SYP @ 16" O.C Rafters  (10'-0" L)</t>
  </si>
  <si>
    <t>No.2 2 x6 SYP @ 16" O.C Rafters  (8'-0" L)</t>
  </si>
  <si>
    <t>No.2 2 x6 SYP @ 16" O.C Rafters  (16'-0" L)</t>
  </si>
  <si>
    <t>No.2 2 x6 SYP @ 16" O.C Rafters  (30'-0" L)</t>
  </si>
  <si>
    <t>No. 2 2 x6 Collar Tie (8'-0" L)</t>
  </si>
  <si>
    <t xml:space="preserve">PURLINS </t>
  </si>
  <si>
    <t>2x6 Continuous Purlins (10'-0" L)</t>
  </si>
  <si>
    <t>SHEATHING</t>
  </si>
  <si>
    <t>15/32'' APA Rated Plywood Sheathing @ Roof</t>
  </si>
  <si>
    <t>No. of Sheets (4' x 8')</t>
  </si>
  <si>
    <t>Screws</t>
  </si>
  <si>
    <t>FLOOR PLAN</t>
  </si>
  <si>
    <t>MILLWORK</t>
  </si>
  <si>
    <t>FINISH CARPENTRY</t>
  </si>
  <si>
    <t>2'-0" Deep x 2'-6" H Floor Mounted Base Cabinets W/ Drawers, Doors &amp; Hardware</t>
  </si>
  <si>
    <t>LF</t>
  </si>
  <si>
    <t xml:space="preserve">1'-0" Deep Linen Closet @ Bath </t>
  </si>
  <si>
    <t xml:space="preserve">1'-0" Deep One Rod &amp; One Shelf </t>
  </si>
  <si>
    <t xml:space="preserve">1'-0" Deep Two Rod &amp; Two Shelves </t>
  </si>
  <si>
    <t>2'-0" Deep x 2'-8" H Floor Mounted Base Cabinets W/ Drawers, Doors &amp; Hardware</t>
  </si>
  <si>
    <t xml:space="preserve">1'-0" Deep Five Shelves </t>
  </si>
  <si>
    <t xml:space="preserve">1'-0" Deep Bench W/ Shelves </t>
  </si>
  <si>
    <t xml:space="preserve">1'-6" Deep x 2'-0" H Wall Mounted Cabinets </t>
  </si>
  <si>
    <t xml:space="preserve">1'-6" Deep Full Height Linen Closet W/ Rod </t>
  </si>
  <si>
    <t xml:space="preserve">2'-0" Deep x 3'-0" H Base Cabinets W/ Drawers, Doors &amp; Hardware </t>
  </si>
  <si>
    <t xml:space="preserve">1'-0" Deep x 3'-6" H Wall Mounted Upper Cabinets W/ Doors &amp; Hardware </t>
  </si>
  <si>
    <t>1'-6" Deep x 2'-0" H Wall Mounted Upper Cabinets W/ Doors &amp; Hardware</t>
  </si>
  <si>
    <t>WOOD TRIMS</t>
  </si>
  <si>
    <t>ARCHITECTURAL WOOD WORK</t>
  </si>
  <si>
    <t xml:space="preserve">4" Wide Wood Door Trims </t>
  </si>
  <si>
    <t xml:space="preserve">4" Wide Wood Window Trims </t>
  </si>
  <si>
    <t>ROOF PLAN</t>
  </si>
  <si>
    <t>ROOF</t>
  </si>
  <si>
    <t>DIVISION 07 - THERMAL &amp; MOISTURE PROTECTION</t>
  </si>
  <si>
    <t>ROOFING</t>
  </si>
  <si>
    <t xml:space="preserve">Shingle Roofing  </t>
  </si>
  <si>
    <t>15 LB Felt Paper</t>
  </si>
  <si>
    <t xml:space="preserve">Ridge Flashing </t>
  </si>
  <si>
    <t xml:space="preserve">Hip Flashing </t>
  </si>
  <si>
    <t xml:space="preserve">Valley Flashing </t>
  </si>
  <si>
    <t xml:space="preserve">3'-0" Wide Ice &amp; Water Shield </t>
  </si>
  <si>
    <t xml:space="preserve">7/16" x 6" Hardy Fascia </t>
  </si>
  <si>
    <t>2" x 2" Metal Drip Flashing</t>
  </si>
  <si>
    <t xml:space="preserve">1'-0" Deep Perforated Hardy Soffit </t>
  </si>
  <si>
    <t xml:space="preserve">1'-0" Deep Solid Hardy Soffit </t>
  </si>
  <si>
    <t>Pre-Finished Roof Gutter (Assumed)</t>
  </si>
  <si>
    <t>10'-0" Long Downspouts (Assumed)</t>
  </si>
  <si>
    <t>12'-0" Long Downspouts (Assumed)</t>
  </si>
  <si>
    <t>17'-0" Long Downspouts (Assumed)</t>
  </si>
  <si>
    <t>EXTERIOR FINISHES</t>
  </si>
  <si>
    <t>Stucco</t>
  </si>
  <si>
    <t>DIVISION 08 - OPENINGS</t>
  </si>
  <si>
    <t>WINDOWS</t>
  </si>
  <si>
    <t xml:space="preserve">6'-0" W x 6'-0" H Single Hung Window </t>
  </si>
  <si>
    <t xml:space="preserve">3'-0" W x 6'-0" H Single Hung Window Mulled W/ 3'-0" W x 1'-6" H Fixed Glass Window </t>
  </si>
  <si>
    <t xml:space="preserve">2'-0" W x 6'-0" H Fixed Glass Window </t>
  </si>
  <si>
    <t xml:space="preserve">2'-0" W x 2'-6" H Fixed Glass Window </t>
  </si>
  <si>
    <t xml:space="preserve">6'-0" W x 2'-6" H Fixed Glass Window </t>
  </si>
  <si>
    <t xml:space="preserve">6'-0" W x 6'-0" H Single Hung Window Mulled W/ 6'-0" W x 1'-6" H Fixed Glass Window </t>
  </si>
  <si>
    <t xml:space="preserve">3'-0" W x 6'-0" H Single Hung Window </t>
  </si>
  <si>
    <t>INTERIOR DOORS</t>
  </si>
  <si>
    <t xml:space="preserve">2'-0" W x 8'-0" H Wood Door W/ Frame </t>
  </si>
  <si>
    <t xml:space="preserve">2'-4" W x 8'-0" H Wood Door W/ Frame </t>
  </si>
  <si>
    <t xml:space="preserve">2'-6" W x 8'-0" H Wood Door W/ Frame </t>
  </si>
  <si>
    <t xml:space="preserve">2'-8" W x 8'-0" H Wood Door W/ Frame </t>
  </si>
  <si>
    <t xml:space="preserve">4'-0" W x 8'-0" H Wood Double Door W/ Frame </t>
  </si>
  <si>
    <t>5'-0" W x 8'-0" H Wood Double Door Including Single Pane Glass W/ Frame</t>
  </si>
  <si>
    <t xml:space="preserve">3'-0" W x 8'-0" H Wood Door W/ Frame </t>
  </si>
  <si>
    <t>EXTERIOR DOORS</t>
  </si>
  <si>
    <t xml:space="preserve">6'-0" W x 8'-0" H Wood Double Entry Door W/ Frame </t>
  </si>
  <si>
    <t xml:space="preserve">18'-0" W x 8'-0"H Over Head Garage Door </t>
  </si>
  <si>
    <t xml:space="preserve">9'-0" W x 8'-0"H Over Head Garage Door </t>
  </si>
  <si>
    <t xml:space="preserve">2'-8" W x 8'-0" H Wood Exterior Door W/ Frame </t>
  </si>
  <si>
    <t xml:space="preserve">2'-8" W x 8'-0" H Wood Exterior Door Including Single Pane Glass W/ Frame </t>
  </si>
  <si>
    <t xml:space="preserve">2'-6" W x 8'-0" H Wood Exterior Door W/ Frame </t>
  </si>
  <si>
    <t>Standard Door Hardware</t>
  </si>
  <si>
    <t>ATTIC ACCESS</t>
  </si>
  <si>
    <t xml:space="preserve">2'-9" W x 4'-10" H Attic Access W/ Pull Down Metal Ladder </t>
  </si>
  <si>
    <t>DIVISION 09 - FINISHES</t>
  </si>
  <si>
    <t>WALLS</t>
  </si>
  <si>
    <t>(2x4) Exterior Bearing Studs Wall</t>
  </si>
  <si>
    <t xml:space="preserve">1/2'' Gypsum Wall  Board </t>
  </si>
  <si>
    <t>Tapping</t>
  </si>
  <si>
    <t>Mudding</t>
  </si>
  <si>
    <t xml:space="preserve">1/2'' Moisture Resistant Gypsum Wall  Board </t>
  </si>
  <si>
    <t>7/16" OSB  Sheathing</t>
  </si>
  <si>
    <t>Nails</t>
  </si>
  <si>
    <t>(2x4x12') Wood Studs @ 16" O.C.</t>
  </si>
  <si>
    <t>(2x4x20') Wood Studs @ 16" O.C.</t>
  </si>
  <si>
    <t>(2x4x16') P.T. Sill Plate</t>
  </si>
  <si>
    <t>(2x4x16') Top Plates</t>
  </si>
  <si>
    <t>3-1/2"  Batt Insulation</t>
  </si>
  <si>
    <t>Sealant</t>
  </si>
  <si>
    <t>(2x6) Exterior Bearing Studs Wall</t>
  </si>
  <si>
    <t>(2x6x12') Wood Studs @ 16" O.C.</t>
  </si>
  <si>
    <t>(2x6x14') Wood Studs @ 16" O.C.</t>
  </si>
  <si>
    <t>(2x6x20') Wood Studs @ 16" O.C.</t>
  </si>
  <si>
    <t>(2x6x16') P.T. Sill Plate</t>
  </si>
  <si>
    <t>(2x6x16') Top Plates</t>
  </si>
  <si>
    <t>(2x4) Interior Studs Wall</t>
  </si>
  <si>
    <t xml:space="preserve">1/2'' Gypsum Wall Board </t>
  </si>
  <si>
    <t xml:space="preserve">1/2''  Moisture Resistant Gypsum Wall Board </t>
  </si>
  <si>
    <t>5/8" 1 Hour Rated Type X Gypsum Wall Board @ Garage Walls</t>
  </si>
  <si>
    <t>(2x4x4') Wood Studs @ 16" O.C.</t>
  </si>
  <si>
    <t>(2x4x14') Wood Studs @ 16" O.C.</t>
  </si>
  <si>
    <t>(2x6) Interior Studs Wall</t>
  </si>
  <si>
    <t>CEILING</t>
  </si>
  <si>
    <t xml:space="preserve">GYPSUM BOARD CEILING </t>
  </si>
  <si>
    <t xml:space="preserve">1/2" Moisture Resistant Gypsum Board Ceiling </t>
  </si>
  <si>
    <t xml:space="preserve">1/2"  Gypsum Board Ceiling </t>
  </si>
  <si>
    <t xml:space="preserve">5/8" Type X Gypsum Board Ceiling @ Garage </t>
  </si>
  <si>
    <t>INTERIOR FINISHES</t>
  </si>
  <si>
    <t>FLOORING</t>
  </si>
  <si>
    <t>Tile Flooring</t>
  </si>
  <si>
    <t xml:space="preserve">Carpet Flooring </t>
  </si>
  <si>
    <t xml:space="preserve">Wood Flooring </t>
  </si>
  <si>
    <t xml:space="preserve">Sealed Concrete Flooring </t>
  </si>
  <si>
    <t xml:space="preserve">TRANSITION STRIPS </t>
  </si>
  <si>
    <t xml:space="preserve">Transition Strip From Carpet Flooring To Tile Flooring </t>
  </si>
  <si>
    <t xml:space="preserve">Transition Strip From Carpet Flooring To Wood Flooring </t>
  </si>
  <si>
    <t xml:space="preserve">Transition Strip From Wood Flooring To Tile Flooring </t>
  </si>
  <si>
    <t xml:space="preserve">Transition Strip From Wood Flooring To Sealed Concrete Flooring </t>
  </si>
  <si>
    <t xml:space="preserve">Transition Strip From Tile Flooring To Sealed Concrete Flooring </t>
  </si>
  <si>
    <t>WALL BASE</t>
  </si>
  <si>
    <t xml:space="preserve">4" H Rubber Base </t>
  </si>
  <si>
    <t xml:space="preserve">4" H Tile Base </t>
  </si>
  <si>
    <t xml:space="preserve">4" H Wood Base </t>
  </si>
  <si>
    <t>WALL TILE</t>
  </si>
  <si>
    <t xml:space="preserve">7'-0" H Wall Tile @ Shower Areas </t>
  </si>
  <si>
    <t>Paint @ Walls</t>
  </si>
  <si>
    <t>Paint @ Gypsum Board Ceiling</t>
  </si>
  <si>
    <t>Paint @ Door</t>
  </si>
  <si>
    <t>Paint @ Door/Window Trim</t>
  </si>
  <si>
    <t>DIVISION 10 - SPECIALTIES</t>
  </si>
  <si>
    <t>BATH ACCESSORIES</t>
  </si>
  <si>
    <t>Bathroom Accessories</t>
  </si>
  <si>
    <t xml:space="preserve">Soap Dispenser </t>
  </si>
  <si>
    <t xml:space="preserve">Toilet Paper Dispenser </t>
  </si>
  <si>
    <t xml:space="preserve">Towel Bar </t>
  </si>
  <si>
    <t xml:space="preserve">Coat Hook </t>
  </si>
  <si>
    <t>6'-0" W x 4'-0"H Wall Mirror</t>
  </si>
  <si>
    <t>3'-8" W x 4'-0"H Wall Mirror</t>
  </si>
  <si>
    <t>4'-0" W x 4'-0"H Wall Mirror</t>
  </si>
  <si>
    <t>3'-0" W x 4'-0"H Wall Mirror</t>
  </si>
  <si>
    <t>5'-0" W x 4'-0"H Wall Mirror</t>
  </si>
  <si>
    <t>MISC.</t>
  </si>
  <si>
    <t xml:space="preserve">Gas Fireplace </t>
  </si>
  <si>
    <t xml:space="preserve">6'-6" H Glass Partition Wall W/ Door </t>
  </si>
  <si>
    <t>DIVISION 11 - EQUIPMENT</t>
  </si>
  <si>
    <t>Cooking Range W/ Vent Hood</t>
  </si>
  <si>
    <t>Refrigerator</t>
  </si>
  <si>
    <t xml:space="preserve">Microwave Oven </t>
  </si>
  <si>
    <t xml:space="preserve">Dishwasher </t>
  </si>
  <si>
    <t xml:space="preserve">Dryer </t>
  </si>
  <si>
    <t xml:space="preserve">Washer </t>
  </si>
  <si>
    <t>DIVISION 12 - FURNISHING</t>
  </si>
  <si>
    <t xml:space="preserve">3'-0" W x 4'-0" L x 3'-0" H Island  </t>
  </si>
  <si>
    <t xml:space="preserve">5'-0" W x 9'-0" L x 3'-0" H Kitchen Island Including 5 Cabinets &amp;  Dishwasher Space </t>
  </si>
  <si>
    <t xml:space="preserve">Vanity Countertop </t>
  </si>
  <si>
    <t xml:space="preserve">6" H Backsplash </t>
  </si>
  <si>
    <t xml:space="preserve">Kitchen Countertop </t>
  </si>
  <si>
    <t xml:space="preserve">Utility Countertop </t>
  </si>
  <si>
    <t xml:space="preserve">1'-0" W x 2'-10" Long Bench </t>
  </si>
  <si>
    <t>ELEC PLAN</t>
  </si>
  <si>
    <t>First Floor</t>
  </si>
  <si>
    <t>DIVISION 22 - PLUMBING</t>
  </si>
  <si>
    <t>Plumbing Fixtures</t>
  </si>
  <si>
    <t xml:space="preserve">Water Closet </t>
  </si>
  <si>
    <t>1'-8" x 1'-6" Sink W/ Faucet</t>
  </si>
  <si>
    <t xml:space="preserve">Urinal </t>
  </si>
  <si>
    <t xml:space="preserve">3'-6" W x 7'-0" L Bath Tub </t>
  </si>
  <si>
    <t>1'-10" x 2'-9" Kitchen Sink</t>
  </si>
  <si>
    <t>Shower Pan</t>
  </si>
  <si>
    <t>Pipes</t>
  </si>
  <si>
    <t>Allowance For Plumbing Pipes, Connections &amp; Fittings (828 SF)</t>
  </si>
  <si>
    <t>DIVISION 23 - HEATING, VENTILATING &amp; AIR-CONDITIONING</t>
  </si>
  <si>
    <t>Allowance For HVAC System (4954 SF)</t>
  </si>
  <si>
    <t>DIVISION 26 - ELECTRICAL</t>
  </si>
  <si>
    <t>DISTRIBUTION</t>
  </si>
  <si>
    <t>Allowance For Electrical Wiring, Conduits &amp; Connections (5958 SF)</t>
  </si>
  <si>
    <t>LIGHTING FIXTURES</t>
  </si>
  <si>
    <t>LED Light Fixture</t>
  </si>
  <si>
    <t xml:space="preserve">Ceiling Fans W/ Light Fixture </t>
  </si>
  <si>
    <t xml:space="preserve">Exhaust Fan </t>
  </si>
  <si>
    <t xml:space="preserve">Ceiling Mounted Light Fixture </t>
  </si>
  <si>
    <t xml:space="preserve">Recessed Can Light </t>
  </si>
  <si>
    <t xml:space="preserve">Hanging Light </t>
  </si>
  <si>
    <t xml:space="preserve">Wall Mounted Light Fixture </t>
  </si>
  <si>
    <t xml:space="preserve">2x4 Fluorescent Light </t>
  </si>
  <si>
    <t>LIGHTING CONTROL</t>
  </si>
  <si>
    <t xml:space="preserve">Single Pole Switch </t>
  </si>
  <si>
    <t>POWER CONTROL</t>
  </si>
  <si>
    <t xml:space="preserve">110 Volt W/ Ground Fault Interrupter </t>
  </si>
  <si>
    <t xml:space="preserve">110 Volt Receptacle </t>
  </si>
  <si>
    <t xml:space="preserve">220 Volt Receptacle </t>
  </si>
  <si>
    <t>110 Volt In Ceiling</t>
  </si>
  <si>
    <t>DIVISION 28 - ELECTRONIC SAFETY &amp; SECURITY</t>
  </si>
  <si>
    <t xml:space="preserve">ALARMS </t>
  </si>
  <si>
    <t>Smoke Detector W/ Battery Backup</t>
  </si>
  <si>
    <t>Carbon Dioxide Detector W/ Battery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</si>
</sst>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50" fillId="22" borderId="0" applyNumberFormat="0" applyBorder="0" applyAlignment="0" applyProtection="0"/>
    <xf numFmtId="0" fontId="37" fillId="0" borderId="0"/>
    <xf numFmtId="0" fontId="37" fillId="23" borderId="7" applyNumberFormat="0" applyFont="0" applyAlignment="0" applyProtection="0"/>
    <xf numFmtId="0" fontId="51" fillId="20" borderId="8" applyNumberFormat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6" fillId="0" borderId="0"/>
    <xf numFmtId="0" fontId="55" fillId="0" borderId="0"/>
    <xf numFmtId="0" fontId="37" fillId="0" borderId="0"/>
    <xf numFmtId="43" fontId="55" fillId="0" borderId="0" applyFont="0" applyFill="0" applyBorder="0" applyAlignment="0" applyProtection="0"/>
    <xf numFmtId="0" fontId="56" fillId="0" borderId="0"/>
    <xf numFmtId="43" fontId="37" fillId="0" borderId="0" applyFont="0" applyFill="0" applyBorder="0" applyAlignment="0" applyProtection="0"/>
    <xf numFmtId="0" fontId="37" fillId="0" borderId="0"/>
    <xf numFmtId="44" fontId="56" fillId="0" borderId="0" applyFont="0" applyFill="0" applyBorder="0" applyAlignment="0" applyProtection="0"/>
    <xf numFmtId="0" fontId="35" fillId="0" borderId="0"/>
    <xf numFmtId="0" fontId="37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4" fontId="3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7" fillId="23" borderId="7" applyNumberFormat="0" applyFont="0" applyAlignment="0" applyProtection="0"/>
    <xf numFmtId="0" fontId="37" fillId="23" borderId="7" applyNumberFormat="0" applyFont="0" applyAlignment="0" applyProtection="0"/>
  </cellStyleXfs>
  <cellXfs count="35">
    <xf numFmtId="0" fontId="0" fillId="0" borderId="0" xfId="0"/>
    <xf numFmtId="0" fontId="57" fillId="0" borderId="0" xfId="0" applyFont="1" applyAlignment="1">
      <alignment horizontal="center" vertical="top"/>
    </xf>
    <xf numFmtId="0" fontId="57" fillId="0" borderId="0" xfId="0" applyFont="1" applyAlignment="1">
      <alignment vertical="top"/>
    </xf>
    <xf numFmtId="0" fontId="57" fillId="0" borderId="0" xfId="45" applyFont="1" applyAlignment="1">
      <alignment vertical="center"/>
    </xf>
    <xf numFmtId="0" fontId="58" fillId="24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left" vertical="top"/>
    </xf>
    <xf numFmtId="1" fontId="57" fillId="0" borderId="0" xfId="0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2" fontId="57" fillId="0" borderId="0" xfId="0" applyNumberFormat="1" applyFont="1" applyAlignment="1">
      <alignment horizontal="center" vertical="center" wrapText="1"/>
    </xf>
    <xf numFmtId="0" fontId="59" fillId="0" borderId="10" xfId="34" applyFont="1" applyFill="1" applyBorder="1" applyAlignment="1" applyProtection="1">
      <alignment vertical="center" wrapText="1"/>
    </xf>
    <xf numFmtId="0" fontId="59" fillId="0" borderId="10" xfId="34" applyFont="1" applyFill="1" applyBorder="1" applyAlignment="1" applyProtection="1">
      <alignment horizontal="left" vertical="center"/>
    </xf>
    <xf numFmtId="0" fontId="59" fillId="0" borderId="10" xfId="34" applyFont="1" applyFill="1" applyBorder="1" applyAlignment="1" applyProtection="1">
      <alignment horizontal="left" vertical="center" wrapText="1"/>
    </xf>
    <xf numFmtId="1" fontId="59" fillId="0" borderId="10" xfId="34" applyNumberFormat="1" applyFont="1" applyFill="1" applyBorder="1" applyAlignment="1" applyProtection="1">
      <alignment horizontal="center" vertical="center" wrapText="1"/>
    </xf>
    <xf numFmtId="0" fontId="59" fillId="0" borderId="10" xfId="34" applyFont="1" applyFill="1" applyBorder="1" applyAlignment="1" applyProtection="1">
      <alignment horizontal="center" vertical="center" wrapText="1"/>
    </xf>
    <xf numFmtId="2" fontId="59" fillId="0" borderId="10" xfId="34" applyNumberFormat="1" applyFont="1" applyFill="1" applyBorder="1" applyAlignment="1" applyProtection="1">
      <alignment horizontal="center" vertical="center" wrapText="1"/>
    </xf>
    <xf numFmtId="1" fontId="57" fillId="0" borderId="10" xfId="38" applyNumberFormat="1" applyFont="1" applyFill="1" applyBorder="1" applyAlignment="1">
      <alignment horizontal="center" vertical="center"/>
    </xf>
    <xf numFmtId="1" fontId="57" fillId="0" borderId="10" xfId="38" applyNumberFormat="1" applyFont="1" applyFill="1" applyBorder="1" applyAlignment="1">
      <alignment horizontal="left" vertical="top"/>
    </xf>
    <xf numFmtId="0" fontId="61" fillId="0" borderId="10" xfId="0" applyFont="1" applyBorder="1" applyAlignment="1">
      <alignment vertical="center"/>
    </xf>
    <xf numFmtId="0" fontId="61" fillId="0" borderId="10" xfId="0" applyFont="1" applyBorder="1" applyAlignment="1">
      <alignment horizontal="center" vertical="center"/>
    </xf>
    <xf numFmtId="9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right" vertical="center" wrapText="1"/>
    </xf>
    <xf numFmtId="1" fontId="61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0" fontId="57" fillId="0" borderId="10" xfId="45" applyFont="1" applyBorder="1" applyAlignment="1">
      <alignment vertical="center"/>
    </xf>
    <xf numFmtId="0" fontId="61" fillId="0" borderId="10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top"/>
    </xf>
    <xf numFmtId="1" fontId="57" fillId="0" borderId="10" xfId="0" applyNumberFormat="1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9" fontId="57" fillId="0" borderId="10" xfId="0" applyNumberFormat="1" applyFont="1" applyBorder="1" applyAlignment="1">
      <alignment horizontal="center" vertical="center"/>
    </xf>
    <xf numFmtId="1" fontId="57" fillId="0" borderId="10" xfId="38" applyNumberFormat="1" applyFont="1" applyFill="1" applyBorder="1" applyAlignment="1">
      <alignment horizontal="left" vertical="top" wrapText="1"/>
    </xf>
    <xf numFmtId="1" fontId="61" fillId="0" borderId="10" xfId="0" applyNumberFormat="1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top"/>
    </xf>
    <xf numFmtId="0" fontId="61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vertical="center" wrapText="1"/>
    </xf>
  </cellXfs>
  <cellStyles count="9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 xr:uid="{00000000-0005-0000-0000-000016000000}"/>
    <cellStyle name="Comma 2 2" xfId="48" xr:uid="{00000000-0005-0000-0000-000017000000}"/>
    <cellStyle name="Currency 2" xfId="50" xr:uid="{00000000-0005-0000-0000-000018000000}"/>
    <cellStyle name="Currency 3" xfId="85" xr:uid="{00000000-0005-0000-0000-000019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58" xr:uid="{00000000-0005-0000-0000-000026000000}"/>
    <cellStyle name="Normal 11" xfId="59" xr:uid="{00000000-0005-0000-0000-000027000000}"/>
    <cellStyle name="Normal 12" xfId="60" xr:uid="{00000000-0005-0000-0000-000028000000}"/>
    <cellStyle name="Normal 13" xfId="61" xr:uid="{00000000-0005-0000-0000-000029000000}"/>
    <cellStyle name="Normal 14" xfId="62" xr:uid="{00000000-0005-0000-0000-00002A000000}"/>
    <cellStyle name="Normal 15" xfId="63" xr:uid="{00000000-0005-0000-0000-00002B000000}"/>
    <cellStyle name="Normal 16" xfId="64" xr:uid="{00000000-0005-0000-0000-00002C000000}"/>
    <cellStyle name="Normal 17" xfId="65" xr:uid="{00000000-0005-0000-0000-00002D000000}"/>
    <cellStyle name="Normal 18" xfId="66" xr:uid="{00000000-0005-0000-0000-00002E000000}"/>
    <cellStyle name="Normal 19" xfId="67" xr:uid="{00000000-0005-0000-0000-00002F000000}"/>
    <cellStyle name="Normal 2" xfId="44" xr:uid="{00000000-0005-0000-0000-000030000000}"/>
    <cellStyle name="Normal 2 2" xfId="47" xr:uid="{00000000-0005-0000-0000-000031000000}"/>
    <cellStyle name="Normal 2 3" xfId="45" xr:uid="{00000000-0005-0000-0000-000032000000}"/>
    <cellStyle name="Normal 2 3 2" xfId="52" xr:uid="{00000000-0005-0000-0000-000033000000}"/>
    <cellStyle name="Normal 20" xfId="68" xr:uid="{00000000-0005-0000-0000-000034000000}"/>
    <cellStyle name="Normal 21" xfId="69" xr:uid="{00000000-0005-0000-0000-000035000000}"/>
    <cellStyle name="Normal 22" xfId="70" xr:uid="{00000000-0005-0000-0000-000036000000}"/>
    <cellStyle name="Normal 23" xfId="71" xr:uid="{00000000-0005-0000-0000-000037000000}"/>
    <cellStyle name="Normal 24" xfId="72" xr:uid="{00000000-0005-0000-0000-000038000000}"/>
    <cellStyle name="Normal 25" xfId="73" xr:uid="{00000000-0005-0000-0000-000039000000}"/>
    <cellStyle name="Normal 26" xfId="74" xr:uid="{00000000-0005-0000-0000-00003A000000}"/>
    <cellStyle name="Normal 27" xfId="75" xr:uid="{00000000-0005-0000-0000-00003B000000}"/>
    <cellStyle name="Normal 28" xfId="76" xr:uid="{00000000-0005-0000-0000-00003C000000}"/>
    <cellStyle name="Normal 29" xfId="77" xr:uid="{00000000-0005-0000-0000-00003D000000}"/>
    <cellStyle name="Normal 3" xfId="37" xr:uid="{00000000-0005-0000-0000-00003E000000}"/>
    <cellStyle name="Normal 30" xfId="78" xr:uid="{00000000-0005-0000-0000-00003F000000}"/>
    <cellStyle name="Normal 31" xfId="79" xr:uid="{00000000-0005-0000-0000-000040000000}"/>
    <cellStyle name="Normal 32" xfId="80" xr:uid="{00000000-0005-0000-0000-000041000000}"/>
    <cellStyle name="Normal 33" xfId="81" xr:uid="{00000000-0005-0000-0000-000042000000}"/>
    <cellStyle name="Normal 34" xfId="84" xr:uid="{00000000-0005-0000-0000-000043000000}"/>
    <cellStyle name="Normal 35" xfId="82" xr:uid="{00000000-0005-0000-0000-000044000000}"/>
    <cellStyle name="Normal 36" xfId="83" xr:uid="{00000000-0005-0000-0000-000045000000}"/>
    <cellStyle name="Normal 37" xfId="86" xr:uid="{00000000-0005-0000-0000-000046000000}"/>
    <cellStyle name="Normal 38" xfId="87" xr:uid="{00000000-0005-0000-0000-000047000000}"/>
    <cellStyle name="Normal 39" xfId="88" xr:uid="{00000000-0005-0000-0000-000048000000}"/>
    <cellStyle name="Normal 4" xfId="43" xr:uid="{00000000-0005-0000-0000-000049000000}"/>
    <cellStyle name="Normal 4 2" xfId="53" xr:uid="{00000000-0005-0000-0000-00004A000000}"/>
    <cellStyle name="Normal 4 3" xfId="51" xr:uid="{00000000-0005-0000-0000-00004B000000}"/>
    <cellStyle name="Normal 5" xfId="49" xr:uid="{00000000-0005-0000-0000-00004C000000}"/>
    <cellStyle name="Normal 6" xfId="55" xr:uid="{00000000-0005-0000-0000-00004D000000}"/>
    <cellStyle name="Normal 7" xfId="54" xr:uid="{00000000-0005-0000-0000-00004E000000}"/>
    <cellStyle name="Normal 8" xfId="56" xr:uid="{00000000-0005-0000-0000-00004F000000}"/>
    <cellStyle name="Normal 9" xfId="57" xr:uid="{00000000-0005-0000-0000-000050000000}"/>
    <cellStyle name="Note" xfId="38" builtinId="10" customBuiltin="1"/>
    <cellStyle name="Note 2" xfId="89" xr:uid="{00000000-0005-0000-0000-000052000000}"/>
    <cellStyle name="Note 2 3" xfId="90" xr:uid="{00000000-0005-0000-0000-000053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4"/>
  <sheetViews>
    <sheetView tabSelected="1" zoomScale="55" zoomScaleNormal="55" workbookViewId="0">
      <pane ySplit="1" topLeftCell="A422" activePane="bottomLeft" state="frozen"/>
      <selection pane="bottomLeft" activeCell="B433" sqref="B433"/>
    </sheetView>
  </sheetViews>
  <sheetFormatPr defaultColWidth="45.77734375" defaultRowHeight="15.75" customHeight="1"/>
  <cols>
    <col min="1" max="1" width="7.88671875" style="1" customWidth="1"/>
    <col min="2" max="2" width="19.77734375" style="5" customWidth="1"/>
    <col min="3" max="3" width="19" style="5" customWidth="1"/>
    <col min="4" max="4" width="56.109375" style="5" customWidth="1"/>
    <col min="5" max="5" width="33.21875" style="5" customWidth="1"/>
    <col min="6" max="6" width="37.77734375" style="5" bestFit="1" customWidth="1"/>
    <col min="7" max="7" width="7.5546875" style="5" customWidth="1"/>
    <col min="8" max="8" width="68.6640625" style="5" customWidth="1"/>
    <col min="9" max="9" width="10.77734375" style="6" customWidth="1"/>
    <col min="10" max="10" width="7.5546875" style="7" bestFit="1" customWidth="1"/>
    <col min="11" max="11" width="18" style="8" customWidth="1"/>
    <col min="12" max="12" width="10.21875" style="6" bestFit="1" customWidth="1"/>
    <col min="13" max="16384" width="45.77734375" style="2"/>
  </cols>
  <sheetData>
    <row r="1" spans="1:12" s="4" customFormat="1" ht="15" customHeight="1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3" t="s">
        <v>9</v>
      </c>
      <c r="K1" s="14" t="s">
        <v>10</v>
      </c>
      <c r="L1" s="12" t="s">
        <v>11</v>
      </c>
    </row>
    <row r="2" spans="1:12" s="3" customFormat="1">
      <c r="A2" s="15">
        <v>1</v>
      </c>
      <c r="B2" s="16"/>
      <c r="C2" s="16"/>
      <c r="D2" s="16" t="s">
        <v>12</v>
      </c>
      <c r="E2" s="16"/>
      <c r="F2" s="16"/>
      <c r="G2" s="16"/>
      <c r="H2" s="17" t="s">
        <v>13</v>
      </c>
      <c r="I2" s="18">
        <v>1</v>
      </c>
      <c r="J2" s="18" t="s">
        <v>14</v>
      </c>
      <c r="K2" s="19">
        <v>0</v>
      </c>
      <c r="L2" s="20">
        <f t="shared" ref="L2:L9" si="0">(K2*I2)+I2</f>
        <v>1</v>
      </c>
    </row>
    <row r="3" spans="1:12" s="3" customFormat="1">
      <c r="A3" s="15">
        <v>2</v>
      </c>
      <c r="B3" s="16"/>
      <c r="C3" s="16"/>
      <c r="D3" s="16" t="s">
        <v>12</v>
      </c>
      <c r="E3" s="16"/>
      <c r="F3" s="16"/>
      <c r="G3" s="16"/>
      <c r="H3" s="17" t="s">
        <v>15</v>
      </c>
      <c r="I3" s="18">
        <v>1</v>
      </c>
      <c r="J3" s="18" t="s">
        <v>14</v>
      </c>
      <c r="K3" s="19">
        <v>0</v>
      </c>
      <c r="L3" s="20">
        <f t="shared" si="0"/>
        <v>1</v>
      </c>
    </row>
    <row r="4" spans="1:12" s="3" customFormat="1">
      <c r="A4" s="15">
        <v>3</v>
      </c>
      <c r="B4" s="16"/>
      <c r="C4" s="16"/>
      <c r="D4" s="16" t="s">
        <v>12</v>
      </c>
      <c r="E4" s="16"/>
      <c r="F4" s="16"/>
      <c r="G4" s="16"/>
      <c r="H4" s="17" t="s">
        <v>16</v>
      </c>
      <c r="I4" s="18">
        <v>1</v>
      </c>
      <c r="J4" s="18" t="s">
        <v>14</v>
      </c>
      <c r="K4" s="19">
        <v>0</v>
      </c>
      <c r="L4" s="20">
        <f t="shared" si="0"/>
        <v>1</v>
      </c>
    </row>
    <row r="5" spans="1:12" s="3" customFormat="1">
      <c r="A5" s="15">
        <v>4</v>
      </c>
      <c r="B5" s="16"/>
      <c r="C5" s="16"/>
      <c r="D5" s="16" t="s">
        <v>12</v>
      </c>
      <c r="E5" s="16"/>
      <c r="F5" s="16"/>
      <c r="G5" s="16"/>
      <c r="H5" s="17" t="s">
        <v>17</v>
      </c>
      <c r="I5" s="18">
        <v>1</v>
      </c>
      <c r="J5" s="18" t="s">
        <v>14</v>
      </c>
      <c r="K5" s="19">
        <v>0</v>
      </c>
      <c r="L5" s="20">
        <f t="shared" si="0"/>
        <v>1</v>
      </c>
    </row>
    <row r="6" spans="1:12" s="3" customFormat="1">
      <c r="A6" s="15">
        <v>5</v>
      </c>
      <c r="B6" s="16"/>
      <c r="C6" s="16"/>
      <c r="D6" s="16" t="s">
        <v>12</v>
      </c>
      <c r="E6" s="16"/>
      <c r="F6" s="16"/>
      <c r="G6" s="16"/>
      <c r="H6" s="17" t="s">
        <v>18</v>
      </c>
      <c r="I6" s="18">
        <v>1</v>
      </c>
      <c r="J6" s="18" t="s">
        <v>14</v>
      </c>
      <c r="K6" s="19">
        <v>0</v>
      </c>
      <c r="L6" s="20">
        <f t="shared" si="0"/>
        <v>1</v>
      </c>
    </row>
    <row r="7" spans="1:12" s="3" customFormat="1">
      <c r="A7" s="15">
        <v>6</v>
      </c>
      <c r="B7" s="16"/>
      <c r="C7" s="16"/>
      <c r="D7" s="16" t="s">
        <v>12</v>
      </c>
      <c r="E7" s="16"/>
      <c r="F7" s="16"/>
      <c r="G7" s="16"/>
      <c r="H7" s="17" t="s">
        <v>19</v>
      </c>
      <c r="I7" s="18">
        <v>1</v>
      </c>
      <c r="J7" s="18" t="s">
        <v>14</v>
      </c>
      <c r="K7" s="19">
        <v>0</v>
      </c>
      <c r="L7" s="20">
        <f t="shared" si="0"/>
        <v>1</v>
      </c>
    </row>
    <row r="8" spans="1:12" s="3" customFormat="1">
      <c r="A8" s="15">
        <v>7</v>
      </c>
      <c r="B8" s="16"/>
      <c r="C8" s="16"/>
      <c r="D8" s="16" t="s">
        <v>12</v>
      </c>
      <c r="E8" s="16"/>
      <c r="F8" s="16"/>
      <c r="G8" s="16"/>
      <c r="H8" s="17" t="s">
        <v>20</v>
      </c>
      <c r="I8" s="18">
        <v>1</v>
      </c>
      <c r="J8" s="18" t="s">
        <v>14</v>
      </c>
      <c r="K8" s="19">
        <v>0</v>
      </c>
      <c r="L8" s="20">
        <f t="shared" si="0"/>
        <v>1</v>
      </c>
    </row>
    <row r="9" spans="1:12" s="3" customFormat="1">
      <c r="A9" s="15">
        <v>8</v>
      </c>
      <c r="B9" s="16"/>
      <c r="C9" s="16"/>
      <c r="D9" s="16" t="s">
        <v>12</v>
      </c>
      <c r="E9" s="16"/>
      <c r="F9" s="16"/>
      <c r="G9" s="16"/>
      <c r="H9" s="17" t="s">
        <v>21</v>
      </c>
      <c r="I9" s="18">
        <v>1</v>
      </c>
      <c r="J9" s="18" t="s">
        <v>22</v>
      </c>
      <c r="K9" s="19">
        <v>0</v>
      </c>
      <c r="L9" s="20">
        <f t="shared" si="0"/>
        <v>1</v>
      </c>
    </row>
    <row r="10" spans="1:12" s="3" customFormat="1">
      <c r="A10" s="15">
        <v>9</v>
      </c>
      <c r="B10" s="16" t="s">
        <v>23</v>
      </c>
      <c r="C10" s="16" t="s">
        <v>24</v>
      </c>
      <c r="D10" s="16" t="s">
        <v>25</v>
      </c>
      <c r="E10" s="16" t="s">
        <v>26</v>
      </c>
      <c r="F10" s="16"/>
      <c r="G10" s="16"/>
      <c r="H10" s="23" t="s">
        <v>27</v>
      </c>
      <c r="I10" s="22">
        <f>(2.85*282)/27</f>
        <v>29.766666666666669</v>
      </c>
      <c r="J10" s="18" t="s">
        <v>28</v>
      </c>
      <c r="K10" s="19">
        <v>0.05</v>
      </c>
      <c r="L10" s="20">
        <f t="shared" ref="L10:L15" si="1">(K10*I10)+I10</f>
        <v>31.255000000000003</v>
      </c>
    </row>
    <row r="11" spans="1:12" s="3" customFormat="1" ht="16.5">
      <c r="A11" s="15">
        <v>10</v>
      </c>
      <c r="B11" s="16" t="s">
        <v>23</v>
      </c>
      <c r="C11" s="16" t="s">
        <v>24</v>
      </c>
      <c r="D11" s="16" t="s">
        <v>25</v>
      </c>
      <c r="E11" s="16" t="s">
        <v>26</v>
      </c>
      <c r="F11" s="16"/>
      <c r="G11" s="24"/>
      <c r="H11" s="21" t="s">
        <v>29</v>
      </c>
      <c r="I11" s="22">
        <f>(4*282*1.502)</f>
        <v>1694.2560000000001</v>
      </c>
      <c r="J11" s="18" t="s">
        <v>30</v>
      </c>
      <c r="K11" s="19">
        <v>0.05</v>
      </c>
      <c r="L11" s="20">
        <f t="shared" si="1"/>
        <v>1778.9688000000001</v>
      </c>
    </row>
    <row r="12" spans="1:12" s="3" customFormat="1" ht="16.5">
      <c r="A12" s="15">
        <v>11</v>
      </c>
      <c r="B12" s="16" t="s">
        <v>23</v>
      </c>
      <c r="C12" s="16" t="s">
        <v>24</v>
      </c>
      <c r="D12" s="16" t="s">
        <v>25</v>
      </c>
      <c r="E12" s="16" t="s">
        <v>26</v>
      </c>
      <c r="F12" s="16"/>
      <c r="G12" s="24"/>
      <c r="H12" s="21" t="s">
        <v>31</v>
      </c>
      <c r="I12" s="22">
        <f>(282/2)*5*0.376</f>
        <v>265.08</v>
      </c>
      <c r="J12" s="18" t="s">
        <v>30</v>
      </c>
      <c r="K12" s="19">
        <v>0.05</v>
      </c>
      <c r="L12" s="20">
        <f t="shared" si="1"/>
        <v>278.334</v>
      </c>
    </row>
    <row r="13" spans="1:12" s="3" customFormat="1" ht="16.5">
      <c r="A13" s="15">
        <v>12</v>
      </c>
      <c r="B13" s="16" t="s">
        <v>23</v>
      </c>
      <c r="C13" s="16" t="s">
        <v>24</v>
      </c>
      <c r="D13" s="16" t="s">
        <v>25</v>
      </c>
      <c r="E13" s="16" t="s">
        <v>26</v>
      </c>
      <c r="F13" s="16"/>
      <c r="G13" s="24"/>
      <c r="H13" s="21" t="s">
        <v>32</v>
      </c>
      <c r="I13" s="22">
        <f>(2.5*282*2)</f>
        <v>1410</v>
      </c>
      <c r="J13" s="18" t="s">
        <v>22</v>
      </c>
      <c r="K13" s="19">
        <v>0.05</v>
      </c>
      <c r="L13" s="20">
        <f t="shared" si="1"/>
        <v>1480.5</v>
      </c>
    </row>
    <row r="14" spans="1:12" s="3" customFormat="1" ht="16.5">
      <c r="A14" s="15">
        <v>13</v>
      </c>
      <c r="B14" s="16" t="s">
        <v>23</v>
      </c>
      <c r="C14" s="16" t="s">
        <v>24</v>
      </c>
      <c r="D14" s="16" t="s">
        <v>25</v>
      </c>
      <c r="E14" s="16" t="s">
        <v>26</v>
      </c>
      <c r="F14" s="16"/>
      <c r="G14" s="24"/>
      <c r="H14" s="21" t="s">
        <v>33</v>
      </c>
      <c r="I14" s="22">
        <f>(2.16*2.16*282)/27</f>
        <v>48.729599999999998</v>
      </c>
      <c r="J14" s="18" t="s">
        <v>28</v>
      </c>
      <c r="K14" s="19">
        <v>0.05</v>
      </c>
      <c r="L14" s="20">
        <f t="shared" si="1"/>
        <v>51.166080000000001</v>
      </c>
    </row>
    <row r="15" spans="1:12" s="3" customFormat="1" ht="16.5">
      <c r="A15" s="15">
        <v>14</v>
      </c>
      <c r="B15" s="16" t="s">
        <v>23</v>
      </c>
      <c r="C15" s="16" t="s">
        <v>24</v>
      </c>
      <c r="D15" s="16" t="s">
        <v>25</v>
      </c>
      <c r="E15" s="16" t="s">
        <v>26</v>
      </c>
      <c r="F15" s="16"/>
      <c r="G15" s="24"/>
      <c r="H15" s="21" t="s">
        <v>34</v>
      </c>
      <c r="I15" s="22">
        <f>49-30</f>
        <v>19</v>
      </c>
      <c r="J15" s="18" t="s">
        <v>28</v>
      </c>
      <c r="K15" s="19">
        <v>0.05</v>
      </c>
      <c r="L15" s="20">
        <f t="shared" si="1"/>
        <v>19.95</v>
      </c>
    </row>
    <row r="16" spans="1:12" s="3" customFormat="1">
      <c r="A16" s="15">
        <v>15</v>
      </c>
      <c r="B16" s="16" t="s">
        <v>23</v>
      </c>
      <c r="C16" s="16" t="s">
        <v>35</v>
      </c>
      <c r="D16" s="16" t="s">
        <v>25</v>
      </c>
      <c r="E16" s="16" t="s">
        <v>26</v>
      </c>
      <c r="F16" s="16"/>
      <c r="G16" s="16"/>
      <c r="H16" s="16" t="s">
        <v>36</v>
      </c>
      <c r="I16" s="22"/>
      <c r="J16" s="18"/>
      <c r="K16" s="19"/>
      <c r="L16" s="20"/>
    </row>
    <row r="17" spans="1:12" s="3" customFormat="1" ht="16.5">
      <c r="A17" s="15">
        <v>16</v>
      </c>
      <c r="B17" s="16" t="s">
        <v>23</v>
      </c>
      <c r="C17" s="16" t="s">
        <v>35</v>
      </c>
      <c r="D17" s="16" t="s">
        <v>25</v>
      </c>
      <c r="E17" s="16" t="s">
        <v>26</v>
      </c>
      <c r="F17" s="16"/>
      <c r="G17" s="16"/>
      <c r="H17" s="21" t="s">
        <v>29</v>
      </c>
      <c r="I17" s="22">
        <f>(4*104*1.502)</f>
        <v>624.83199999999999</v>
      </c>
      <c r="J17" s="18" t="s">
        <v>30</v>
      </c>
      <c r="K17" s="19">
        <v>0.05</v>
      </c>
      <c r="L17" s="20">
        <f t="shared" ref="L17:L21" si="2">(K17*I17)+I17</f>
        <v>656.07359999999994</v>
      </c>
    </row>
    <row r="18" spans="1:12" s="3" customFormat="1" ht="16.5">
      <c r="A18" s="15">
        <v>17</v>
      </c>
      <c r="B18" s="16" t="s">
        <v>23</v>
      </c>
      <c r="C18" s="16" t="s">
        <v>35</v>
      </c>
      <c r="D18" s="16" t="s">
        <v>25</v>
      </c>
      <c r="E18" s="16" t="s">
        <v>26</v>
      </c>
      <c r="F18" s="16"/>
      <c r="G18" s="16"/>
      <c r="H18" s="21" t="s">
        <v>31</v>
      </c>
      <c r="I18" s="22">
        <f>(104/2)*5*0.376</f>
        <v>97.76</v>
      </c>
      <c r="J18" s="18" t="s">
        <v>30</v>
      </c>
      <c r="K18" s="19">
        <v>0.05</v>
      </c>
      <c r="L18" s="20">
        <f t="shared" si="2"/>
        <v>102.64800000000001</v>
      </c>
    </row>
    <row r="19" spans="1:12" s="3" customFormat="1" ht="16.5">
      <c r="A19" s="15">
        <v>18</v>
      </c>
      <c r="B19" s="16" t="s">
        <v>23</v>
      </c>
      <c r="C19" s="16" t="s">
        <v>35</v>
      </c>
      <c r="D19" s="16" t="s">
        <v>25</v>
      </c>
      <c r="E19" s="16" t="s">
        <v>26</v>
      </c>
      <c r="F19" s="16"/>
      <c r="G19" s="16"/>
      <c r="H19" s="21" t="s">
        <v>32</v>
      </c>
      <c r="I19" s="22">
        <f>(2.5*104*2)</f>
        <v>520</v>
      </c>
      <c r="J19" s="18" t="s">
        <v>22</v>
      </c>
      <c r="K19" s="19">
        <v>0.05</v>
      </c>
      <c r="L19" s="20">
        <f t="shared" si="2"/>
        <v>546</v>
      </c>
    </row>
    <row r="20" spans="1:12" s="3" customFormat="1" ht="16.5">
      <c r="A20" s="15">
        <v>19</v>
      </c>
      <c r="B20" s="16" t="s">
        <v>23</v>
      </c>
      <c r="C20" s="16" t="s">
        <v>35</v>
      </c>
      <c r="D20" s="16" t="s">
        <v>25</v>
      </c>
      <c r="E20" s="16" t="s">
        <v>26</v>
      </c>
      <c r="F20" s="16"/>
      <c r="G20" s="16"/>
      <c r="H20" s="21" t="s">
        <v>33</v>
      </c>
      <c r="I20" s="22">
        <f>(2.16*2.16*104)/27</f>
        <v>17.971200000000003</v>
      </c>
      <c r="J20" s="18" t="s">
        <v>28</v>
      </c>
      <c r="K20" s="19">
        <v>0.05</v>
      </c>
      <c r="L20" s="20">
        <f t="shared" si="2"/>
        <v>18.869760000000003</v>
      </c>
    </row>
    <row r="21" spans="1:12" s="3" customFormat="1" ht="16.5">
      <c r="A21" s="15">
        <v>20</v>
      </c>
      <c r="B21" s="16" t="s">
        <v>23</v>
      </c>
      <c r="C21" s="16" t="s">
        <v>35</v>
      </c>
      <c r="D21" s="16" t="s">
        <v>25</v>
      </c>
      <c r="E21" s="16" t="s">
        <v>26</v>
      </c>
      <c r="F21" s="16"/>
      <c r="G21" s="16"/>
      <c r="H21" s="21" t="s">
        <v>34</v>
      </c>
      <c r="I21" s="22">
        <f>18-12</f>
        <v>6</v>
      </c>
      <c r="J21" s="18" t="s">
        <v>28</v>
      </c>
      <c r="K21" s="19">
        <v>0.05</v>
      </c>
      <c r="L21" s="20">
        <f t="shared" si="2"/>
        <v>6.3</v>
      </c>
    </row>
    <row r="22" spans="1:12" s="3" customFormat="1" ht="16.5">
      <c r="A22" s="15">
        <v>21</v>
      </c>
      <c r="B22" s="16" t="s">
        <v>23</v>
      </c>
      <c r="C22" s="16" t="s">
        <v>37</v>
      </c>
      <c r="D22" s="16" t="s">
        <v>25</v>
      </c>
      <c r="E22" s="16" t="s">
        <v>26</v>
      </c>
      <c r="F22" s="16"/>
      <c r="G22" s="16"/>
      <c r="H22" s="25" t="s">
        <v>38</v>
      </c>
      <c r="I22" s="22">
        <f>(3.28*37)/27</f>
        <v>4.4948148148148146</v>
      </c>
      <c r="J22" s="18" t="s">
        <v>28</v>
      </c>
      <c r="K22" s="19">
        <v>0.05</v>
      </c>
      <c r="L22" s="20">
        <f t="shared" ref="L22" si="3">(K22*I22)+I22</f>
        <v>4.7195555555555551</v>
      </c>
    </row>
    <row r="23" spans="1:12" s="3" customFormat="1" ht="16.5">
      <c r="A23" s="15">
        <v>22</v>
      </c>
      <c r="B23" s="16" t="s">
        <v>23</v>
      </c>
      <c r="C23" s="16" t="s">
        <v>37</v>
      </c>
      <c r="D23" s="16" t="s">
        <v>25</v>
      </c>
      <c r="E23" s="16" t="s">
        <v>26</v>
      </c>
      <c r="F23" s="16"/>
      <c r="G23" s="16"/>
      <c r="H23" s="21" t="s">
        <v>29</v>
      </c>
      <c r="I23" s="22">
        <f>(4*37*1.502)</f>
        <v>222.29599999999999</v>
      </c>
      <c r="J23" s="18" t="s">
        <v>30</v>
      </c>
      <c r="K23" s="19">
        <v>0.05</v>
      </c>
      <c r="L23" s="20">
        <f t="shared" ref="L23:L27" si="4">(K23*I23)+I23</f>
        <v>233.41079999999999</v>
      </c>
    </row>
    <row r="24" spans="1:12" s="3" customFormat="1" ht="16.5">
      <c r="A24" s="15">
        <v>23</v>
      </c>
      <c r="B24" s="16" t="s">
        <v>23</v>
      </c>
      <c r="C24" s="16" t="s">
        <v>37</v>
      </c>
      <c r="D24" s="16" t="s">
        <v>25</v>
      </c>
      <c r="E24" s="16" t="s">
        <v>26</v>
      </c>
      <c r="F24" s="16"/>
      <c r="G24" s="16"/>
      <c r="H24" s="21" t="s">
        <v>31</v>
      </c>
      <c r="I24" s="22">
        <f>(37/2)*5*0.376</f>
        <v>34.78</v>
      </c>
      <c r="J24" s="18" t="s">
        <v>30</v>
      </c>
      <c r="K24" s="19">
        <v>0.05</v>
      </c>
      <c r="L24" s="20">
        <f t="shared" si="4"/>
        <v>36.518999999999998</v>
      </c>
    </row>
    <row r="25" spans="1:12" s="3" customFormat="1" ht="16.5">
      <c r="A25" s="15">
        <v>24</v>
      </c>
      <c r="B25" s="16" t="s">
        <v>23</v>
      </c>
      <c r="C25" s="16" t="s">
        <v>37</v>
      </c>
      <c r="D25" s="16" t="s">
        <v>25</v>
      </c>
      <c r="E25" s="16" t="s">
        <v>26</v>
      </c>
      <c r="F25" s="16"/>
      <c r="G25" s="16"/>
      <c r="H25" s="21" t="s">
        <v>32</v>
      </c>
      <c r="I25" s="22">
        <f>(2.5*37*2)</f>
        <v>185</v>
      </c>
      <c r="J25" s="18" t="s">
        <v>22</v>
      </c>
      <c r="K25" s="19">
        <v>0.05</v>
      </c>
      <c r="L25" s="20">
        <f t="shared" si="4"/>
        <v>194.25</v>
      </c>
    </row>
    <row r="26" spans="1:12" s="3" customFormat="1" ht="16.5">
      <c r="A26" s="15">
        <v>25</v>
      </c>
      <c r="B26" s="16" t="s">
        <v>23</v>
      </c>
      <c r="C26" s="16" t="s">
        <v>37</v>
      </c>
      <c r="D26" s="16" t="s">
        <v>25</v>
      </c>
      <c r="E26" s="16" t="s">
        <v>26</v>
      </c>
      <c r="F26" s="16"/>
      <c r="G26" s="16"/>
      <c r="H26" s="21" t="s">
        <v>33</v>
      </c>
      <c r="I26" s="22">
        <f>(2.16*2.16*37)/27</f>
        <v>6.3936000000000002</v>
      </c>
      <c r="J26" s="18" t="s">
        <v>28</v>
      </c>
      <c r="K26" s="19">
        <v>0.05</v>
      </c>
      <c r="L26" s="20">
        <f t="shared" si="4"/>
        <v>6.7132800000000001</v>
      </c>
    </row>
    <row r="27" spans="1:12" s="3" customFormat="1" ht="16.5">
      <c r="A27" s="15">
        <v>26</v>
      </c>
      <c r="B27" s="16" t="s">
        <v>23</v>
      </c>
      <c r="C27" s="16" t="s">
        <v>37</v>
      </c>
      <c r="D27" s="16" t="s">
        <v>25</v>
      </c>
      <c r="E27" s="16" t="s">
        <v>26</v>
      </c>
      <c r="F27" s="16"/>
      <c r="G27" s="26"/>
      <c r="H27" s="21" t="s">
        <v>34</v>
      </c>
      <c r="I27" s="22">
        <f>6-4</f>
        <v>2</v>
      </c>
      <c r="J27" s="18" t="s">
        <v>28</v>
      </c>
      <c r="K27" s="19">
        <v>0.05</v>
      </c>
      <c r="L27" s="20">
        <f t="shared" si="4"/>
        <v>2.1</v>
      </c>
    </row>
    <row r="28" spans="1:12" s="3" customFormat="1" ht="16.5">
      <c r="A28" s="15">
        <v>27</v>
      </c>
      <c r="B28" s="16" t="s">
        <v>23</v>
      </c>
      <c r="C28" s="16" t="s">
        <v>39</v>
      </c>
      <c r="D28" s="16" t="s">
        <v>25</v>
      </c>
      <c r="E28" s="16" t="s">
        <v>26</v>
      </c>
      <c r="F28" s="16"/>
      <c r="G28" s="16"/>
      <c r="H28" s="25" t="s">
        <v>40</v>
      </c>
      <c r="I28" s="22">
        <f>(2.74*78)/27</f>
        <v>7.9155555555555566</v>
      </c>
      <c r="J28" s="18" t="s">
        <v>28</v>
      </c>
      <c r="K28" s="19">
        <v>0.05</v>
      </c>
      <c r="L28" s="20">
        <f t="shared" ref="L28:L33" si="5">(K28*I28)+I28</f>
        <v>8.3113333333333337</v>
      </c>
    </row>
    <row r="29" spans="1:12" s="3" customFormat="1" ht="16.5">
      <c r="A29" s="15">
        <v>28</v>
      </c>
      <c r="B29" s="16" t="s">
        <v>23</v>
      </c>
      <c r="C29" s="16" t="s">
        <v>39</v>
      </c>
      <c r="D29" s="16" t="s">
        <v>25</v>
      </c>
      <c r="E29" s="16" t="s">
        <v>26</v>
      </c>
      <c r="F29" s="16"/>
      <c r="G29" s="16"/>
      <c r="H29" s="21" t="s">
        <v>29</v>
      </c>
      <c r="I29" s="22">
        <f>(4*78*1.502)</f>
        <v>468.62400000000002</v>
      </c>
      <c r="J29" s="18" t="s">
        <v>30</v>
      </c>
      <c r="K29" s="19">
        <v>0.05</v>
      </c>
      <c r="L29" s="20">
        <f t="shared" si="5"/>
        <v>492.05520000000001</v>
      </c>
    </row>
    <row r="30" spans="1:12" s="3" customFormat="1" ht="16.5">
      <c r="A30" s="15">
        <v>29</v>
      </c>
      <c r="B30" s="16" t="s">
        <v>23</v>
      </c>
      <c r="C30" s="16" t="s">
        <v>39</v>
      </c>
      <c r="D30" s="16" t="s">
        <v>25</v>
      </c>
      <c r="E30" s="16" t="s">
        <v>26</v>
      </c>
      <c r="F30" s="16"/>
      <c r="G30" s="16"/>
      <c r="H30" s="21" t="s">
        <v>31</v>
      </c>
      <c r="I30" s="22">
        <f>(78/2)*5*0.376</f>
        <v>73.319999999999993</v>
      </c>
      <c r="J30" s="18" t="s">
        <v>30</v>
      </c>
      <c r="K30" s="19">
        <v>0.05</v>
      </c>
      <c r="L30" s="20">
        <f t="shared" si="5"/>
        <v>76.98599999999999</v>
      </c>
    </row>
    <row r="31" spans="1:12" s="3" customFormat="1" ht="16.5">
      <c r="A31" s="15">
        <v>30</v>
      </c>
      <c r="B31" s="16" t="s">
        <v>23</v>
      </c>
      <c r="C31" s="16" t="s">
        <v>39</v>
      </c>
      <c r="D31" s="16" t="s">
        <v>25</v>
      </c>
      <c r="E31" s="16" t="s">
        <v>26</v>
      </c>
      <c r="F31" s="16"/>
      <c r="G31" s="16"/>
      <c r="H31" s="21" t="s">
        <v>32</v>
      </c>
      <c r="I31" s="22">
        <f>(2.5*78*2)</f>
        <v>390</v>
      </c>
      <c r="J31" s="18" t="s">
        <v>22</v>
      </c>
      <c r="K31" s="19">
        <v>0.05</v>
      </c>
      <c r="L31" s="20">
        <f t="shared" si="5"/>
        <v>409.5</v>
      </c>
    </row>
    <row r="32" spans="1:12" s="3" customFormat="1" ht="16.5">
      <c r="A32" s="15">
        <v>31</v>
      </c>
      <c r="B32" s="16" t="s">
        <v>23</v>
      </c>
      <c r="C32" s="16" t="s">
        <v>39</v>
      </c>
      <c r="D32" s="16" t="s">
        <v>25</v>
      </c>
      <c r="E32" s="16" t="s">
        <v>26</v>
      </c>
      <c r="F32" s="16"/>
      <c r="G32" s="16"/>
      <c r="H32" s="21" t="s">
        <v>33</v>
      </c>
      <c r="I32" s="22">
        <f>(2.16*2.16*78)/27</f>
        <v>13.478400000000001</v>
      </c>
      <c r="J32" s="18" t="s">
        <v>28</v>
      </c>
      <c r="K32" s="19">
        <v>0.05</v>
      </c>
      <c r="L32" s="20">
        <f t="shared" si="5"/>
        <v>14.152320000000001</v>
      </c>
    </row>
    <row r="33" spans="1:12" s="3" customFormat="1" ht="16.5">
      <c r="A33" s="15">
        <v>32</v>
      </c>
      <c r="B33" s="16" t="s">
        <v>23</v>
      </c>
      <c r="C33" s="16" t="s">
        <v>39</v>
      </c>
      <c r="D33" s="16" t="s">
        <v>25</v>
      </c>
      <c r="E33" s="16" t="s">
        <v>26</v>
      </c>
      <c r="F33" s="16"/>
      <c r="G33" s="16"/>
      <c r="H33" s="21" t="s">
        <v>34</v>
      </c>
      <c r="I33" s="22">
        <f>13-8</f>
        <v>5</v>
      </c>
      <c r="J33" s="18" t="s">
        <v>28</v>
      </c>
      <c r="K33" s="19">
        <v>0.05</v>
      </c>
      <c r="L33" s="20">
        <f t="shared" si="5"/>
        <v>5.25</v>
      </c>
    </row>
    <row r="34" spans="1:12" s="3" customFormat="1" hidden="1">
      <c r="A34" s="15"/>
      <c r="B34" s="16"/>
      <c r="C34" s="16" t="s">
        <v>39</v>
      </c>
      <c r="D34" s="16" t="s">
        <v>25</v>
      </c>
      <c r="E34" s="16"/>
      <c r="F34" s="16"/>
      <c r="G34" s="16"/>
      <c r="H34" s="16"/>
      <c r="I34" s="27"/>
      <c r="J34" s="28"/>
      <c r="K34" s="29"/>
      <c r="L34" s="27"/>
    </row>
    <row r="35" spans="1:12" s="3" customFormat="1" ht="16.5">
      <c r="A35" s="15">
        <v>33</v>
      </c>
      <c r="B35" s="16" t="s">
        <v>23</v>
      </c>
      <c r="C35" s="16" t="s">
        <v>41</v>
      </c>
      <c r="D35" s="16" t="s">
        <v>25</v>
      </c>
      <c r="E35" s="16" t="s">
        <v>42</v>
      </c>
      <c r="F35" s="16"/>
      <c r="G35" s="16"/>
      <c r="H35" s="25" t="s">
        <v>43</v>
      </c>
      <c r="I35" s="22">
        <f>(3*625)/27</f>
        <v>69.444444444444443</v>
      </c>
      <c r="J35" s="18" t="s">
        <v>28</v>
      </c>
      <c r="K35" s="19">
        <v>0.05</v>
      </c>
      <c r="L35" s="20">
        <f t="shared" ref="L35:L40" si="6">(K35*I35)+I35</f>
        <v>72.916666666666671</v>
      </c>
    </row>
    <row r="36" spans="1:12" s="3" customFormat="1" ht="16.5">
      <c r="A36" s="15">
        <v>34</v>
      </c>
      <c r="B36" s="16" t="s">
        <v>23</v>
      </c>
      <c r="C36" s="16" t="s">
        <v>41</v>
      </c>
      <c r="D36" s="16" t="s">
        <v>25</v>
      </c>
      <c r="E36" s="16" t="s">
        <v>42</v>
      </c>
      <c r="F36" s="16"/>
      <c r="G36" s="16"/>
      <c r="H36" s="21" t="s">
        <v>29</v>
      </c>
      <c r="I36" s="22">
        <f>(4*625*1.502)</f>
        <v>3755</v>
      </c>
      <c r="J36" s="18" t="s">
        <v>30</v>
      </c>
      <c r="K36" s="19">
        <v>0.05</v>
      </c>
      <c r="L36" s="20">
        <f t="shared" si="6"/>
        <v>3942.75</v>
      </c>
    </row>
    <row r="37" spans="1:12" s="3" customFormat="1" ht="16.5">
      <c r="A37" s="15">
        <v>35</v>
      </c>
      <c r="B37" s="16" t="s">
        <v>23</v>
      </c>
      <c r="C37" s="16" t="s">
        <v>41</v>
      </c>
      <c r="D37" s="16" t="s">
        <v>25</v>
      </c>
      <c r="E37" s="16" t="s">
        <v>42</v>
      </c>
      <c r="F37" s="16"/>
      <c r="G37" s="16"/>
      <c r="H37" s="21" t="s">
        <v>31</v>
      </c>
      <c r="I37" s="22">
        <f>(625/2)*5*0.376</f>
        <v>587.5</v>
      </c>
      <c r="J37" s="18" t="s">
        <v>30</v>
      </c>
      <c r="K37" s="19">
        <v>0.05</v>
      </c>
      <c r="L37" s="20">
        <f t="shared" si="6"/>
        <v>616.875</v>
      </c>
    </row>
    <row r="38" spans="1:12" s="3" customFormat="1" ht="16.5">
      <c r="A38" s="15">
        <v>36</v>
      </c>
      <c r="B38" s="16" t="s">
        <v>23</v>
      </c>
      <c r="C38" s="16" t="s">
        <v>41</v>
      </c>
      <c r="D38" s="16" t="s">
        <v>25</v>
      </c>
      <c r="E38" s="16" t="s">
        <v>42</v>
      </c>
      <c r="F38" s="16"/>
      <c r="G38" s="16"/>
      <c r="H38" s="21" t="s">
        <v>32</v>
      </c>
      <c r="I38" s="22">
        <f>(2.5*625*2)</f>
        <v>3125</v>
      </c>
      <c r="J38" s="18" t="s">
        <v>22</v>
      </c>
      <c r="K38" s="19">
        <v>0.05</v>
      </c>
      <c r="L38" s="20">
        <f t="shared" si="6"/>
        <v>3281.25</v>
      </c>
    </row>
    <row r="39" spans="1:12" s="3" customFormat="1" ht="16.5">
      <c r="A39" s="15">
        <v>37</v>
      </c>
      <c r="B39" s="16" t="s">
        <v>23</v>
      </c>
      <c r="C39" s="16" t="s">
        <v>41</v>
      </c>
      <c r="D39" s="16" t="s">
        <v>25</v>
      </c>
      <c r="E39" s="16" t="s">
        <v>42</v>
      </c>
      <c r="F39" s="30"/>
      <c r="G39" s="30"/>
      <c r="H39" s="21" t="s">
        <v>33</v>
      </c>
      <c r="I39" s="22">
        <f>(2.16*2.16*625)/27</f>
        <v>108.00000000000001</v>
      </c>
      <c r="J39" s="18" t="s">
        <v>28</v>
      </c>
      <c r="K39" s="19">
        <v>0.05</v>
      </c>
      <c r="L39" s="20">
        <f t="shared" si="6"/>
        <v>113.40000000000002</v>
      </c>
    </row>
    <row r="40" spans="1:12" s="3" customFormat="1" ht="16.5">
      <c r="A40" s="15">
        <v>38</v>
      </c>
      <c r="B40" s="16" t="s">
        <v>23</v>
      </c>
      <c r="C40" s="16" t="s">
        <v>41</v>
      </c>
      <c r="D40" s="16" t="s">
        <v>25</v>
      </c>
      <c r="E40" s="16" t="s">
        <v>42</v>
      </c>
      <c r="F40" s="30"/>
      <c r="G40" s="30"/>
      <c r="H40" s="21" t="s">
        <v>34</v>
      </c>
      <c r="I40" s="22">
        <f>108-69</f>
        <v>39</v>
      </c>
      <c r="J40" s="18" t="s">
        <v>28</v>
      </c>
      <c r="K40" s="19">
        <v>0.05</v>
      </c>
      <c r="L40" s="20">
        <f t="shared" si="6"/>
        <v>40.950000000000003</v>
      </c>
    </row>
    <row r="41" spans="1:12" s="3" customFormat="1" ht="16.5">
      <c r="A41" s="15">
        <v>39</v>
      </c>
      <c r="B41" s="16" t="s">
        <v>23</v>
      </c>
      <c r="C41" s="30" t="s">
        <v>44</v>
      </c>
      <c r="D41" s="16" t="s">
        <v>25</v>
      </c>
      <c r="E41" s="16" t="s">
        <v>42</v>
      </c>
      <c r="F41" s="16"/>
      <c r="G41" s="16"/>
      <c r="H41" s="23" t="s">
        <v>45</v>
      </c>
      <c r="I41" s="22">
        <f>(5.7*23)/27</f>
        <v>4.8555555555555552</v>
      </c>
      <c r="J41" s="18" t="s">
        <v>28</v>
      </c>
      <c r="K41" s="19">
        <v>0.05</v>
      </c>
      <c r="L41" s="20">
        <f t="shared" ref="L41:L46" si="7">(K41*I41)+I41</f>
        <v>5.0983333333333327</v>
      </c>
    </row>
    <row r="42" spans="1:12" s="3" customFormat="1" ht="16.5">
      <c r="A42" s="15">
        <v>40</v>
      </c>
      <c r="B42" s="16" t="s">
        <v>23</v>
      </c>
      <c r="C42" s="30" t="s">
        <v>44</v>
      </c>
      <c r="D42" s="16" t="s">
        <v>25</v>
      </c>
      <c r="E42" s="16" t="s">
        <v>42</v>
      </c>
      <c r="F42" s="16"/>
      <c r="G42" s="16"/>
      <c r="H42" s="21" t="s">
        <v>46</v>
      </c>
      <c r="I42" s="22">
        <f>(8*23*1.502)</f>
        <v>276.36799999999999</v>
      </c>
      <c r="J42" s="18" t="s">
        <v>30</v>
      </c>
      <c r="K42" s="19">
        <v>0.05</v>
      </c>
      <c r="L42" s="20">
        <f t="shared" si="7"/>
        <v>290.18639999999999</v>
      </c>
    </row>
    <row r="43" spans="1:12" s="3" customFormat="1" ht="16.5">
      <c r="A43" s="15">
        <v>41</v>
      </c>
      <c r="B43" s="16" t="s">
        <v>23</v>
      </c>
      <c r="C43" s="30" t="s">
        <v>44</v>
      </c>
      <c r="D43" s="16" t="s">
        <v>25</v>
      </c>
      <c r="E43" s="16" t="s">
        <v>42</v>
      </c>
      <c r="F43" s="16"/>
      <c r="G43" s="16"/>
      <c r="H43" s="21" t="s">
        <v>31</v>
      </c>
      <c r="I43" s="22">
        <f>(23/2)*7.2*0.376</f>
        <v>31.1328</v>
      </c>
      <c r="J43" s="18" t="s">
        <v>30</v>
      </c>
      <c r="K43" s="19">
        <v>0.05</v>
      </c>
      <c r="L43" s="20">
        <f t="shared" si="7"/>
        <v>32.689439999999998</v>
      </c>
    </row>
    <row r="44" spans="1:12" s="3" customFormat="1" ht="16.5">
      <c r="A44" s="15">
        <v>42</v>
      </c>
      <c r="B44" s="16" t="s">
        <v>23</v>
      </c>
      <c r="C44" s="30" t="s">
        <v>44</v>
      </c>
      <c r="D44" s="16" t="s">
        <v>25</v>
      </c>
      <c r="E44" s="16" t="s">
        <v>42</v>
      </c>
      <c r="F44" s="16"/>
      <c r="G44" s="16"/>
      <c r="H44" s="21" t="s">
        <v>32</v>
      </c>
      <c r="I44" s="22">
        <f>(2.5*23*2)</f>
        <v>115</v>
      </c>
      <c r="J44" s="18" t="s">
        <v>22</v>
      </c>
      <c r="K44" s="19">
        <v>0.05</v>
      </c>
      <c r="L44" s="20">
        <f t="shared" si="7"/>
        <v>120.75</v>
      </c>
    </row>
    <row r="45" spans="1:12" s="3" customFormat="1" ht="16.5">
      <c r="A45" s="15">
        <v>43</v>
      </c>
      <c r="B45" s="16" t="s">
        <v>23</v>
      </c>
      <c r="C45" s="30" t="s">
        <v>44</v>
      </c>
      <c r="D45" s="16" t="s">
        <v>25</v>
      </c>
      <c r="E45" s="16" t="s">
        <v>42</v>
      </c>
      <c r="F45" s="16"/>
      <c r="G45" s="16"/>
      <c r="H45" s="21" t="s">
        <v>33</v>
      </c>
      <c r="I45" s="22">
        <f>(3.16*2.16*23)/27</f>
        <v>5.8144000000000009</v>
      </c>
      <c r="J45" s="18" t="s">
        <v>28</v>
      </c>
      <c r="K45" s="19">
        <v>0.05</v>
      </c>
      <c r="L45" s="20">
        <f t="shared" si="7"/>
        <v>6.1051200000000012</v>
      </c>
    </row>
    <row r="46" spans="1:12" s="3" customFormat="1" ht="16.5">
      <c r="A46" s="15">
        <v>44</v>
      </c>
      <c r="B46" s="16" t="s">
        <v>23</v>
      </c>
      <c r="C46" s="30" t="s">
        <v>44</v>
      </c>
      <c r="D46" s="16" t="s">
        <v>25</v>
      </c>
      <c r="E46" s="16" t="s">
        <v>42</v>
      </c>
      <c r="F46" s="16"/>
      <c r="G46" s="16"/>
      <c r="H46" s="21" t="s">
        <v>34</v>
      </c>
      <c r="I46" s="22">
        <f>6-5</f>
        <v>1</v>
      </c>
      <c r="J46" s="18" t="s">
        <v>28</v>
      </c>
      <c r="K46" s="19">
        <v>0.05</v>
      </c>
      <c r="L46" s="20">
        <f t="shared" si="7"/>
        <v>1.05</v>
      </c>
    </row>
    <row r="47" spans="1:12" s="3" customFormat="1" ht="16.5">
      <c r="A47" s="15">
        <v>45</v>
      </c>
      <c r="B47" s="16" t="s">
        <v>23</v>
      </c>
      <c r="C47" s="30" t="s">
        <v>47</v>
      </c>
      <c r="D47" s="16" t="s">
        <v>25</v>
      </c>
      <c r="E47" s="16" t="s">
        <v>42</v>
      </c>
      <c r="F47" s="16"/>
      <c r="G47" s="16"/>
      <c r="H47" s="23" t="s">
        <v>48</v>
      </c>
      <c r="I47" s="22">
        <f>(3*2.5*8)/27</f>
        <v>2.2222222222222223</v>
      </c>
      <c r="J47" s="18" t="s">
        <v>28</v>
      </c>
      <c r="K47" s="19">
        <v>0.05</v>
      </c>
      <c r="L47" s="20">
        <f t="shared" ref="L47:L52" si="8">(K47*I47)+I47</f>
        <v>2.3333333333333335</v>
      </c>
    </row>
    <row r="48" spans="1:12" s="3" customFormat="1" ht="16.5">
      <c r="A48" s="15">
        <v>46</v>
      </c>
      <c r="B48" s="16" t="s">
        <v>23</v>
      </c>
      <c r="C48" s="30" t="s">
        <v>47</v>
      </c>
      <c r="D48" s="16" t="s">
        <v>25</v>
      </c>
      <c r="E48" s="16" t="s">
        <v>42</v>
      </c>
      <c r="F48" s="16"/>
      <c r="G48" s="16"/>
      <c r="H48" s="21" t="s">
        <v>46</v>
      </c>
      <c r="I48" s="22">
        <f>(8*8.2*1.502)</f>
        <v>98.531199999999998</v>
      </c>
      <c r="J48" s="18" t="s">
        <v>30</v>
      </c>
      <c r="K48" s="19">
        <v>0.05</v>
      </c>
      <c r="L48" s="20">
        <f t="shared" si="8"/>
        <v>103.45775999999999</v>
      </c>
    </row>
    <row r="49" spans="1:12" s="3" customFormat="1" ht="16.5">
      <c r="A49" s="15">
        <v>47</v>
      </c>
      <c r="B49" s="16" t="s">
        <v>23</v>
      </c>
      <c r="C49" s="30" t="s">
        <v>47</v>
      </c>
      <c r="D49" s="16" t="s">
        <v>25</v>
      </c>
      <c r="E49" s="16" t="s">
        <v>42</v>
      </c>
      <c r="F49" s="16"/>
      <c r="G49" s="16"/>
      <c r="H49" s="21" t="s">
        <v>31</v>
      </c>
      <c r="I49" s="22">
        <f>(8/2)*7.2*0.376</f>
        <v>10.828800000000001</v>
      </c>
      <c r="J49" s="18" t="s">
        <v>30</v>
      </c>
      <c r="K49" s="19">
        <v>0.05</v>
      </c>
      <c r="L49" s="20">
        <f t="shared" si="8"/>
        <v>11.370240000000001</v>
      </c>
    </row>
    <row r="50" spans="1:12" s="3" customFormat="1" ht="16.5">
      <c r="A50" s="15">
        <v>48</v>
      </c>
      <c r="B50" s="16" t="s">
        <v>23</v>
      </c>
      <c r="C50" s="30" t="s">
        <v>47</v>
      </c>
      <c r="D50" s="16" t="s">
        <v>25</v>
      </c>
      <c r="E50" s="16" t="s">
        <v>42</v>
      </c>
      <c r="F50" s="16"/>
      <c r="G50" s="16"/>
      <c r="H50" s="21" t="s">
        <v>32</v>
      </c>
      <c r="I50" s="22">
        <f>(2.5*8*2)</f>
        <v>40</v>
      </c>
      <c r="J50" s="18" t="s">
        <v>22</v>
      </c>
      <c r="K50" s="19">
        <v>0.05</v>
      </c>
      <c r="L50" s="20">
        <f t="shared" si="8"/>
        <v>42</v>
      </c>
    </row>
    <row r="51" spans="1:12" s="3" customFormat="1" ht="16.5">
      <c r="A51" s="15">
        <v>49</v>
      </c>
      <c r="B51" s="16" t="s">
        <v>23</v>
      </c>
      <c r="C51" s="30" t="s">
        <v>47</v>
      </c>
      <c r="D51" s="16" t="s">
        <v>25</v>
      </c>
      <c r="E51" s="16" t="s">
        <v>42</v>
      </c>
      <c r="F51" s="16"/>
      <c r="G51" s="16"/>
      <c r="H51" s="21" t="s">
        <v>33</v>
      </c>
      <c r="I51" s="22">
        <f>(4*2.16*8)/27</f>
        <v>2.56</v>
      </c>
      <c r="J51" s="18" t="s">
        <v>28</v>
      </c>
      <c r="K51" s="19">
        <v>0.05</v>
      </c>
      <c r="L51" s="20">
        <f t="shared" si="8"/>
        <v>2.6880000000000002</v>
      </c>
    </row>
    <row r="52" spans="1:12" s="3" customFormat="1" ht="16.5">
      <c r="A52" s="15">
        <v>50</v>
      </c>
      <c r="B52" s="16" t="s">
        <v>23</v>
      </c>
      <c r="C52" s="30" t="s">
        <v>47</v>
      </c>
      <c r="D52" s="16" t="s">
        <v>25</v>
      </c>
      <c r="E52" s="16" t="s">
        <v>42</v>
      </c>
      <c r="F52" s="16"/>
      <c r="G52" s="16"/>
      <c r="H52" s="21" t="s">
        <v>34</v>
      </c>
      <c r="I52" s="22">
        <f>3-2</f>
        <v>1</v>
      </c>
      <c r="J52" s="18" t="s">
        <v>28</v>
      </c>
      <c r="K52" s="19">
        <v>0.05</v>
      </c>
      <c r="L52" s="20">
        <f t="shared" si="8"/>
        <v>1.05</v>
      </c>
    </row>
    <row r="53" spans="1:12" s="3" customFormat="1" hidden="1">
      <c r="A53" s="15"/>
      <c r="B53" s="16" t="s">
        <v>23</v>
      </c>
      <c r="C53" s="30"/>
      <c r="D53" s="16" t="s">
        <v>25</v>
      </c>
      <c r="E53" s="30"/>
      <c r="F53" s="16"/>
      <c r="G53" s="16"/>
      <c r="H53" s="23"/>
      <c r="I53" s="22"/>
      <c r="J53" s="18"/>
      <c r="K53" s="19"/>
      <c r="L53" s="22"/>
    </row>
    <row r="54" spans="1:12" s="3" customFormat="1" hidden="1">
      <c r="A54" s="15"/>
      <c r="B54" s="16" t="s">
        <v>23</v>
      </c>
      <c r="C54" s="30"/>
      <c r="D54" s="16" t="s">
        <v>25</v>
      </c>
      <c r="E54" s="30"/>
      <c r="F54" s="16"/>
      <c r="G54" s="16"/>
      <c r="H54" s="23"/>
      <c r="I54" s="22"/>
      <c r="J54" s="18"/>
      <c r="K54" s="19"/>
      <c r="L54" s="22"/>
    </row>
    <row r="55" spans="1:12" s="3" customFormat="1" ht="16.5">
      <c r="A55" s="15">
        <v>51</v>
      </c>
      <c r="B55" s="16" t="s">
        <v>23</v>
      </c>
      <c r="C55" s="30" t="s">
        <v>47</v>
      </c>
      <c r="D55" s="16" t="s">
        <v>25</v>
      </c>
      <c r="E55" s="30" t="s">
        <v>49</v>
      </c>
      <c r="F55" s="16"/>
      <c r="G55" s="16"/>
      <c r="H55" s="23" t="s">
        <v>50</v>
      </c>
      <c r="I55" s="22">
        <f>(0.65*75)/27</f>
        <v>1.8055555555555556</v>
      </c>
      <c r="J55" s="18" t="s">
        <v>28</v>
      </c>
      <c r="K55" s="19">
        <v>0.05</v>
      </c>
      <c r="L55" s="20">
        <f t="shared" ref="L55" si="9">(K55*I55)+I55</f>
        <v>1.8958333333333335</v>
      </c>
    </row>
    <row r="56" spans="1:12" s="3" customFormat="1" hidden="1">
      <c r="A56" s="15"/>
      <c r="B56" s="16"/>
      <c r="C56" s="16"/>
      <c r="D56" s="30"/>
      <c r="E56" s="16"/>
      <c r="F56" s="16"/>
      <c r="G56" s="16"/>
      <c r="H56" s="16"/>
      <c r="I56" s="27"/>
      <c r="J56" s="28"/>
      <c r="K56" s="29"/>
      <c r="L56" s="27"/>
    </row>
    <row r="57" spans="1:12" s="3" customFormat="1">
      <c r="A57" s="15">
        <v>52</v>
      </c>
      <c r="B57" s="16" t="s">
        <v>23</v>
      </c>
      <c r="C57" s="16"/>
      <c r="D57" s="16" t="s">
        <v>25</v>
      </c>
      <c r="E57" s="16" t="s">
        <v>51</v>
      </c>
      <c r="F57" s="16"/>
      <c r="G57" s="16"/>
      <c r="H57" s="17" t="s">
        <v>52</v>
      </c>
      <c r="I57" s="22">
        <f>13*8*0.668</f>
        <v>69.472000000000008</v>
      </c>
      <c r="J57" s="18" t="s">
        <v>30</v>
      </c>
      <c r="K57" s="19">
        <v>0.05</v>
      </c>
      <c r="L57" s="20">
        <f t="shared" ref="L57" si="10">(K57*I57)+I57</f>
        <v>72.945600000000013</v>
      </c>
    </row>
    <row r="58" spans="1:12" s="3" customFormat="1">
      <c r="A58" s="15">
        <v>53</v>
      </c>
      <c r="B58" s="16" t="s">
        <v>23</v>
      </c>
      <c r="C58" s="16"/>
      <c r="D58" s="16" t="s">
        <v>25</v>
      </c>
      <c r="E58" s="16" t="s">
        <v>53</v>
      </c>
      <c r="F58" s="16"/>
      <c r="G58" s="16"/>
      <c r="H58" s="17" t="s">
        <v>54</v>
      </c>
      <c r="I58" s="22">
        <v>5938.71</v>
      </c>
      <c r="J58" s="18" t="s">
        <v>22</v>
      </c>
      <c r="K58" s="19">
        <v>0.05</v>
      </c>
      <c r="L58" s="22">
        <f t="shared" ref="L58:L61" si="11">(K58*I58)+I58</f>
        <v>6235.6454999999996</v>
      </c>
    </row>
    <row r="59" spans="1:12" s="3" customFormat="1" ht="16.5">
      <c r="A59" s="15">
        <v>54</v>
      </c>
      <c r="B59" s="16" t="s">
        <v>23</v>
      </c>
      <c r="C59" s="16"/>
      <c r="D59" s="16" t="s">
        <v>25</v>
      </c>
      <c r="E59" s="16" t="s">
        <v>53</v>
      </c>
      <c r="F59" s="16"/>
      <c r="G59" s="16"/>
      <c r="H59" s="25" t="s">
        <v>55</v>
      </c>
      <c r="I59" s="22">
        <v>5939</v>
      </c>
      <c r="J59" s="18" t="s">
        <v>22</v>
      </c>
      <c r="K59" s="19">
        <v>0.05</v>
      </c>
      <c r="L59" s="22">
        <f t="shared" si="11"/>
        <v>6235.95</v>
      </c>
    </row>
    <row r="60" spans="1:12" s="3" customFormat="1" ht="16.5">
      <c r="A60" s="15">
        <v>55</v>
      </c>
      <c r="B60" s="16" t="s">
        <v>23</v>
      </c>
      <c r="C60" s="16"/>
      <c r="D60" s="16" t="s">
        <v>25</v>
      </c>
      <c r="E60" s="16" t="s">
        <v>53</v>
      </c>
      <c r="F60" s="16"/>
      <c r="G60" s="16"/>
      <c r="H60" s="25" t="s">
        <v>56</v>
      </c>
      <c r="I60" s="22">
        <f>((5939/1.33)*2)*0.668</f>
        <v>5965.7924812030069</v>
      </c>
      <c r="J60" s="18" t="s">
        <v>30</v>
      </c>
      <c r="K60" s="19">
        <v>0.05</v>
      </c>
      <c r="L60" s="20">
        <f t="shared" si="11"/>
        <v>6264.0821052631572</v>
      </c>
    </row>
    <row r="61" spans="1:12" s="3" customFormat="1" ht="16.5">
      <c r="A61" s="15">
        <v>56</v>
      </c>
      <c r="B61" s="16" t="s">
        <v>23</v>
      </c>
      <c r="C61" s="16"/>
      <c r="D61" s="16" t="s">
        <v>25</v>
      </c>
      <c r="E61" s="16" t="s">
        <v>53</v>
      </c>
      <c r="F61" s="16"/>
      <c r="G61" s="16"/>
      <c r="H61" s="25" t="s">
        <v>57</v>
      </c>
      <c r="I61" s="22">
        <v>5939</v>
      </c>
      <c r="J61" s="18" t="s">
        <v>22</v>
      </c>
      <c r="K61" s="19">
        <v>0.05</v>
      </c>
      <c r="L61" s="22">
        <f t="shared" si="11"/>
        <v>6235.95</v>
      </c>
    </row>
    <row r="62" spans="1:12" s="3" customFormat="1">
      <c r="A62" s="15">
        <v>57</v>
      </c>
      <c r="B62" s="23" t="s">
        <v>58</v>
      </c>
      <c r="C62" s="23" t="s">
        <v>58</v>
      </c>
      <c r="D62" s="16" t="s">
        <v>59</v>
      </c>
      <c r="E62" s="16" t="s">
        <v>60</v>
      </c>
      <c r="F62" s="16"/>
      <c r="G62" s="16"/>
      <c r="H62" s="17" t="s">
        <v>61</v>
      </c>
      <c r="I62" s="22">
        <v>660.22</v>
      </c>
      <c r="J62" s="18" t="s">
        <v>22</v>
      </c>
      <c r="K62" s="19">
        <v>0.05</v>
      </c>
      <c r="L62" s="22">
        <f t="shared" ref="L62" si="12">(K62*I62)+I62</f>
        <v>693.23099999999999</v>
      </c>
    </row>
    <row r="63" spans="1:12" s="3" customFormat="1" ht="16.5">
      <c r="A63" s="15">
        <v>58</v>
      </c>
      <c r="B63" s="16" t="s">
        <v>62</v>
      </c>
      <c r="C63" s="16"/>
      <c r="D63" s="16" t="s">
        <v>63</v>
      </c>
      <c r="E63" s="16" t="s">
        <v>64</v>
      </c>
      <c r="F63" s="16"/>
      <c r="G63" s="16"/>
      <c r="H63" s="34" t="s">
        <v>65</v>
      </c>
      <c r="I63" s="18">
        <v>12</v>
      </c>
      <c r="J63" s="18" t="s">
        <v>66</v>
      </c>
      <c r="K63" s="19">
        <v>0</v>
      </c>
      <c r="L63" s="22">
        <f t="shared" ref="L63:L83" si="13">(K63*I63)+I63</f>
        <v>12</v>
      </c>
    </row>
    <row r="64" spans="1:12" s="3" customFormat="1" ht="16.5">
      <c r="A64" s="15">
        <v>59</v>
      </c>
      <c r="B64" s="16" t="s">
        <v>62</v>
      </c>
      <c r="C64" s="16"/>
      <c r="D64" s="16" t="s">
        <v>63</v>
      </c>
      <c r="E64" s="16" t="s">
        <v>64</v>
      </c>
      <c r="F64" s="16"/>
      <c r="G64" s="16"/>
      <c r="H64" s="34" t="s">
        <v>67</v>
      </c>
      <c r="I64" s="22">
        <f>326/2.68</f>
        <v>121.64179104477611</v>
      </c>
      <c r="J64" s="18" t="s">
        <v>66</v>
      </c>
      <c r="K64" s="19">
        <v>0</v>
      </c>
      <c r="L64" s="22">
        <f t="shared" si="13"/>
        <v>121.64179104477611</v>
      </c>
    </row>
    <row r="65" spans="1:12" s="3" customFormat="1">
      <c r="A65" s="15">
        <v>60</v>
      </c>
      <c r="B65" s="16" t="s">
        <v>62</v>
      </c>
      <c r="C65" s="16"/>
      <c r="D65" s="16" t="s">
        <v>63</v>
      </c>
      <c r="E65" s="16" t="s">
        <v>64</v>
      </c>
      <c r="F65" s="16"/>
      <c r="G65" s="16"/>
      <c r="H65" s="17" t="s">
        <v>68</v>
      </c>
      <c r="I65" s="22">
        <f>709*2</f>
        <v>1418</v>
      </c>
      <c r="J65" s="18" t="s">
        <v>66</v>
      </c>
      <c r="K65" s="19">
        <v>0</v>
      </c>
      <c r="L65" s="22">
        <f t="shared" si="13"/>
        <v>1418</v>
      </c>
    </row>
    <row r="66" spans="1:12" s="3" customFormat="1">
      <c r="A66" s="15">
        <v>61</v>
      </c>
      <c r="B66" s="16" t="s">
        <v>62</v>
      </c>
      <c r="C66" s="16"/>
      <c r="D66" s="16" t="s">
        <v>63</v>
      </c>
      <c r="E66" s="16" t="s">
        <v>64</v>
      </c>
      <c r="F66" s="16"/>
      <c r="G66" s="16"/>
      <c r="H66" s="17" t="s">
        <v>69</v>
      </c>
      <c r="I66" s="22">
        <f>294/4</f>
        <v>73.5</v>
      </c>
      <c r="J66" s="18" t="s">
        <v>66</v>
      </c>
      <c r="K66" s="19">
        <v>0</v>
      </c>
      <c r="L66" s="22">
        <f t="shared" si="13"/>
        <v>73.5</v>
      </c>
    </row>
    <row r="67" spans="1:12" s="3" customFormat="1">
      <c r="A67" s="15">
        <v>62</v>
      </c>
      <c r="B67" s="16" t="s">
        <v>62</v>
      </c>
      <c r="C67" s="16"/>
      <c r="D67" s="16" t="s">
        <v>63</v>
      </c>
      <c r="E67" s="16" t="s">
        <v>64</v>
      </c>
      <c r="F67" s="16"/>
      <c r="G67" s="16"/>
      <c r="H67" s="17" t="s">
        <v>70</v>
      </c>
      <c r="I67" s="22">
        <f>135/4</f>
        <v>33.75</v>
      </c>
      <c r="J67" s="18" t="s">
        <v>66</v>
      </c>
      <c r="K67" s="19">
        <v>0</v>
      </c>
      <c r="L67" s="22">
        <f t="shared" si="13"/>
        <v>33.75</v>
      </c>
    </row>
    <row r="68" spans="1:12" s="3" customFormat="1">
      <c r="A68" s="15">
        <v>63</v>
      </c>
      <c r="B68" s="16" t="s">
        <v>62</v>
      </c>
      <c r="C68" s="16"/>
      <c r="D68" s="16" t="s">
        <v>63</v>
      </c>
      <c r="E68" s="16" t="s">
        <v>64</v>
      </c>
      <c r="F68" s="16"/>
      <c r="G68" s="16"/>
      <c r="H68" s="17" t="s">
        <v>71</v>
      </c>
      <c r="I68" s="22">
        <f>80*2</f>
        <v>160</v>
      </c>
      <c r="J68" s="18" t="s">
        <v>66</v>
      </c>
      <c r="K68" s="19">
        <v>0</v>
      </c>
      <c r="L68" s="22">
        <f t="shared" si="13"/>
        <v>160</v>
      </c>
    </row>
    <row r="69" spans="1:12" s="3" customFormat="1">
      <c r="A69" s="15">
        <v>64</v>
      </c>
      <c r="B69" s="16" t="s">
        <v>62</v>
      </c>
      <c r="C69" s="16"/>
      <c r="D69" s="16" t="s">
        <v>63</v>
      </c>
      <c r="E69" s="16" t="s">
        <v>64</v>
      </c>
      <c r="F69" s="16"/>
      <c r="G69" s="16"/>
      <c r="H69" s="17" t="s">
        <v>72</v>
      </c>
      <c r="I69" s="22">
        <f>100*2</f>
        <v>200</v>
      </c>
      <c r="J69" s="18" t="s">
        <v>66</v>
      </c>
      <c r="K69" s="19">
        <v>0</v>
      </c>
      <c r="L69" s="22">
        <f t="shared" si="13"/>
        <v>200</v>
      </c>
    </row>
    <row r="70" spans="1:12" s="3" customFormat="1">
      <c r="A70" s="15">
        <v>65</v>
      </c>
      <c r="B70" s="16" t="s">
        <v>62</v>
      </c>
      <c r="C70" s="16"/>
      <c r="D70" s="16" t="s">
        <v>63</v>
      </c>
      <c r="E70" s="16" t="s">
        <v>64</v>
      </c>
      <c r="F70" s="16"/>
      <c r="G70" s="26"/>
      <c r="H70" s="17" t="s">
        <v>73</v>
      </c>
      <c r="I70" s="22">
        <f>95*2</f>
        <v>190</v>
      </c>
      <c r="J70" s="18" t="s">
        <v>66</v>
      </c>
      <c r="K70" s="19">
        <v>0</v>
      </c>
      <c r="L70" s="22">
        <f t="shared" si="13"/>
        <v>190</v>
      </c>
    </row>
    <row r="71" spans="1:12" s="3" customFormat="1">
      <c r="A71" s="15">
        <v>66</v>
      </c>
      <c r="B71" s="16" t="s">
        <v>62</v>
      </c>
      <c r="C71" s="16"/>
      <c r="D71" s="16" t="s">
        <v>63</v>
      </c>
      <c r="E71" s="16" t="s">
        <v>64</v>
      </c>
      <c r="F71" s="16"/>
      <c r="G71" s="16"/>
      <c r="H71" s="17" t="s">
        <v>74</v>
      </c>
      <c r="I71" s="22">
        <v>32</v>
      </c>
      <c r="J71" s="18" t="s">
        <v>66</v>
      </c>
      <c r="K71" s="19">
        <v>0</v>
      </c>
      <c r="L71" s="22">
        <f t="shared" si="13"/>
        <v>32</v>
      </c>
    </row>
    <row r="72" spans="1:12" s="3" customFormat="1">
      <c r="A72" s="15">
        <v>67</v>
      </c>
      <c r="B72" s="16" t="s">
        <v>62</v>
      </c>
      <c r="C72" s="16"/>
      <c r="D72" s="16" t="s">
        <v>63</v>
      </c>
      <c r="E72" s="16" t="s">
        <v>64</v>
      </c>
      <c r="F72" s="16"/>
      <c r="G72" s="16"/>
      <c r="H72" s="17" t="s">
        <v>75</v>
      </c>
      <c r="I72" s="22">
        <v>9</v>
      </c>
      <c r="J72" s="18" t="s">
        <v>66</v>
      </c>
      <c r="K72" s="19">
        <v>0</v>
      </c>
      <c r="L72" s="22">
        <f t="shared" si="13"/>
        <v>9</v>
      </c>
    </row>
    <row r="73" spans="1:12" s="3" customFormat="1">
      <c r="A73" s="15">
        <v>68</v>
      </c>
      <c r="B73" s="16" t="s">
        <v>62</v>
      </c>
      <c r="C73" s="16"/>
      <c r="D73" s="16" t="s">
        <v>63</v>
      </c>
      <c r="E73" s="16" t="s">
        <v>64</v>
      </c>
      <c r="F73" s="16"/>
      <c r="G73" s="16"/>
      <c r="H73" s="17" t="s">
        <v>76</v>
      </c>
      <c r="I73" s="22">
        <v>4</v>
      </c>
      <c r="J73" s="18" t="s">
        <v>66</v>
      </c>
      <c r="K73" s="19">
        <v>0</v>
      </c>
      <c r="L73" s="22">
        <f t="shared" si="13"/>
        <v>4</v>
      </c>
    </row>
    <row r="74" spans="1:12" s="3" customFormat="1">
      <c r="A74" s="15">
        <v>69</v>
      </c>
      <c r="B74" s="16" t="s">
        <v>62</v>
      </c>
      <c r="C74" s="16"/>
      <c r="D74" s="16" t="s">
        <v>63</v>
      </c>
      <c r="E74" s="16" t="s">
        <v>64</v>
      </c>
      <c r="F74" s="16"/>
      <c r="G74" s="16"/>
      <c r="H74" s="17" t="s">
        <v>77</v>
      </c>
      <c r="I74" s="22">
        <v>2</v>
      </c>
      <c r="J74" s="18" t="s">
        <v>66</v>
      </c>
      <c r="K74" s="19">
        <v>0</v>
      </c>
      <c r="L74" s="22">
        <f t="shared" si="13"/>
        <v>2</v>
      </c>
    </row>
    <row r="75" spans="1:12" s="3" customFormat="1">
      <c r="A75" s="15">
        <v>70</v>
      </c>
      <c r="B75" s="16" t="s">
        <v>62</v>
      </c>
      <c r="C75" s="16"/>
      <c r="D75" s="16" t="s">
        <v>63</v>
      </c>
      <c r="E75" s="16" t="s">
        <v>64</v>
      </c>
      <c r="F75" s="16"/>
      <c r="G75" s="16"/>
      <c r="H75" s="17" t="s">
        <v>78</v>
      </c>
      <c r="I75" s="22">
        <v>3</v>
      </c>
      <c r="J75" s="18" t="s">
        <v>66</v>
      </c>
      <c r="K75" s="19">
        <v>0</v>
      </c>
      <c r="L75" s="22">
        <f t="shared" si="13"/>
        <v>3</v>
      </c>
    </row>
    <row r="76" spans="1:12" s="3" customFormat="1">
      <c r="A76" s="15">
        <v>71</v>
      </c>
      <c r="B76" s="16" t="s">
        <v>62</v>
      </c>
      <c r="C76" s="16"/>
      <c r="D76" s="16" t="s">
        <v>63</v>
      </c>
      <c r="E76" s="16" t="s">
        <v>64</v>
      </c>
      <c r="F76" s="16"/>
      <c r="G76" s="16"/>
      <c r="H76" s="17" t="s">
        <v>79</v>
      </c>
      <c r="I76" s="22">
        <v>1</v>
      </c>
      <c r="J76" s="18" t="s">
        <v>66</v>
      </c>
      <c r="K76" s="19">
        <v>0</v>
      </c>
      <c r="L76" s="22">
        <f t="shared" si="13"/>
        <v>1</v>
      </c>
    </row>
    <row r="77" spans="1:12" s="3" customFormat="1">
      <c r="A77" s="15">
        <v>72</v>
      </c>
      <c r="B77" s="16" t="s">
        <v>62</v>
      </c>
      <c r="C77" s="16"/>
      <c r="D77" s="16" t="s">
        <v>63</v>
      </c>
      <c r="E77" s="16" t="s">
        <v>64</v>
      </c>
      <c r="F77" s="16"/>
      <c r="G77" s="16"/>
      <c r="H77" s="17" t="s">
        <v>80</v>
      </c>
      <c r="I77" s="22">
        <v>2</v>
      </c>
      <c r="J77" s="18" t="s">
        <v>66</v>
      </c>
      <c r="K77" s="19">
        <v>0</v>
      </c>
      <c r="L77" s="22">
        <f t="shared" si="13"/>
        <v>2</v>
      </c>
    </row>
    <row r="78" spans="1:12" s="3" customFormat="1">
      <c r="A78" s="15">
        <v>73</v>
      </c>
      <c r="B78" s="16" t="s">
        <v>62</v>
      </c>
      <c r="C78" s="16"/>
      <c r="D78" s="16" t="s">
        <v>63</v>
      </c>
      <c r="E78" s="16" t="s">
        <v>64</v>
      </c>
      <c r="F78" s="16"/>
      <c r="G78" s="16"/>
      <c r="H78" s="17" t="s">
        <v>81</v>
      </c>
      <c r="I78" s="22">
        <v>1</v>
      </c>
      <c r="J78" s="18" t="s">
        <v>66</v>
      </c>
      <c r="K78" s="19">
        <v>0</v>
      </c>
      <c r="L78" s="22">
        <f t="shared" si="13"/>
        <v>1</v>
      </c>
    </row>
    <row r="79" spans="1:12" s="3" customFormat="1">
      <c r="A79" s="15">
        <v>74</v>
      </c>
      <c r="B79" s="16" t="s">
        <v>62</v>
      </c>
      <c r="C79" s="16"/>
      <c r="D79" s="16" t="s">
        <v>63</v>
      </c>
      <c r="E79" s="16" t="s">
        <v>64</v>
      </c>
      <c r="F79" s="16"/>
      <c r="G79" s="16"/>
      <c r="H79" s="17" t="s">
        <v>82</v>
      </c>
      <c r="I79" s="22">
        <v>2</v>
      </c>
      <c r="J79" s="18" t="s">
        <v>66</v>
      </c>
      <c r="K79" s="19">
        <v>0</v>
      </c>
      <c r="L79" s="22">
        <f t="shared" si="13"/>
        <v>2</v>
      </c>
    </row>
    <row r="80" spans="1:12" s="3" customFormat="1" hidden="1">
      <c r="A80" s="15">
        <v>75</v>
      </c>
      <c r="B80" s="16" t="s">
        <v>62</v>
      </c>
      <c r="C80" s="16"/>
      <c r="D80" s="16" t="s">
        <v>63</v>
      </c>
      <c r="E80" s="16" t="s">
        <v>64</v>
      </c>
      <c r="F80" s="16"/>
      <c r="G80" s="16"/>
      <c r="H80" s="17" t="s">
        <v>83</v>
      </c>
      <c r="I80" s="22">
        <v>1</v>
      </c>
      <c r="J80" s="18" t="s">
        <v>66</v>
      </c>
      <c r="K80" s="19">
        <v>0</v>
      </c>
      <c r="L80" s="22">
        <f t="shared" si="13"/>
        <v>1</v>
      </c>
    </row>
    <row r="81" spans="1:12" s="3" customFormat="1">
      <c r="A81" s="15">
        <v>76</v>
      </c>
      <c r="B81" s="16" t="s">
        <v>62</v>
      </c>
      <c r="C81" s="16"/>
      <c r="D81" s="16" t="s">
        <v>63</v>
      </c>
      <c r="E81" s="16" t="s">
        <v>64</v>
      </c>
      <c r="F81" s="16"/>
      <c r="G81" s="16"/>
      <c r="H81" s="17" t="s">
        <v>84</v>
      </c>
      <c r="I81" s="22">
        <v>1</v>
      </c>
      <c r="J81" s="18" t="s">
        <v>66</v>
      </c>
      <c r="K81" s="19">
        <v>0</v>
      </c>
      <c r="L81" s="22">
        <f t="shared" si="13"/>
        <v>1</v>
      </c>
    </row>
    <row r="82" spans="1:12" s="3" customFormat="1">
      <c r="A82" s="15">
        <v>77</v>
      </c>
      <c r="B82" s="16" t="s">
        <v>62</v>
      </c>
      <c r="C82" s="16"/>
      <c r="D82" s="16" t="s">
        <v>63</v>
      </c>
      <c r="E82" s="16" t="s">
        <v>64</v>
      </c>
      <c r="F82" s="16"/>
      <c r="G82" s="16"/>
      <c r="H82" s="17" t="s">
        <v>85</v>
      </c>
      <c r="I82" s="22">
        <v>4</v>
      </c>
      <c r="J82" s="18" t="s">
        <v>66</v>
      </c>
      <c r="K82" s="19">
        <v>0</v>
      </c>
      <c r="L82" s="22">
        <f t="shared" si="13"/>
        <v>4</v>
      </c>
    </row>
    <row r="83" spans="1:12" s="3" customFormat="1">
      <c r="A83" s="15">
        <v>78</v>
      </c>
      <c r="B83" s="16" t="s">
        <v>62</v>
      </c>
      <c r="C83" s="16"/>
      <c r="D83" s="16" t="s">
        <v>63</v>
      </c>
      <c r="E83" s="16" t="s">
        <v>64</v>
      </c>
      <c r="F83" s="16"/>
      <c r="G83" s="16"/>
      <c r="H83" s="17" t="s">
        <v>86</v>
      </c>
      <c r="I83" s="22">
        <v>2</v>
      </c>
      <c r="J83" s="18" t="s">
        <v>66</v>
      </c>
      <c r="K83" s="19">
        <v>0</v>
      </c>
      <c r="L83" s="22">
        <f t="shared" si="13"/>
        <v>2</v>
      </c>
    </row>
    <row r="84" spans="1:12" s="3" customFormat="1">
      <c r="A84" s="15">
        <v>79</v>
      </c>
      <c r="B84" s="16" t="s">
        <v>87</v>
      </c>
      <c r="C84" s="16"/>
      <c r="D84" s="16" t="s">
        <v>88</v>
      </c>
      <c r="E84" s="16" t="s">
        <v>89</v>
      </c>
      <c r="F84" s="16" t="s">
        <v>90</v>
      </c>
      <c r="G84" s="16"/>
      <c r="H84" s="17" t="s">
        <v>91</v>
      </c>
      <c r="I84" s="18">
        <v>1</v>
      </c>
      <c r="J84" s="18" t="s">
        <v>66</v>
      </c>
      <c r="K84" s="19">
        <v>0</v>
      </c>
      <c r="L84" s="22">
        <f t="shared" ref="L84:L85" si="14">(K84*I84)+I84</f>
        <v>1</v>
      </c>
    </row>
    <row r="85" spans="1:12" s="3" customFormat="1">
      <c r="A85" s="15">
        <v>80</v>
      </c>
      <c r="B85" s="16" t="s">
        <v>87</v>
      </c>
      <c r="C85" s="16"/>
      <c r="D85" s="16" t="s">
        <v>88</v>
      </c>
      <c r="E85" s="16" t="s">
        <v>89</v>
      </c>
      <c r="F85" s="16" t="s">
        <v>90</v>
      </c>
      <c r="G85" s="16"/>
      <c r="H85" s="17" t="s">
        <v>92</v>
      </c>
      <c r="I85" s="18">
        <v>2</v>
      </c>
      <c r="J85" s="18" t="s">
        <v>66</v>
      </c>
      <c r="K85" s="19">
        <v>0</v>
      </c>
      <c r="L85" s="22">
        <f t="shared" si="14"/>
        <v>2</v>
      </c>
    </row>
    <row r="86" spans="1:12" s="3" customFormat="1">
      <c r="A86" s="15">
        <v>81</v>
      </c>
      <c r="B86" s="16" t="s">
        <v>87</v>
      </c>
      <c r="C86" s="16"/>
      <c r="D86" s="16" t="s">
        <v>88</v>
      </c>
      <c r="E86" s="16" t="s">
        <v>93</v>
      </c>
      <c r="F86" s="16" t="s">
        <v>90</v>
      </c>
      <c r="G86" s="16"/>
      <c r="H86" s="17" t="s">
        <v>94</v>
      </c>
      <c r="I86" s="18">
        <v>64</v>
      </c>
      <c r="J86" s="18" t="s">
        <v>66</v>
      </c>
      <c r="K86" s="19">
        <v>0</v>
      </c>
      <c r="L86" s="22">
        <f t="shared" ref="L86:L121" si="15">(K86*I86)+I86</f>
        <v>64</v>
      </c>
    </row>
    <row r="87" spans="1:12" s="3" customFormat="1">
      <c r="A87" s="15">
        <v>82</v>
      </c>
      <c r="B87" s="16" t="s">
        <v>87</v>
      </c>
      <c r="C87" s="16"/>
      <c r="D87" s="16" t="s">
        <v>88</v>
      </c>
      <c r="E87" s="16" t="s">
        <v>93</v>
      </c>
      <c r="F87" s="16" t="s">
        <v>90</v>
      </c>
      <c r="G87" s="16"/>
      <c r="H87" s="17" t="s">
        <v>95</v>
      </c>
      <c r="I87" s="18">
        <v>8</v>
      </c>
      <c r="J87" s="18" t="s">
        <v>66</v>
      </c>
      <c r="K87" s="19">
        <v>0</v>
      </c>
      <c r="L87" s="22">
        <f t="shared" si="15"/>
        <v>8</v>
      </c>
    </row>
    <row r="88" spans="1:12" s="3" customFormat="1">
      <c r="A88" s="15">
        <v>83</v>
      </c>
      <c r="B88" s="16" t="s">
        <v>87</v>
      </c>
      <c r="C88" s="16"/>
      <c r="D88" s="16" t="s">
        <v>88</v>
      </c>
      <c r="E88" s="16" t="s">
        <v>93</v>
      </c>
      <c r="F88" s="16" t="s">
        <v>90</v>
      </c>
      <c r="G88" s="16"/>
      <c r="H88" s="17" t="s">
        <v>96</v>
      </c>
      <c r="I88" s="18">
        <v>10</v>
      </c>
      <c r="J88" s="18" t="s">
        <v>66</v>
      </c>
      <c r="K88" s="19">
        <v>0</v>
      </c>
      <c r="L88" s="22">
        <f t="shared" si="15"/>
        <v>10</v>
      </c>
    </row>
    <row r="89" spans="1:12" s="3" customFormat="1">
      <c r="A89" s="15">
        <v>84</v>
      </c>
      <c r="B89" s="16" t="s">
        <v>87</v>
      </c>
      <c r="C89" s="16"/>
      <c r="D89" s="16" t="s">
        <v>88</v>
      </c>
      <c r="E89" s="16" t="s">
        <v>93</v>
      </c>
      <c r="F89" s="16" t="s">
        <v>90</v>
      </c>
      <c r="G89" s="16"/>
      <c r="H89" s="17" t="s">
        <v>97</v>
      </c>
      <c r="I89" s="18">
        <v>2</v>
      </c>
      <c r="J89" s="18" t="s">
        <v>66</v>
      </c>
      <c r="K89" s="19">
        <v>0</v>
      </c>
      <c r="L89" s="22">
        <f t="shared" si="15"/>
        <v>2</v>
      </c>
    </row>
    <row r="90" spans="1:12" s="3" customFormat="1">
      <c r="A90" s="15">
        <v>85</v>
      </c>
      <c r="B90" s="16" t="s">
        <v>87</v>
      </c>
      <c r="C90" s="16"/>
      <c r="D90" s="16" t="s">
        <v>88</v>
      </c>
      <c r="E90" s="16" t="s">
        <v>93</v>
      </c>
      <c r="F90" s="16" t="s">
        <v>90</v>
      </c>
      <c r="G90" s="16"/>
      <c r="H90" s="17" t="s">
        <v>98</v>
      </c>
      <c r="I90" s="18">
        <v>4</v>
      </c>
      <c r="J90" s="18" t="s">
        <v>66</v>
      </c>
      <c r="K90" s="19">
        <v>0</v>
      </c>
      <c r="L90" s="22">
        <f t="shared" si="15"/>
        <v>4</v>
      </c>
    </row>
    <row r="91" spans="1:12" s="3" customFormat="1">
      <c r="A91" s="15">
        <v>86</v>
      </c>
      <c r="B91" s="16" t="s">
        <v>87</v>
      </c>
      <c r="C91" s="16"/>
      <c r="D91" s="16" t="s">
        <v>88</v>
      </c>
      <c r="E91" s="16" t="s">
        <v>93</v>
      </c>
      <c r="F91" s="16" t="s">
        <v>90</v>
      </c>
      <c r="G91" s="16"/>
      <c r="H91" s="17" t="s">
        <v>99</v>
      </c>
      <c r="I91" s="18">
        <v>2</v>
      </c>
      <c r="J91" s="18" t="s">
        <v>66</v>
      </c>
      <c r="K91" s="19">
        <v>0</v>
      </c>
      <c r="L91" s="22">
        <f t="shared" si="15"/>
        <v>2</v>
      </c>
    </row>
    <row r="92" spans="1:12" s="3" customFormat="1">
      <c r="A92" s="15">
        <v>87</v>
      </c>
      <c r="B92" s="16" t="s">
        <v>87</v>
      </c>
      <c r="C92" s="16"/>
      <c r="D92" s="16" t="s">
        <v>88</v>
      </c>
      <c r="E92" s="16" t="s">
        <v>93</v>
      </c>
      <c r="F92" s="16" t="s">
        <v>90</v>
      </c>
      <c r="G92" s="16"/>
      <c r="H92" s="17" t="s">
        <v>100</v>
      </c>
      <c r="I92" s="31">
        <f>1*3</f>
        <v>3</v>
      </c>
      <c r="J92" s="18" t="s">
        <v>66</v>
      </c>
      <c r="K92" s="19">
        <v>0</v>
      </c>
      <c r="L92" s="22">
        <f t="shared" si="15"/>
        <v>3</v>
      </c>
    </row>
    <row r="93" spans="1:12" s="3" customFormat="1">
      <c r="A93" s="15">
        <v>88</v>
      </c>
      <c r="B93" s="16" t="s">
        <v>87</v>
      </c>
      <c r="C93" s="16"/>
      <c r="D93" s="16" t="s">
        <v>88</v>
      </c>
      <c r="E93" s="16" t="s">
        <v>93</v>
      </c>
      <c r="F93" s="16" t="s">
        <v>90</v>
      </c>
      <c r="G93" s="16"/>
      <c r="H93" s="17" t="s">
        <v>101</v>
      </c>
      <c r="I93" s="31">
        <f>1*3</f>
        <v>3</v>
      </c>
      <c r="J93" s="18" t="s">
        <v>66</v>
      </c>
      <c r="K93" s="19">
        <v>0</v>
      </c>
      <c r="L93" s="22">
        <f t="shared" si="15"/>
        <v>3</v>
      </c>
    </row>
    <row r="94" spans="1:12" s="3" customFormat="1">
      <c r="A94" s="15">
        <v>89</v>
      </c>
      <c r="B94" s="16" t="s">
        <v>87</v>
      </c>
      <c r="C94" s="16"/>
      <c r="D94" s="16" t="s">
        <v>88</v>
      </c>
      <c r="E94" s="16" t="s">
        <v>93</v>
      </c>
      <c r="F94" s="16" t="s">
        <v>90</v>
      </c>
      <c r="G94" s="16"/>
      <c r="H94" s="17" t="s">
        <v>102</v>
      </c>
      <c r="I94" s="31">
        <v>3</v>
      </c>
      <c r="J94" s="18" t="s">
        <v>66</v>
      </c>
      <c r="K94" s="19">
        <v>0</v>
      </c>
      <c r="L94" s="22">
        <f t="shared" si="15"/>
        <v>3</v>
      </c>
    </row>
    <row r="95" spans="1:12" s="3" customFormat="1">
      <c r="A95" s="15">
        <v>90</v>
      </c>
      <c r="B95" s="16" t="s">
        <v>87</v>
      </c>
      <c r="C95" s="16"/>
      <c r="D95" s="16" t="s">
        <v>88</v>
      </c>
      <c r="E95" s="16" t="s">
        <v>93</v>
      </c>
      <c r="F95" s="16" t="s">
        <v>90</v>
      </c>
      <c r="G95" s="16"/>
      <c r="H95" s="17" t="s">
        <v>103</v>
      </c>
      <c r="I95" s="31">
        <v>1</v>
      </c>
      <c r="J95" s="18" t="s">
        <v>66</v>
      </c>
      <c r="K95" s="19">
        <v>0</v>
      </c>
      <c r="L95" s="22">
        <f t="shared" si="15"/>
        <v>1</v>
      </c>
    </row>
    <row r="96" spans="1:12" s="3" customFormat="1">
      <c r="A96" s="15">
        <v>91</v>
      </c>
      <c r="B96" s="16" t="s">
        <v>87</v>
      </c>
      <c r="C96" s="16"/>
      <c r="D96" s="16" t="s">
        <v>88</v>
      </c>
      <c r="E96" s="16" t="s">
        <v>93</v>
      </c>
      <c r="F96" s="16" t="s">
        <v>90</v>
      </c>
      <c r="G96" s="16"/>
      <c r="H96" s="17" t="s">
        <v>104</v>
      </c>
      <c r="I96" s="31">
        <v>2</v>
      </c>
      <c r="J96" s="18" t="s">
        <v>66</v>
      </c>
      <c r="K96" s="19">
        <v>0</v>
      </c>
      <c r="L96" s="22">
        <f t="shared" si="15"/>
        <v>2</v>
      </c>
    </row>
    <row r="97" spans="1:12" s="3" customFormat="1">
      <c r="A97" s="15">
        <v>92</v>
      </c>
      <c r="B97" s="16" t="s">
        <v>87</v>
      </c>
      <c r="C97" s="16"/>
      <c r="D97" s="16" t="s">
        <v>88</v>
      </c>
      <c r="E97" s="16" t="s">
        <v>93</v>
      </c>
      <c r="F97" s="16" t="s">
        <v>90</v>
      </c>
      <c r="G97" s="16"/>
      <c r="H97" s="17" t="s">
        <v>105</v>
      </c>
      <c r="I97" s="31">
        <v>1</v>
      </c>
      <c r="J97" s="18" t="s">
        <v>66</v>
      </c>
      <c r="K97" s="19">
        <v>0</v>
      </c>
      <c r="L97" s="22">
        <f t="shared" si="15"/>
        <v>1</v>
      </c>
    </row>
    <row r="98" spans="1:12" s="3" customFormat="1">
      <c r="A98" s="15">
        <v>93</v>
      </c>
      <c r="B98" s="16" t="s">
        <v>87</v>
      </c>
      <c r="C98" s="16"/>
      <c r="D98" s="16" t="s">
        <v>88</v>
      </c>
      <c r="E98" s="16" t="s">
        <v>93</v>
      </c>
      <c r="F98" s="16" t="s">
        <v>90</v>
      </c>
      <c r="G98" s="16"/>
      <c r="H98" s="17" t="s">
        <v>106</v>
      </c>
      <c r="I98" s="31">
        <v>1</v>
      </c>
      <c r="J98" s="18" t="s">
        <v>66</v>
      </c>
      <c r="K98" s="19">
        <v>0</v>
      </c>
      <c r="L98" s="22">
        <f t="shared" si="15"/>
        <v>1</v>
      </c>
    </row>
    <row r="99" spans="1:12" s="3" customFormat="1">
      <c r="A99" s="15">
        <v>94</v>
      </c>
      <c r="B99" s="16" t="s">
        <v>87</v>
      </c>
      <c r="C99" s="16"/>
      <c r="D99" s="16" t="s">
        <v>88</v>
      </c>
      <c r="E99" s="16" t="s">
        <v>93</v>
      </c>
      <c r="F99" s="16" t="s">
        <v>90</v>
      </c>
      <c r="G99" s="16"/>
      <c r="H99" s="17" t="s">
        <v>107</v>
      </c>
      <c r="I99" s="31">
        <v>2</v>
      </c>
      <c r="J99" s="18" t="s">
        <v>66</v>
      </c>
      <c r="K99" s="19">
        <v>0</v>
      </c>
      <c r="L99" s="22">
        <f t="shared" si="15"/>
        <v>2</v>
      </c>
    </row>
    <row r="100" spans="1:12" s="3" customFormat="1">
      <c r="A100" s="15">
        <v>95</v>
      </c>
      <c r="B100" s="16" t="s">
        <v>87</v>
      </c>
      <c r="C100" s="16"/>
      <c r="D100" s="16" t="s">
        <v>88</v>
      </c>
      <c r="E100" s="16" t="s">
        <v>93</v>
      </c>
      <c r="F100" s="16" t="s">
        <v>90</v>
      </c>
      <c r="G100" s="16"/>
      <c r="H100" s="17" t="s">
        <v>108</v>
      </c>
      <c r="I100" s="31">
        <v>2</v>
      </c>
      <c r="J100" s="18" t="s">
        <v>66</v>
      </c>
      <c r="K100" s="19">
        <v>0</v>
      </c>
      <c r="L100" s="22">
        <f t="shared" si="15"/>
        <v>2</v>
      </c>
    </row>
    <row r="101" spans="1:12" s="3" customFormat="1">
      <c r="A101" s="15">
        <v>96</v>
      </c>
      <c r="B101" s="16" t="s">
        <v>87</v>
      </c>
      <c r="C101" s="16"/>
      <c r="D101" s="16" t="s">
        <v>88</v>
      </c>
      <c r="E101" s="16" t="s">
        <v>93</v>
      </c>
      <c r="F101" s="16" t="s">
        <v>90</v>
      </c>
      <c r="G101" s="16"/>
      <c r="H101" s="17" t="s">
        <v>109</v>
      </c>
      <c r="I101" s="31">
        <v>1</v>
      </c>
      <c r="J101" s="18" t="s">
        <v>66</v>
      </c>
      <c r="K101" s="19">
        <v>0</v>
      </c>
      <c r="L101" s="22">
        <f t="shared" si="15"/>
        <v>1</v>
      </c>
    </row>
    <row r="102" spans="1:12" s="3" customFormat="1">
      <c r="A102" s="15">
        <v>97</v>
      </c>
      <c r="B102" s="16" t="s">
        <v>87</v>
      </c>
      <c r="C102" s="16"/>
      <c r="D102" s="16" t="s">
        <v>88</v>
      </c>
      <c r="E102" s="16" t="s">
        <v>93</v>
      </c>
      <c r="F102" s="16" t="s">
        <v>90</v>
      </c>
      <c r="G102" s="16"/>
      <c r="H102" s="17" t="s">
        <v>110</v>
      </c>
      <c r="I102" s="31">
        <v>1</v>
      </c>
      <c r="J102" s="18" t="s">
        <v>66</v>
      </c>
      <c r="K102" s="19">
        <v>0</v>
      </c>
      <c r="L102" s="22">
        <f t="shared" si="15"/>
        <v>1</v>
      </c>
    </row>
    <row r="103" spans="1:12" s="3" customFormat="1">
      <c r="A103" s="15">
        <v>98</v>
      </c>
      <c r="B103" s="16" t="s">
        <v>87</v>
      </c>
      <c r="C103" s="16"/>
      <c r="D103" s="16" t="s">
        <v>88</v>
      </c>
      <c r="E103" s="16" t="s">
        <v>93</v>
      </c>
      <c r="F103" s="16" t="s">
        <v>90</v>
      </c>
      <c r="G103" s="16"/>
      <c r="H103" s="17" t="s">
        <v>111</v>
      </c>
      <c r="I103" s="31">
        <v>2</v>
      </c>
      <c r="J103" s="18" t="s">
        <v>66</v>
      </c>
      <c r="K103" s="19">
        <v>0</v>
      </c>
      <c r="L103" s="22">
        <f t="shared" si="15"/>
        <v>2</v>
      </c>
    </row>
    <row r="104" spans="1:12" s="3" customFormat="1">
      <c r="A104" s="15">
        <v>99</v>
      </c>
      <c r="B104" s="16" t="s">
        <v>87</v>
      </c>
      <c r="C104" s="16"/>
      <c r="D104" s="16" t="s">
        <v>88</v>
      </c>
      <c r="E104" s="16" t="s">
        <v>93</v>
      </c>
      <c r="F104" s="16" t="s">
        <v>90</v>
      </c>
      <c r="G104" s="16"/>
      <c r="H104" s="17" t="s">
        <v>112</v>
      </c>
      <c r="I104" s="31">
        <v>1</v>
      </c>
      <c r="J104" s="18" t="s">
        <v>66</v>
      </c>
      <c r="K104" s="19">
        <v>0</v>
      </c>
      <c r="L104" s="22">
        <f t="shared" si="15"/>
        <v>1</v>
      </c>
    </row>
    <row r="105" spans="1:12" s="3" customFormat="1">
      <c r="A105" s="15">
        <v>100</v>
      </c>
      <c r="B105" s="16" t="s">
        <v>87</v>
      </c>
      <c r="C105" s="16"/>
      <c r="D105" s="16" t="s">
        <v>88</v>
      </c>
      <c r="E105" s="16" t="s">
        <v>93</v>
      </c>
      <c r="F105" s="16" t="s">
        <v>90</v>
      </c>
      <c r="G105" s="16"/>
      <c r="H105" s="17" t="s">
        <v>113</v>
      </c>
      <c r="I105" s="31">
        <v>2</v>
      </c>
      <c r="J105" s="18" t="s">
        <v>66</v>
      </c>
      <c r="K105" s="19">
        <v>0</v>
      </c>
      <c r="L105" s="22">
        <f t="shared" si="15"/>
        <v>2</v>
      </c>
    </row>
    <row r="106" spans="1:12" s="3" customFormat="1">
      <c r="A106" s="15">
        <v>101</v>
      </c>
      <c r="B106" s="16" t="s">
        <v>87</v>
      </c>
      <c r="C106" s="16"/>
      <c r="D106" s="16" t="s">
        <v>88</v>
      </c>
      <c r="E106" s="16" t="s">
        <v>93</v>
      </c>
      <c r="F106" s="16" t="s">
        <v>90</v>
      </c>
      <c r="G106" s="16"/>
      <c r="H106" s="17" t="s">
        <v>114</v>
      </c>
      <c r="I106" s="31">
        <v>1</v>
      </c>
      <c r="J106" s="18" t="s">
        <v>66</v>
      </c>
      <c r="K106" s="19">
        <v>0</v>
      </c>
      <c r="L106" s="22">
        <f t="shared" si="15"/>
        <v>1</v>
      </c>
    </row>
    <row r="107" spans="1:12" s="3" customFormat="1">
      <c r="A107" s="15">
        <v>102</v>
      </c>
      <c r="B107" s="16" t="s">
        <v>87</v>
      </c>
      <c r="C107" s="16"/>
      <c r="D107" s="16" t="s">
        <v>88</v>
      </c>
      <c r="E107" s="16" t="s">
        <v>93</v>
      </c>
      <c r="F107" s="16" t="s">
        <v>90</v>
      </c>
      <c r="G107" s="16"/>
      <c r="H107" s="17" t="s">
        <v>115</v>
      </c>
      <c r="I107" s="31">
        <v>1</v>
      </c>
      <c r="J107" s="18" t="s">
        <v>66</v>
      </c>
      <c r="K107" s="19">
        <v>0</v>
      </c>
      <c r="L107" s="22">
        <f t="shared" si="15"/>
        <v>1</v>
      </c>
    </row>
    <row r="108" spans="1:12" s="3" customFormat="1">
      <c r="A108" s="15">
        <v>103</v>
      </c>
      <c r="B108" s="16" t="s">
        <v>87</v>
      </c>
      <c r="C108" s="16"/>
      <c r="D108" s="16" t="s">
        <v>88</v>
      </c>
      <c r="E108" s="16" t="s">
        <v>93</v>
      </c>
      <c r="F108" s="16" t="s">
        <v>90</v>
      </c>
      <c r="G108" s="16"/>
      <c r="H108" s="17" t="s">
        <v>116</v>
      </c>
      <c r="I108" s="31">
        <v>1</v>
      </c>
      <c r="J108" s="18" t="s">
        <v>66</v>
      </c>
      <c r="K108" s="19">
        <v>0</v>
      </c>
      <c r="L108" s="22">
        <f t="shared" si="15"/>
        <v>1</v>
      </c>
    </row>
    <row r="109" spans="1:12" s="3" customFormat="1">
      <c r="A109" s="15">
        <v>104</v>
      </c>
      <c r="B109" s="16" t="s">
        <v>87</v>
      </c>
      <c r="C109" s="16"/>
      <c r="D109" s="16" t="s">
        <v>88</v>
      </c>
      <c r="E109" s="16" t="s">
        <v>93</v>
      </c>
      <c r="F109" s="16" t="s">
        <v>90</v>
      </c>
      <c r="G109" s="16"/>
      <c r="H109" s="17" t="s">
        <v>117</v>
      </c>
      <c r="I109" s="31">
        <v>2</v>
      </c>
      <c r="J109" s="18" t="s">
        <v>66</v>
      </c>
      <c r="K109" s="19">
        <v>0</v>
      </c>
      <c r="L109" s="22">
        <f t="shared" si="15"/>
        <v>2</v>
      </c>
    </row>
    <row r="110" spans="1:12" s="3" customFormat="1">
      <c r="A110" s="15">
        <v>105</v>
      </c>
      <c r="B110" s="16" t="s">
        <v>87</v>
      </c>
      <c r="C110" s="16"/>
      <c r="D110" s="16" t="s">
        <v>88</v>
      </c>
      <c r="E110" s="16" t="s">
        <v>93</v>
      </c>
      <c r="F110" s="16" t="s">
        <v>90</v>
      </c>
      <c r="G110" s="16"/>
      <c r="H110" s="17" t="s">
        <v>118</v>
      </c>
      <c r="I110" s="31">
        <v>2</v>
      </c>
      <c r="J110" s="18" t="s">
        <v>66</v>
      </c>
      <c r="K110" s="19">
        <v>0</v>
      </c>
      <c r="L110" s="22">
        <f t="shared" si="15"/>
        <v>2</v>
      </c>
    </row>
    <row r="111" spans="1:12" s="3" customFormat="1">
      <c r="A111" s="15">
        <v>106</v>
      </c>
      <c r="B111" s="16" t="s">
        <v>87</v>
      </c>
      <c r="C111" s="16"/>
      <c r="D111" s="16" t="s">
        <v>88</v>
      </c>
      <c r="E111" s="16" t="s">
        <v>93</v>
      </c>
      <c r="F111" s="16" t="s">
        <v>90</v>
      </c>
      <c r="G111" s="16"/>
      <c r="H111" s="17" t="s">
        <v>119</v>
      </c>
      <c r="I111" s="31">
        <v>3</v>
      </c>
      <c r="J111" s="18" t="s">
        <v>66</v>
      </c>
      <c r="K111" s="19">
        <v>0</v>
      </c>
      <c r="L111" s="22">
        <f t="shared" si="15"/>
        <v>3</v>
      </c>
    </row>
    <row r="112" spans="1:12" s="3" customFormat="1">
      <c r="A112" s="15">
        <v>107</v>
      </c>
      <c r="B112" s="16" t="s">
        <v>87</v>
      </c>
      <c r="C112" s="16"/>
      <c r="D112" s="16" t="s">
        <v>88</v>
      </c>
      <c r="E112" s="16" t="s">
        <v>93</v>
      </c>
      <c r="F112" s="16" t="s">
        <v>90</v>
      </c>
      <c r="G112" s="16"/>
      <c r="H112" s="17" t="s">
        <v>120</v>
      </c>
      <c r="I112" s="31">
        <v>3</v>
      </c>
      <c r="J112" s="18" t="s">
        <v>66</v>
      </c>
      <c r="K112" s="19">
        <v>0</v>
      </c>
      <c r="L112" s="22">
        <f t="shared" si="15"/>
        <v>3</v>
      </c>
    </row>
    <row r="113" spans="1:12" s="3" customFormat="1">
      <c r="A113" s="15">
        <v>108</v>
      </c>
      <c r="B113" s="16" t="s">
        <v>87</v>
      </c>
      <c r="C113" s="16"/>
      <c r="D113" s="16" t="s">
        <v>88</v>
      </c>
      <c r="E113" s="16" t="s">
        <v>93</v>
      </c>
      <c r="F113" s="16" t="s">
        <v>90</v>
      </c>
      <c r="G113" s="16"/>
      <c r="H113" s="17" t="s">
        <v>121</v>
      </c>
      <c r="I113" s="31">
        <v>2</v>
      </c>
      <c r="J113" s="18" t="s">
        <v>66</v>
      </c>
      <c r="K113" s="19">
        <v>0</v>
      </c>
      <c r="L113" s="22">
        <f t="shared" si="15"/>
        <v>2</v>
      </c>
    </row>
    <row r="114" spans="1:12" s="3" customFormat="1">
      <c r="A114" s="15">
        <v>109</v>
      </c>
      <c r="B114" s="16" t="s">
        <v>87</v>
      </c>
      <c r="C114" s="16"/>
      <c r="D114" s="16" t="s">
        <v>88</v>
      </c>
      <c r="E114" s="16" t="s">
        <v>93</v>
      </c>
      <c r="F114" s="16" t="s">
        <v>90</v>
      </c>
      <c r="G114" s="16"/>
      <c r="H114" s="17" t="s">
        <v>122</v>
      </c>
      <c r="I114" s="31">
        <v>2</v>
      </c>
      <c r="J114" s="18" t="s">
        <v>66</v>
      </c>
      <c r="K114" s="19">
        <v>0</v>
      </c>
      <c r="L114" s="22">
        <f t="shared" si="15"/>
        <v>2</v>
      </c>
    </row>
    <row r="115" spans="1:12" s="3" customFormat="1">
      <c r="A115" s="15">
        <v>110</v>
      </c>
      <c r="B115" s="16" t="s">
        <v>87</v>
      </c>
      <c r="C115" s="16"/>
      <c r="D115" s="16" t="s">
        <v>88</v>
      </c>
      <c r="E115" s="16" t="s">
        <v>93</v>
      </c>
      <c r="F115" s="16" t="s">
        <v>90</v>
      </c>
      <c r="G115" s="16"/>
      <c r="H115" s="17" t="s">
        <v>123</v>
      </c>
      <c r="I115" s="31">
        <v>1</v>
      </c>
      <c r="J115" s="18" t="s">
        <v>66</v>
      </c>
      <c r="K115" s="19">
        <v>0</v>
      </c>
      <c r="L115" s="22">
        <f t="shared" si="15"/>
        <v>1</v>
      </c>
    </row>
    <row r="116" spans="1:12" s="3" customFormat="1">
      <c r="A116" s="15">
        <v>111</v>
      </c>
      <c r="B116" s="16" t="s">
        <v>87</v>
      </c>
      <c r="C116" s="16"/>
      <c r="D116" s="16" t="s">
        <v>88</v>
      </c>
      <c r="E116" s="16" t="s">
        <v>93</v>
      </c>
      <c r="F116" s="16" t="s">
        <v>90</v>
      </c>
      <c r="G116" s="16"/>
      <c r="H116" s="17" t="s">
        <v>124</v>
      </c>
      <c r="I116" s="31">
        <v>1</v>
      </c>
      <c r="J116" s="18" t="s">
        <v>66</v>
      </c>
      <c r="K116" s="19">
        <v>0</v>
      </c>
      <c r="L116" s="22">
        <f t="shared" si="15"/>
        <v>1</v>
      </c>
    </row>
    <row r="117" spans="1:12" s="3" customFormat="1" hidden="1">
      <c r="A117" s="15">
        <v>112</v>
      </c>
      <c r="B117" s="16" t="s">
        <v>87</v>
      </c>
      <c r="C117" s="16"/>
      <c r="D117" s="16" t="s">
        <v>88</v>
      </c>
      <c r="E117" s="16" t="s">
        <v>93</v>
      </c>
      <c r="F117" s="16" t="s">
        <v>90</v>
      </c>
      <c r="G117" s="16"/>
      <c r="H117" s="17" t="s">
        <v>125</v>
      </c>
      <c r="I117" s="31">
        <v>2</v>
      </c>
      <c r="J117" s="18" t="s">
        <v>66</v>
      </c>
      <c r="K117" s="19">
        <v>0</v>
      </c>
      <c r="L117" s="22">
        <f t="shared" si="15"/>
        <v>2</v>
      </c>
    </row>
    <row r="118" spans="1:12" s="3" customFormat="1">
      <c r="A118" s="15">
        <v>113</v>
      </c>
      <c r="B118" s="16" t="s">
        <v>87</v>
      </c>
      <c r="C118" s="16"/>
      <c r="D118" s="16" t="s">
        <v>88</v>
      </c>
      <c r="E118" s="16" t="s">
        <v>93</v>
      </c>
      <c r="F118" s="16" t="s">
        <v>90</v>
      </c>
      <c r="G118" s="16"/>
      <c r="H118" s="17" t="s">
        <v>126</v>
      </c>
      <c r="I118" s="31">
        <v>1</v>
      </c>
      <c r="J118" s="18" t="s">
        <v>66</v>
      </c>
      <c r="K118" s="19">
        <v>0</v>
      </c>
      <c r="L118" s="22">
        <f t="shared" si="15"/>
        <v>1</v>
      </c>
    </row>
    <row r="119" spans="1:12" s="3" customFormat="1">
      <c r="A119" s="15">
        <v>114</v>
      </c>
      <c r="B119" s="16" t="s">
        <v>87</v>
      </c>
      <c r="C119" s="16"/>
      <c r="D119" s="16" t="s">
        <v>88</v>
      </c>
      <c r="E119" s="16" t="s">
        <v>93</v>
      </c>
      <c r="F119" s="16" t="s">
        <v>90</v>
      </c>
      <c r="G119" s="16"/>
      <c r="H119" s="17" t="s">
        <v>127</v>
      </c>
      <c r="I119" s="31">
        <v>3</v>
      </c>
      <c r="J119" s="18" t="s">
        <v>66</v>
      </c>
      <c r="K119" s="19">
        <v>0</v>
      </c>
      <c r="L119" s="22">
        <f t="shared" si="15"/>
        <v>3</v>
      </c>
    </row>
    <row r="120" spans="1:12" s="3" customFormat="1">
      <c r="A120" s="15">
        <v>115</v>
      </c>
      <c r="B120" s="16" t="s">
        <v>87</v>
      </c>
      <c r="C120" s="16"/>
      <c r="D120" s="16" t="s">
        <v>88</v>
      </c>
      <c r="E120" s="16" t="s">
        <v>93</v>
      </c>
      <c r="F120" s="16" t="s">
        <v>90</v>
      </c>
      <c r="G120" s="16"/>
      <c r="H120" s="17" t="s">
        <v>128</v>
      </c>
      <c r="I120" s="31">
        <v>1</v>
      </c>
      <c r="J120" s="18" t="s">
        <v>66</v>
      </c>
      <c r="K120" s="19">
        <v>0</v>
      </c>
      <c r="L120" s="22">
        <f t="shared" si="15"/>
        <v>1</v>
      </c>
    </row>
    <row r="121" spans="1:12" s="3" customFormat="1">
      <c r="A121" s="15">
        <v>116</v>
      </c>
      <c r="B121" s="16" t="s">
        <v>87</v>
      </c>
      <c r="C121" s="16"/>
      <c r="D121" s="16" t="s">
        <v>88</v>
      </c>
      <c r="E121" s="16" t="s">
        <v>93</v>
      </c>
      <c r="F121" s="16" t="s">
        <v>90</v>
      </c>
      <c r="G121" s="16"/>
      <c r="H121" s="17" t="s">
        <v>129</v>
      </c>
      <c r="I121" s="31">
        <v>2</v>
      </c>
      <c r="J121" s="18" t="s">
        <v>66</v>
      </c>
      <c r="K121" s="19">
        <v>0</v>
      </c>
      <c r="L121" s="22">
        <f t="shared" si="15"/>
        <v>2</v>
      </c>
    </row>
    <row r="122" spans="1:12" s="3" customFormat="1">
      <c r="A122" s="15">
        <v>117</v>
      </c>
      <c r="B122" s="16" t="s">
        <v>87</v>
      </c>
      <c r="C122" s="16"/>
      <c r="D122" s="16" t="s">
        <v>88</v>
      </c>
      <c r="E122" s="16" t="s">
        <v>130</v>
      </c>
      <c r="F122" s="16" t="s">
        <v>90</v>
      </c>
      <c r="G122" s="16"/>
      <c r="H122" s="17" t="s">
        <v>131</v>
      </c>
      <c r="I122" s="18">
        <v>53</v>
      </c>
      <c r="J122" s="18" t="s">
        <v>66</v>
      </c>
      <c r="K122" s="19">
        <v>0</v>
      </c>
      <c r="L122" s="22">
        <f t="shared" ref="L122:L132" si="16">(K122*I122)+I122</f>
        <v>53</v>
      </c>
    </row>
    <row r="123" spans="1:12" s="3" customFormat="1">
      <c r="A123" s="15">
        <v>118</v>
      </c>
      <c r="B123" s="16" t="s">
        <v>87</v>
      </c>
      <c r="C123" s="16"/>
      <c r="D123" s="16" t="s">
        <v>88</v>
      </c>
      <c r="E123" s="16" t="s">
        <v>130</v>
      </c>
      <c r="F123" s="16" t="s">
        <v>90</v>
      </c>
      <c r="G123" s="16"/>
      <c r="H123" s="17" t="s">
        <v>132</v>
      </c>
      <c r="I123" s="18">
        <v>8</v>
      </c>
      <c r="J123" s="18" t="s">
        <v>66</v>
      </c>
      <c r="K123" s="19">
        <v>0</v>
      </c>
      <c r="L123" s="22">
        <f t="shared" si="16"/>
        <v>8</v>
      </c>
    </row>
    <row r="124" spans="1:12" s="3" customFormat="1">
      <c r="A124" s="15">
        <v>119</v>
      </c>
      <c r="B124" s="16" t="s">
        <v>87</v>
      </c>
      <c r="C124" s="16"/>
      <c r="D124" s="16" t="s">
        <v>88</v>
      </c>
      <c r="E124" s="16" t="s">
        <v>130</v>
      </c>
      <c r="F124" s="16" t="s">
        <v>90</v>
      </c>
      <c r="G124" s="16"/>
      <c r="H124" s="17" t="s">
        <v>133</v>
      </c>
      <c r="I124" s="18">
        <v>6</v>
      </c>
      <c r="J124" s="18" t="s">
        <v>66</v>
      </c>
      <c r="K124" s="19">
        <v>0</v>
      </c>
      <c r="L124" s="22">
        <f t="shared" si="16"/>
        <v>6</v>
      </c>
    </row>
    <row r="125" spans="1:12" s="3" customFormat="1">
      <c r="A125" s="15">
        <v>120</v>
      </c>
      <c r="B125" s="16" t="s">
        <v>87</v>
      </c>
      <c r="C125" s="16"/>
      <c r="D125" s="16" t="s">
        <v>88</v>
      </c>
      <c r="E125" s="16" t="s">
        <v>130</v>
      </c>
      <c r="F125" s="16" t="s">
        <v>90</v>
      </c>
      <c r="G125" s="16"/>
      <c r="H125" s="17" t="s">
        <v>134</v>
      </c>
      <c r="I125" s="18">
        <v>13</v>
      </c>
      <c r="J125" s="18" t="s">
        <v>66</v>
      </c>
      <c r="K125" s="19">
        <v>0</v>
      </c>
      <c r="L125" s="22">
        <f t="shared" si="16"/>
        <v>13</v>
      </c>
    </row>
    <row r="126" spans="1:12" s="3" customFormat="1">
      <c r="A126" s="15">
        <v>121</v>
      </c>
      <c r="B126" s="16" t="s">
        <v>87</v>
      </c>
      <c r="C126" s="16"/>
      <c r="D126" s="16" t="s">
        <v>88</v>
      </c>
      <c r="E126" s="16" t="s">
        <v>130</v>
      </c>
      <c r="F126" s="16" t="s">
        <v>90</v>
      </c>
      <c r="G126" s="16"/>
      <c r="H126" s="17" t="s">
        <v>135</v>
      </c>
      <c r="I126" s="18">
        <v>10</v>
      </c>
      <c r="J126" s="18" t="s">
        <v>66</v>
      </c>
      <c r="K126" s="19">
        <v>0</v>
      </c>
      <c r="L126" s="22">
        <f t="shared" si="16"/>
        <v>10</v>
      </c>
    </row>
    <row r="127" spans="1:12" s="3" customFormat="1">
      <c r="A127" s="15">
        <v>122</v>
      </c>
      <c r="B127" s="16" t="s">
        <v>87</v>
      </c>
      <c r="C127" s="16"/>
      <c r="D127" s="16" t="s">
        <v>88</v>
      </c>
      <c r="E127" s="16" t="s">
        <v>130</v>
      </c>
      <c r="F127" s="16" t="s">
        <v>90</v>
      </c>
      <c r="G127" s="16"/>
      <c r="H127" s="17" t="s">
        <v>136</v>
      </c>
      <c r="I127" s="18">
        <v>1</v>
      </c>
      <c r="J127" s="18" t="s">
        <v>66</v>
      </c>
      <c r="K127" s="19">
        <v>0</v>
      </c>
      <c r="L127" s="22">
        <f t="shared" si="16"/>
        <v>1</v>
      </c>
    </row>
    <row r="128" spans="1:12" s="3" customFormat="1" hidden="1">
      <c r="A128" s="15">
        <v>123</v>
      </c>
      <c r="B128" s="16" t="s">
        <v>87</v>
      </c>
      <c r="C128" s="16"/>
      <c r="D128" s="16" t="s">
        <v>88</v>
      </c>
      <c r="E128" s="16" t="s">
        <v>130</v>
      </c>
      <c r="F128" s="16" t="s">
        <v>90</v>
      </c>
      <c r="G128" s="16"/>
      <c r="H128" s="17" t="s">
        <v>137</v>
      </c>
      <c r="I128" s="18">
        <v>48</v>
      </c>
      <c r="J128" s="18" t="s">
        <v>66</v>
      </c>
      <c r="K128" s="19">
        <v>0</v>
      </c>
      <c r="L128" s="22">
        <f t="shared" si="16"/>
        <v>48</v>
      </c>
    </row>
    <row r="129" spans="1:12" s="3" customFormat="1" hidden="1">
      <c r="A129" s="15">
        <v>124</v>
      </c>
      <c r="B129" s="16" t="s">
        <v>87</v>
      </c>
      <c r="C129" s="16"/>
      <c r="D129" s="16" t="s">
        <v>88</v>
      </c>
      <c r="E129" s="16" t="s">
        <v>130</v>
      </c>
      <c r="F129" s="16" t="s">
        <v>90</v>
      </c>
      <c r="G129" s="16"/>
      <c r="H129" s="17" t="s">
        <v>138</v>
      </c>
      <c r="I129" s="18">
        <v>15</v>
      </c>
      <c r="J129" s="18" t="s">
        <v>66</v>
      </c>
      <c r="K129" s="19">
        <v>0</v>
      </c>
      <c r="L129" s="22">
        <f t="shared" si="16"/>
        <v>15</v>
      </c>
    </row>
    <row r="130" spans="1:12" s="3" customFormat="1" hidden="1">
      <c r="A130" s="15">
        <v>125</v>
      </c>
      <c r="B130" s="16" t="s">
        <v>87</v>
      </c>
      <c r="C130" s="16"/>
      <c r="D130" s="16" t="s">
        <v>88</v>
      </c>
      <c r="E130" s="16" t="s">
        <v>130</v>
      </c>
      <c r="F130" s="16" t="s">
        <v>90</v>
      </c>
      <c r="G130" s="16"/>
      <c r="H130" s="17" t="s">
        <v>139</v>
      </c>
      <c r="I130" s="18">
        <v>26</v>
      </c>
      <c r="J130" s="18" t="s">
        <v>66</v>
      </c>
      <c r="K130" s="19">
        <v>0</v>
      </c>
      <c r="L130" s="22">
        <f t="shared" si="16"/>
        <v>26</v>
      </c>
    </row>
    <row r="131" spans="1:12" s="3" customFormat="1">
      <c r="A131" s="15">
        <v>126</v>
      </c>
      <c r="B131" s="16" t="s">
        <v>87</v>
      </c>
      <c r="C131" s="16"/>
      <c r="D131" s="16" t="s">
        <v>88</v>
      </c>
      <c r="E131" s="16" t="s">
        <v>130</v>
      </c>
      <c r="F131" s="16" t="s">
        <v>90</v>
      </c>
      <c r="G131" s="16"/>
      <c r="H131" s="17" t="s">
        <v>140</v>
      </c>
      <c r="I131" s="18">
        <v>75</v>
      </c>
      <c r="J131" s="18" t="s">
        <v>66</v>
      </c>
      <c r="K131" s="19">
        <v>0</v>
      </c>
      <c r="L131" s="22">
        <f t="shared" si="16"/>
        <v>75</v>
      </c>
    </row>
    <row r="132" spans="1:12" s="3" customFormat="1">
      <c r="A132" s="15">
        <v>127</v>
      </c>
      <c r="B132" s="16" t="s">
        <v>87</v>
      </c>
      <c r="C132" s="16"/>
      <c r="D132" s="16" t="s">
        <v>88</v>
      </c>
      <c r="E132" s="16" t="s">
        <v>130</v>
      </c>
      <c r="F132" s="16" t="s">
        <v>90</v>
      </c>
      <c r="G132" s="16"/>
      <c r="H132" s="17" t="s">
        <v>141</v>
      </c>
      <c r="I132" s="18">
        <v>20</v>
      </c>
      <c r="J132" s="18" t="s">
        <v>66</v>
      </c>
      <c r="K132" s="19">
        <v>0</v>
      </c>
      <c r="L132" s="22">
        <f t="shared" si="16"/>
        <v>20</v>
      </c>
    </row>
    <row r="133" spans="1:12" s="3" customFormat="1">
      <c r="A133" s="15">
        <v>128</v>
      </c>
      <c r="B133" s="16" t="s">
        <v>87</v>
      </c>
      <c r="C133" s="16"/>
      <c r="D133" s="16" t="s">
        <v>88</v>
      </c>
      <c r="E133" s="16" t="s">
        <v>142</v>
      </c>
      <c r="F133" s="16" t="s">
        <v>90</v>
      </c>
      <c r="G133" s="16"/>
      <c r="H133" s="17" t="s">
        <v>143</v>
      </c>
      <c r="I133" s="18">
        <v>9</v>
      </c>
      <c r="J133" s="18" t="s">
        <v>66</v>
      </c>
      <c r="K133" s="19">
        <v>0</v>
      </c>
      <c r="L133" s="22">
        <f t="shared" ref="L133:L178" si="17">(K133*I133)+I133</f>
        <v>9</v>
      </c>
    </row>
    <row r="134" spans="1:12" s="3" customFormat="1" hidden="1">
      <c r="A134" s="15">
        <v>129</v>
      </c>
      <c r="B134" s="16" t="s">
        <v>87</v>
      </c>
      <c r="C134" s="16"/>
      <c r="D134" s="16" t="s">
        <v>88</v>
      </c>
      <c r="E134" s="16" t="s">
        <v>142</v>
      </c>
      <c r="F134" s="16" t="s">
        <v>90</v>
      </c>
      <c r="G134" s="16"/>
      <c r="H134" s="17" t="s">
        <v>144</v>
      </c>
      <c r="I134" s="18">
        <v>53</v>
      </c>
      <c r="J134" s="18" t="s">
        <v>66</v>
      </c>
      <c r="K134" s="19">
        <v>0</v>
      </c>
      <c r="L134" s="22">
        <f t="shared" si="17"/>
        <v>53</v>
      </c>
    </row>
    <row r="135" spans="1:12" s="3" customFormat="1" hidden="1">
      <c r="A135" s="15">
        <v>130</v>
      </c>
      <c r="B135" s="16" t="s">
        <v>87</v>
      </c>
      <c r="C135" s="16"/>
      <c r="D135" s="16" t="s">
        <v>88</v>
      </c>
      <c r="E135" s="16" t="s">
        <v>142</v>
      </c>
      <c r="F135" s="16" t="s">
        <v>90</v>
      </c>
      <c r="G135" s="16"/>
      <c r="H135" s="17" t="s">
        <v>145</v>
      </c>
      <c r="I135" s="18">
        <v>17</v>
      </c>
      <c r="J135" s="18" t="s">
        <v>66</v>
      </c>
      <c r="K135" s="19">
        <v>0</v>
      </c>
      <c r="L135" s="22">
        <f t="shared" si="17"/>
        <v>17</v>
      </c>
    </row>
    <row r="136" spans="1:12" s="3" customFormat="1">
      <c r="A136" s="15">
        <v>131</v>
      </c>
      <c r="B136" s="16" t="s">
        <v>87</v>
      </c>
      <c r="C136" s="16"/>
      <c r="D136" s="16" t="s">
        <v>88</v>
      </c>
      <c r="E136" s="16" t="s">
        <v>142</v>
      </c>
      <c r="F136" s="16" t="s">
        <v>90</v>
      </c>
      <c r="G136" s="16"/>
      <c r="H136" s="17" t="s">
        <v>146</v>
      </c>
      <c r="I136" s="18">
        <v>13</v>
      </c>
      <c r="J136" s="18" t="s">
        <v>66</v>
      </c>
      <c r="K136" s="19">
        <v>0</v>
      </c>
      <c r="L136" s="22">
        <f t="shared" si="17"/>
        <v>13</v>
      </c>
    </row>
    <row r="137" spans="1:12" s="3" customFormat="1">
      <c r="A137" s="15">
        <v>132</v>
      </c>
      <c r="B137" s="16" t="s">
        <v>87</v>
      </c>
      <c r="C137" s="16"/>
      <c r="D137" s="16" t="s">
        <v>88</v>
      </c>
      <c r="E137" s="16" t="s">
        <v>142</v>
      </c>
      <c r="F137" s="16" t="s">
        <v>90</v>
      </c>
      <c r="G137" s="16"/>
      <c r="H137" s="17" t="s">
        <v>147</v>
      </c>
      <c r="I137" s="18">
        <v>79</v>
      </c>
      <c r="J137" s="18" t="s">
        <v>66</v>
      </c>
      <c r="K137" s="19">
        <v>0</v>
      </c>
      <c r="L137" s="22">
        <f t="shared" si="17"/>
        <v>79</v>
      </c>
    </row>
    <row r="138" spans="1:12" s="3" customFormat="1">
      <c r="A138" s="15">
        <v>133</v>
      </c>
      <c r="B138" s="16" t="s">
        <v>87</v>
      </c>
      <c r="C138" s="16"/>
      <c r="D138" s="16" t="s">
        <v>88</v>
      </c>
      <c r="E138" s="16" t="s">
        <v>142</v>
      </c>
      <c r="F138" s="16" t="s">
        <v>90</v>
      </c>
      <c r="G138" s="16"/>
      <c r="H138" s="17" t="s">
        <v>148</v>
      </c>
      <c r="I138" s="18">
        <v>45</v>
      </c>
      <c r="J138" s="18" t="s">
        <v>66</v>
      </c>
      <c r="K138" s="19">
        <v>0</v>
      </c>
      <c r="L138" s="22">
        <f t="shared" si="17"/>
        <v>45</v>
      </c>
    </row>
    <row r="139" spans="1:12" s="3" customFormat="1">
      <c r="A139" s="15">
        <v>134</v>
      </c>
      <c r="B139" s="16" t="s">
        <v>87</v>
      </c>
      <c r="C139" s="16"/>
      <c r="D139" s="16" t="s">
        <v>88</v>
      </c>
      <c r="E139" s="16" t="s">
        <v>142</v>
      </c>
      <c r="F139" s="16" t="s">
        <v>90</v>
      </c>
      <c r="G139" s="16"/>
      <c r="H139" s="17" t="s">
        <v>149</v>
      </c>
      <c r="I139" s="18">
        <v>8</v>
      </c>
      <c r="J139" s="18" t="s">
        <v>66</v>
      </c>
      <c r="K139" s="19">
        <v>0</v>
      </c>
      <c r="L139" s="22">
        <f t="shared" si="17"/>
        <v>8</v>
      </c>
    </row>
    <row r="140" spans="1:12" s="3" customFormat="1">
      <c r="A140" s="15">
        <v>135</v>
      </c>
      <c r="B140" s="16" t="s">
        <v>87</v>
      </c>
      <c r="C140" s="16"/>
      <c r="D140" s="16" t="s">
        <v>88</v>
      </c>
      <c r="E140" s="16" t="s">
        <v>142</v>
      </c>
      <c r="F140" s="16" t="s">
        <v>90</v>
      </c>
      <c r="G140" s="16"/>
      <c r="H140" s="17" t="s">
        <v>150</v>
      </c>
      <c r="I140" s="18">
        <v>5</v>
      </c>
      <c r="J140" s="18" t="s">
        <v>66</v>
      </c>
      <c r="K140" s="19">
        <v>0</v>
      </c>
      <c r="L140" s="22">
        <f t="shared" si="17"/>
        <v>5</v>
      </c>
    </row>
    <row r="141" spans="1:12" s="3" customFormat="1">
      <c r="A141" s="15">
        <v>136</v>
      </c>
      <c r="B141" s="16" t="s">
        <v>87</v>
      </c>
      <c r="C141" s="16"/>
      <c r="D141" s="16" t="s">
        <v>88</v>
      </c>
      <c r="E141" s="16" t="s">
        <v>142</v>
      </c>
      <c r="F141" s="16" t="s">
        <v>90</v>
      </c>
      <c r="G141" s="16"/>
      <c r="H141" s="17" t="s">
        <v>151</v>
      </c>
      <c r="I141" s="18">
        <v>10</v>
      </c>
      <c r="J141" s="18" t="s">
        <v>66</v>
      </c>
      <c r="K141" s="19">
        <v>0</v>
      </c>
      <c r="L141" s="22">
        <f t="shared" si="17"/>
        <v>10</v>
      </c>
    </row>
    <row r="142" spans="1:12" s="3" customFormat="1">
      <c r="A142" s="15">
        <v>137</v>
      </c>
      <c r="B142" s="16" t="s">
        <v>87</v>
      </c>
      <c r="C142" s="16"/>
      <c r="D142" s="16" t="s">
        <v>88</v>
      </c>
      <c r="E142" s="16" t="s">
        <v>142</v>
      </c>
      <c r="F142" s="16" t="s">
        <v>90</v>
      </c>
      <c r="G142" s="16"/>
      <c r="H142" s="17" t="s">
        <v>152</v>
      </c>
      <c r="I142" s="18">
        <v>12</v>
      </c>
      <c r="J142" s="18" t="s">
        <v>66</v>
      </c>
      <c r="K142" s="19">
        <v>0</v>
      </c>
      <c r="L142" s="22">
        <f t="shared" si="17"/>
        <v>12</v>
      </c>
    </row>
    <row r="143" spans="1:12" s="3" customFormat="1">
      <c r="A143" s="15">
        <v>138</v>
      </c>
      <c r="B143" s="16" t="s">
        <v>87</v>
      </c>
      <c r="C143" s="16"/>
      <c r="D143" s="16" t="s">
        <v>88</v>
      </c>
      <c r="E143" s="16" t="s">
        <v>142</v>
      </c>
      <c r="F143" s="16" t="s">
        <v>90</v>
      </c>
      <c r="G143" s="16"/>
      <c r="H143" s="17" t="s">
        <v>153</v>
      </c>
      <c r="I143" s="18">
        <v>10</v>
      </c>
      <c r="J143" s="18" t="s">
        <v>66</v>
      </c>
      <c r="K143" s="19">
        <v>0</v>
      </c>
      <c r="L143" s="22">
        <f t="shared" si="17"/>
        <v>10</v>
      </c>
    </row>
    <row r="144" spans="1:12" s="3" customFormat="1">
      <c r="A144" s="15">
        <v>139</v>
      </c>
      <c r="B144" s="16" t="s">
        <v>87</v>
      </c>
      <c r="C144" s="16"/>
      <c r="D144" s="16" t="s">
        <v>88</v>
      </c>
      <c r="E144" s="16" t="s">
        <v>142</v>
      </c>
      <c r="F144" s="16" t="s">
        <v>90</v>
      </c>
      <c r="G144" s="16"/>
      <c r="H144" s="17" t="s">
        <v>154</v>
      </c>
      <c r="I144" s="18">
        <v>31</v>
      </c>
      <c r="J144" s="18" t="s">
        <v>66</v>
      </c>
      <c r="K144" s="19">
        <v>0</v>
      </c>
      <c r="L144" s="22">
        <f t="shared" si="17"/>
        <v>31</v>
      </c>
    </row>
    <row r="145" spans="1:12" s="3" customFormat="1" hidden="1">
      <c r="A145" s="15">
        <v>140</v>
      </c>
      <c r="B145" s="16" t="s">
        <v>87</v>
      </c>
      <c r="C145" s="16"/>
      <c r="D145" s="16" t="s">
        <v>88</v>
      </c>
      <c r="E145" s="16" t="s">
        <v>142</v>
      </c>
      <c r="F145" s="16" t="s">
        <v>90</v>
      </c>
      <c r="G145" s="16"/>
      <c r="H145" s="17" t="s">
        <v>155</v>
      </c>
      <c r="I145" s="18">
        <v>9</v>
      </c>
      <c r="J145" s="18" t="s">
        <v>66</v>
      </c>
      <c r="K145" s="19">
        <v>0</v>
      </c>
      <c r="L145" s="22">
        <f t="shared" si="17"/>
        <v>9</v>
      </c>
    </row>
    <row r="146" spans="1:12" s="3" customFormat="1">
      <c r="A146" s="15">
        <v>141</v>
      </c>
      <c r="B146" s="16" t="s">
        <v>87</v>
      </c>
      <c r="C146" s="16"/>
      <c r="D146" s="16" t="s">
        <v>88</v>
      </c>
      <c r="E146" s="16" t="s">
        <v>142</v>
      </c>
      <c r="F146" s="16" t="s">
        <v>90</v>
      </c>
      <c r="G146" s="16"/>
      <c r="H146" s="17" t="s">
        <v>156</v>
      </c>
      <c r="I146" s="18">
        <v>33</v>
      </c>
      <c r="J146" s="18" t="s">
        <v>66</v>
      </c>
      <c r="K146" s="19">
        <v>0</v>
      </c>
      <c r="L146" s="22">
        <f t="shared" si="17"/>
        <v>33</v>
      </c>
    </row>
    <row r="147" spans="1:12" s="3" customFormat="1">
      <c r="A147" s="15">
        <v>142</v>
      </c>
      <c r="B147" s="16" t="s">
        <v>87</v>
      </c>
      <c r="C147" s="16"/>
      <c r="D147" s="16" t="s">
        <v>88</v>
      </c>
      <c r="E147" s="16" t="s">
        <v>142</v>
      </c>
      <c r="F147" s="16" t="s">
        <v>90</v>
      </c>
      <c r="G147" s="16"/>
      <c r="H147" s="17" t="s">
        <v>157</v>
      </c>
      <c r="I147" s="18">
        <v>37</v>
      </c>
      <c r="J147" s="18" t="s">
        <v>66</v>
      </c>
      <c r="K147" s="19">
        <v>0</v>
      </c>
      <c r="L147" s="22">
        <f t="shared" si="17"/>
        <v>37</v>
      </c>
    </row>
    <row r="148" spans="1:12" s="3" customFormat="1">
      <c r="A148" s="15">
        <v>143</v>
      </c>
      <c r="B148" s="16" t="s">
        <v>87</v>
      </c>
      <c r="C148" s="16"/>
      <c r="D148" s="16" t="s">
        <v>88</v>
      </c>
      <c r="E148" s="16" t="s">
        <v>142</v>
      </c>
      <c r="F148" s="16" t="s">
        <v>90</v>
      </c>
      <c r="G148" s="16"/>
      <c r="H148" s="17" t="s">
        <v>158</v>
      </c>
      <c r="I148" s="18">
        <v>22</v>
      </c>
      <c r="J148" s="18" t="s">
        <v>66</v>
      </c>
      <c r="K148" s="19">
        <v>0</v>
      </c>
      <c r="L148" s="22">
        <f t="shared" si="17"/>
        <v>22</v>
      </c>
    </row>
    <row r="149" spans="1:12" s="3" customFormat="1" hidden="1">
      <c r="A149" s="15">
        <v>144</v>
      </c>
      <c r="B149" s="16" t="s">
        <v>87</v>
      </c>
      <c r="C149" s="16"/>
      <c r="D149" s="16" t="s">
        <v>88</v>
      </c>
      <c r="E149" s="16" t="s">
        <v>142</v>
      </c>
      <c r="F149" s="16" t="s">
        <v>90</v>
      </c>
      <c r="G149" s="16"/>
      <c r="H149" s="17" t="s">
        <v>159</v>
      </c>
      <c r="I149" s="18">
        <v>2</v>
      </c>
      <c r="J149" s="18" t="s">
        <v>66</v>
      </c>
      <c r="K149" s="19">
        <v>0</v>
      </c>
      <c r="L149" s="22">
        <f t="shared" si="17"/>
        <v>2</v>
      </c>
    </row>
    <row r="150" spans="1:12" s="3" customFormat="1" hidden="1">
      <c r="A150" s="15">
        <v>145</v>
      </c>
      <c r="B150" s="16" t="s">
        <v>87</v>
      </c>
      <c r="C150" s="16"/>
      <c r="D150" s="16" t="s">
        <v>88</v>
      </c>
      <c r="E150" s="16" t="s">
        <v>142</v>
      </c>
      <c r="F150" s="16" t="s">
        <v>90</v>
      </c>
      <c r="G150" s="16"/>
      <c r="H150" s="17" t="s">
        <v>160</v>
      </c>
      <c r="I150" s="18">
        <v>1</v>
      </c>
      <c r="J150" s="18" t="s">
        <v>66</v>
      </c>
      <c r="K150" s="19">
        <v>0</v>
      </c>
      <c r="L150" s="22">
        <f t="shared" si="17"/>
        <v>1</v>
      </c>
    </row>
    <row r="151" spans="1:12" s="3" customFormat="1" hidden="1">
      <c r="A151" s="15">
        <v>146</v>
      </c>
      <c r="B151" s="16" t="s">
        <v>87</v>
      </c>
      <c r="C151" s="16"/>
      <c r="D151" s="16" t="s">
        <v>88</v>
      </c>
      <c r="E151" s="16" t="s">
        <v>142</v>
      </c>
      <c r="F151" s="16" t="s">
        <v>90</v>
      </c>
      <c r="G151" s="16"/>
      <c r="H151" s="17" t="s">
        <v>161</v>
      </c>
      <c r="I151" s="18">
        <v>1</v>
      </c>
      <c r="J151" s="18" t="s">
        <v>66</v>
      </c>
      <c r="K151" s="19">
        <v>0</v>
      </c>
      <c r="L151" s="22">
        <f t="shared" si="17"/>
        <v>1</v>
      </c>
    </row>
    <row r="152" spans="1:12" s="3" customFormat="1">
      <c r="A152" s="15">
        <v>147</v>
      </c>
      <c r="B152" s="16" t="s">
        <v>87</v>
      </c>
      <c r="C152" s="16"/>
      <c r="D152" s="16" t="s">
        <v>88</v>
      </c>
      <c r="E152" s="16" t="s">
        <v>142</v>
      </c>
      <c r="F152" s="16" t="s">
        <v>90</v>
      </c>
      <c r="G152" s="16"/>
      <c r="H152" s="17" t="s">
        <v>162</v>
      </c>
      <c r="I152" s="18">
        <v>28</v>
      </c>
      <c r="J152" s="18" t="s">
        <v>66</v>
      </c>
      <c r="K152" s="19">
        <v>0</v>
      </c>
      <c r="L152" s="22">
        <f t="shared" si="17"/>
        <v>28</v>
      </c>
    </row>
    <row r="153" spans="1:12" s="3" customFormat="1">
      <c r="A153" s="15">
        <v>148</v>
      </c>
      <c r="B153" s="16" t="s">
        <v>87</v>
      </c>
      <c r="C153" s="16"/>
      <c r="D153" s="16" t="s">
        <v>88</v>
      </c>
      <c r="E153" s="16" t="s">
        <v>142</v>
      </c>
      <c r="F153" s="16" t="s">
        <v>90</v>
      </c>
      <c r="G153" s="16"/>
      <c r="H153" s="17" t="s">
        <v>163</v>
      </c>
      <c r="I153" s="18">
        <v>17</v>
      </c>
      <c r="J153" s="18" t="s">
        <v>66</v>
      </c>
      <c r="K153" s="19">
        <v>0</v>
      </c>
      <c r="L153" s="22">
        <f t="shared" si="17"/>
        <v>17</v>
      </c>
    </row>
    <row r="154" spans="1:12" s="3" customFormat="1">
      <c r="A154" s="15">
        <v>149</v>
      </c>
      <c r="B154" s="16" t="s">
        <v>87</v>
      </c>
      <c r="C154" s="16"/>
      <c r="D154" s="16" t="s">
        <v>88</v>
      </c>
      <c r="E154" s="16" t="s">
        <v>142</v>
      </c>
      <c r="F154" s="16" t="s">
        <v>90</v>
      </c>
      <c r="G154" s="16"/>
      <c r="H154" s="17" t="s">
        <v>164</v>
      </c>
      <c r="I154" s="18">
        <v>10</v>
      </c>
      <c r="J154" s="18" t="s">
        <v>66</v>
      </c>
      <c r="K154" s="19">
        <v>0</v>
      </c>
      <c r="L154" s="22">
        <f t="shared" si="17"/>
        <v>10</v>
      </c>
    </row>
    <row r="155" spans="1:12" s="3" customFormat="1" hidden="1">
      <c r="A155" s="15">
        <v>150</v>
      </c>
      <c r="B155" s="16" t="s">
        <v>87</v>
      </c>
      <c r="C155" s="16"/>
      <c r="D155" s="16" t="s">
        <v>88</v>
      </c>
      <c r="E155" s="16" t="s">
        <v>142</v>
      </c>
      <c r="F155" s="16" t="s">
        <v>90</v>
      </c>
      <c r="G155" s="16"/>
      <c r="H155" s="17" t="s">
        <v>165</v>
      </c>
      <c r="I155" s="18">
        <v>1</v>
      </c>
      <c r="J155" s="18" t="s">
        <v>66</v>
      </c>
      <c r="K155" s="19">
        <v>0</v>
      </c>
      <c r="L155" s="22">
        <f t="shared" si="17"/>
        <v>1</v>
      </c>
    </row>
    <row r="156" spans="1:12" s="3" customFormat="1">
      <c r="A156" s="15">
        <v>151</v>
      </c>
      <c r="B156" s="16" t="s">
        <v>87</v>
      </c>
      <c r="C156" s="16"/>
      <c r="D156" s="16" t="s">
        <v>88</v>
      </c>
      <c r="E156" s="16" t="s">
        <v>142</v>
      </c>
      <c r="F156" s="16" t="s">
        <v>90</v>
      </c>
      <c r="G156" s="16"/>
      <c r="H156" s="17" t="s">
        <v>166</v>
      </c>
      <c r="I156" s="18">
        <v>12</v>
      </c>
      <c r="J156" s="18" t="s">
        <v>66</v>
      </c>
      <c r="K156" s="19">
        <v>0</v>
      </c>
      <c r="L156" s="22">
        <f t="shared" si="17"/>
        <v>12</v>
      </c>
    </row>
    <row r="157" spans="1:12" s="3" customFormat="1" hidden="1">
      <c r="A157" s="15">
        <v>152</v>
      </c>
      <c r="B157" s="16" t="s">
        <v>87</v>
      </c>
      <c r="C157" s="16"/>
      <c r="D157" s="16" t="s">
        <v>88</v>
      </c>
      <c r="E157" s="16" t="s">
        <v>142</v>
      </c>
      <c r="F157" s="16" t="s">
        <v>90</v>
      </c>
      <c r="G157" s="16"/>
      <c r="H157" s="17" t="s">
        <v>167</v>
      </c>
      <c r="I157" s="18">
        <v>2</v>
      </c>
      <c r="J157" s="18" t="s">
        <v>66</v>
      </c>
      <c r="K157" s="19">
        <v>0</v>
      </c>
      <c r="L157" s="22">
        <f t="shared" si="17"/>
        <v>2</v>
      </c>
    </row>
    <row r="158" spans="1:12" s="3" customFormat="1">
      <c r="A158" s="15">
        <v>153</v>
      </c>
      <c r="B158" s="16" t="s">
        <v>87</v>
      </c>
      <c r="C158" s="16"/>
      <c r="D158" s="16" t="s">
        <v>88</v>
      </c>
      <c r="E158" s="16" t="s">
        <v>142</v>
      </c>
      <c r="F158" s="16" t="s">
        <v>90</v>
      </c>
      <c r="G158" s="16"/>
      <c r="H158" s="17" t="s">
        <v>168</v>
      </c>
      <c r="I158" s="18">
        <v>11</v>
      </c>
      <c r="J158" s="18" t="s">
        <v>66</v>
      </c>
      <c r="K158" s="19">
        <v>0</v>
      </c>
      <c r="L158" s="22">
        <f t="shared" si="17"/>
        <v>11</v>
      </c>
    </row>
    <row r="159" spans="1:12" s="3" customFormat="1">
      <c r="A159" s="15">
        <v>154</v>
      </c>
      <c r="B159" s="16" t="s">
        <v>87</v>
      </c>
      <c r="C159" s="16"/>
      <c r="D159" s="16" t="s">
        <v>88</v>
      </c>
      <c r="E159" s="16" t="s">
        <v>142</v>
      </c>
      <c r="F159" s="16" t="s">
        <v>90</v>
      </c>
      <c r="G159" s="16"/>
      <c r="H159" s="17" t="s">
        <v>169</v>
      </c>
      <c r="I159" s="18">
        <v>7</v>
      </c>
      <c r="J159" s="18" t="s">
        <v>66</v>
      </c>
      <c r="K159" s="19">
        <v>0</v>
      </c>
      <c r="L159" s="22">
        <f t="shared" si="17"/>
        <v>7</v>
      </c>
    </row>
    <row r="160" spans="1:12" s="3" customFormat="1">
      <c r="A160" s="15">
        <v>155</v>
      </c>
      <c r="B160" s="16" t="s">
        <v>87</v>
      </c>
      <c r="C160" s="16"/>
      <c r="D160" s="16" t="s">
        <v>88</v>
      </c>
      <c r="E160" s="16" t="s">
        <v>142</v>
      </c>
      <c r="F160" s="16" t="s">
        <v>90</v>
      </c>
      <c r="G160" s="16"/>
      <c r="H160" s="17" t="s">
        <v>170</v>
      </c>
      <c r="I160" s="18">
        <v>10</v>
      </c>
      <c r="J160" s="18" t="s">
        <v>66</v>
      </c>
      <c r="K160" s="19">
        <v>0</v>
      </c>
      <c r="L160" s="22">
        <f t="shared" si="17"/>
        <v>10</v>
      </c>
    </row>
    <row r="161" spans="1:12" s="3" customFormat="1">
      <c r="A161" s="15">
        <v>156</v>
      </c>
      <c r="B161" s="16" t="s">
        <v>87</v>
      </c>
      <c r="C161" s="16"/>
      <c r="D161" s="16" t="s">
        <v>88</v>
      </c>
      <c r="E161" s="16" t="s">
        <v>142</v>
      </c>
      <c r="F161" s="16" t="s">
        <v>90</v>
      </c>
      <c r="G161" s="16"/>
      <c r="H161" s="17" t="s">
        <v>171</v>
      </c>
      <c r="I161" s="18">
        <v>11</v>
      </c>
      <c r="J161" s="18" t="s">
        <v>66</v>
      </c>
      <c r="K161" s="19">
        <v>0</v>
      </c>
      <c r="L161" s="22">
        <f t="shared" si="17"/>
        <v>11</v>
      </c>
    </row>
    <row r="162" spans="1:12" s="3" customFormat="1">
      <c r="A162" s="15">
        <v>157</v>
      </c>
      <c r="B162" s="16" t="s">
        <v>87</v>
      </c>
      <c r="C162" s="16"/>
      <c r="D162" s="16" t="s">
        <v>88</v>
      </c>
      <c r="E162" s="16" t="s">
        <v>142</v>
      </c>
      <c r="F162" s="16" t="s">
        <v>90</v>
      </c>
      <c r="G162" s="16"/>
      <c r="H162" s="17" t="s">
        <v>172</v>
      </c>
      <c r="I162" s="18">
        <v>4</v>
      </c>
      <c r="J162" s="18" t="s">
        <v>66</v>
      </c>
      <c r="K162" s="19">
        <v>0</v>
      </c>
      <c r="L162" s="22">
        <f t="shared" si="17"/>
        <v>4</v>
      </c>
    </row>
    <row r="163" spans="1:12" s="3" customFormat="1">
      <c r="A163" s="15">
        <v>158</v>
      </c>
      <c r="B163" s="16" t="s">
        <v>87</v>
      </c>
      <c r="C163" s="16"/>
      <c r="D163" s="16" t="s">
        <v>88</v>
      </c>
      <c r="E163" s="16" t="s">
        <v>142</v>
      </c>
      <c r="F163" s="16" t="s">
        <v>90</v>
      </c>
      <c r="G163" s="16"/>
      <c r="H163" s="17" t="s">
        <v>173</v>
      </c>
      <c r="I163" s="18">
        <v>13</v>
      </c>
      <c r="J163" s="18" t="s">
        <v>66</v>
      </c>
      <c r="K163" s="19">
        <v>0</v>
      </c>
      <c r="L163" s="22">
        <f t="shared" si="17"/>
        <v>13</v>
      </c>
    </row>
    <row r="164" spans="1:12" s="3" customFormat="1">
      <c r="A164" s="15">
        <v>159</v>
      </c>
      <c r="B164" s="16" t="s">
        <v>87</v>
      </c>
      <c r="C164" s="16"/>
      <c r="D164" s="16" t="s">
        <v>88</v>
      </c>
      <c r="E164" s="16" t="s">
        <v>142</v>
      </c>
      <c r="F164" s="16" t="s">
        <v>90</v>
      </c>
      <c r="G164" s="16"/>
      <c r="H164" s="17" t="s">
        <v>174</v>
      </c>
      <c r="I164" s="18">
        <v>11</v>
      </c>
      <c r="J164" s="18" t="s">
        <v>66</v>
      </c>
      <c r="K164" s="19">
        <v>0</v>
      </c>
      <c r="L164" s="22">
        <f t="shared" si="17"/>
        <v>11</v>
      </c>
    </row>
    <row r="165" spans="1:12" s="3" customFormat="1">
      <c r="A165" s="15">
        <v>160</v>
      </c>
      <c r="B165" s="16" t="s">
        <v>87</v>
      </c>
      <c r="C165" s="16"/>
      <c r="D165" s="16" t="s">
        <v>88</v>
      </c>
      <c r="E165" s="16" t="s">
        <v>142</v>
      </c>
      <c r="F165" s="16" t="s">
        <v>90</v>
      </c>
      <c r="G165" s="16"/>
      <c r="H165" s="17" t="s">
        <v>175</v>
      </c>
      <c r="I165" s="18">
        <v>13</v>
      </c>
      <c r="J165" s="18" t="s">
        <v>66</v>
      </c>
      <c r="K165" s="19">
        <v>0</v>
      </c>
      <c r="L165" s="22">
        <f t="shared" si="17"/>
        <v>13</v>
      </c>
    </row>
    <row r="166" spans="1:12" s="3" customFormat="1">
      <c r="A166" s="15">
        <v>161</v>
      </c>
      <c r="B166" s="16" t="s">
        <v>87</v>
      </c>
      <c r="C166" s="16"/>
      <c r="D166" s="16" t="s">
        <v>88</v>
      </c>
      <c r="E166" s="16" t="s">
        <v>142</v>
      </c>
      <c r="F166" s="16" t="s">
        <v>90</v>
      </c>
      <c r="G166" s="16"/>
      <c r="H166" s="17" t="s">
        <v>176</v>
      </c>
      <c r="I166" s="18">
        <v>3</v>
      </c>
      <c r="J166" s="18" t="s">
        <v>66</v>
      </c>
      <c r="K166" s="19">
        <v>0</v>
      </c>
      <c r="L166" s="22">
        <f t="shared" si="17"/>
        <v>3</v>
      </c>
    </row>
    <row r="167" spans="1:12" s="3" customFormat="1">
      <c r="A167" s="15">
        <v>162</v>
      </c>
      <c r="B167" s="16" t="s">
        <v>87</v>
      </c>
      <c r="C167" s="16"/>
      <c r="D167" s="16" t="s">
        <v>88</v>
      </c>
      <c r="E167" s="16" t="s">
        <v>142</v>
      </c>
      <c r="F167" s="16" t="s">
        <v>90</v>
      </c>
      <c r="G167" s="16"/>
      <c r="H167" s="17" t="s">
        <v>177</v>
      </c>
      <c r="I167" s="18">
        <v>7</v>
      </c>
      <c r="J167" s="18" t="s">
        <v>66</v>
      </c>
      <c r="K167" s="19">
        <v>0</v>
      </c>
      <c r="L167" s="22">
        <f t="shared" si="17"/>
        <v>7</v>
      </c>
    </row>
    <row r="168" spans="1:12" s="3" customFormat="1">
      <c r="A168" s="15">
        <v>163</v>
      </c>
      <c r="B168" s="16" t="s">
        <v>87</v>
      </c>
      <c r="C168" s="16"/>
      <c r="D168" s="16" t="s">
        <v>88</v>
      </c>
      <c r="E168" s="16" t="s">
        <v>142</v>
      </c>
      <c r="F168" s="16" t="s">
        <v>90</v>
      </c>
      <c r="G168" s="16"/>
      <c r="H168" s="17" t="s">
        <v>178</v>
      </c>
      <c r="I168" s="18">
        <v>8</v>
      </c>
      <c r="J168" s="18" t="s">
        <v>66</v>
      </c>
      <c r="K168" s="19">
        <v>0</v>
      </c>
      <c r="L168" s="22">
        <f t="shared" si="17"/>
        <v>8</v>
      </c>
    </row>
    <row r="169" spans="1:12" s="3" customFormat="1">
      <c r="A169" s="15">
        <v>164</v>
      </c>
      <c r="B169" s="16" t="s">
        <v>87</v>
      </c>
      <c r="C169" s="16"/>
      <c r="D169" s="16" t="s">
        <v>88</v>
      </c>
      <c r="E169" s="16" t="s">
        <v>142</v>
      </c>
      <c r="F169" s="16" t="s">
        <v>90</v>
      </c>
      <c r="G169" s="16"/>
      <c r="H169" s="17" t="s">
        <v>179</v>
      </c>
      <c r="I169" s="18">
        <v>10</v>
      </c>
      <c r="J169" s="18" t="s">
        <v>66</v>
      </c>
      <c r="K169" s="19">
        <v>0</v>
      </c>
      <c r="L169" s="22">
        <f t="shared" si="17"/>
        <v>10</v>
      </c>
    </row>
    <row r="170" spans="1:12" s="3" customFormat="1">
      <c r="A170" s="15">
        <v>165</v>
      </c>
      <c r="B170" s="16" t="s">
        <v>87</v>
      </c>
      <c r="C170" s="16"/>
      <c r="D170" s="16" t="s">
        <v>88</v>
      </c>
      <c r="E170" s="16" t="s">
        <v>142</v>
      </c>
      <c r="F170" s="16" t="s">
        <v>90</v>
      </c>
      <c r="G170" s="16"/>
      <c r="H170" s="17" t="s">
        <v>180</v>
      </c>
      <c r="I170" s="18">
        <v>9</v>
      </c>
      <c r="J170" s="18" t="s">
        <v>66</v>
      </c>
      <c r="K170" s="19">
        <v>0</v>
      </c>
      <c r="L170" s="22">
        <f t="shared" si="17"/>
        <v>9</v>
      </c>
    </row>
    <row r="171" spans="1:12" s="3" customFormat="1">
      <c r="A171" s="15">
        <v>166</v>
      </c>
      <c r="B171" s="16" t="s">
        <v>87</v>
      </c>
      <c r="C171" s="16"/>
      <c r="D171" s="16" t="s">
        <v>88</v>
      </c>
      <c r="E171" s="16" t="s">
        <v>142</v>
      </c>
      <c r="F171" s="16" t="s">
        <v>90</v>
      </c>
      <c r="G171" s="16"/>
      <c r="H171" s="17" t="s">
        <v>181</v>
      </c>
      <c r="I171" s="18">
        <v>10</v>
      </c>
      <c r="J171" s="18" t="s">
        <v>66</v>
      </c>
      <c r="K171" s="19">
        <v>0</v>
      </c>
      <c r="L171" s="22">
        <f t="shared" si="17"/>
        <v>10</v>
      </c>
    </row>
    <row r="172" spans="1:12" s="3" customFormat="1">
      <c r="A172" s="15">
        <v>167</v>
      </c>
      <c r="B172" s="16" t="s">
        <v>87</v>
      </c>
      <c r="C172" s="16"/>
      <c r="D172" s="16" t="s">
        <v>88</v>
      </c>
      <c r="E172" s="16" t="s">
        <v>142</v>
      </c>
      <c r="F172" s="16" t="s">
        <v>90</v>
      </c>
      <c r="G172" s="16"/>
      <c r="H172" s="17" t="s">
        <v>182</v>
      </c>
      <c r="I172" s="18">
        <v>9</v>
      </c>
      <c r="J172" s="18" t="s">
        <v>66</v>
      </c>
      <c r="K172" s="19">
        <v>0</v>
      </c>
      <c r="L172" s="22">
        <f t="shared" si="17"/>
        <v>9</v>
      </c>
    </row>
    <row r="173" spans="1:12" s="3" customFormat="1">
      <c r="A173" s="15">
        <v>168</v>
      </c>
      <c r="B173" s="16" t="s">
        <v>87</v>
      </c>
      <c r="C173" s="16"/>
      <c r="D173" s="16" t="s">
        <v>88</v>
      </c>
      <c r="E173" s="16" t="s">
        <v>142</v>
      </c>
      <c r="F173" s="16" t="s">
        <v>90</v>
      </c>
      <c r="G173" s="16"/>
      <c r="H173" s="17" t="s">
        <v>183</v>
      </c>
      <c r="I173" s="18">
        <v>9</v>
      </c>
      <c r="J173" s="18" t="s">
        <v>66</v>
      </c>
      <c r="K173" s="19">
        <v>0</v>
      </c>
      <c r="L173" s="22">
        <f t="shared" si="17"/>
        <v>9</v>
      </c>
    </row>
    <row r="174" spans="1:12" s="3" customFormat="1">
      <c r="A174" s="15">
        <v>169</v>
      </c>
      <c r="B174" s="16" t="s">
        <v>87</v>
      </c>
      <c r="C174" s="16"/>
      <c r="D174" s="16" t="s">
        <v>88</v>
      </c>
      <c r="E174" s="16" t="s">
        <v>142</v>
      </c>
      <c r="F174" s="16" t="s">
        <v>90</v>
      </c>
      <c r="G174" s="16"/>
      <c r="H174" s="17" t="s">
        <v>184</v>
      </c>
      <c r="I174" s="18">
        <v>11</v>
      </c>
      <c r="J174" s="18" t="s">
        <v>66</v>
      </c>
      <c r="K174" s="19">
        <v>0</v>
      </c>
      <c r="L174" s="22">
        <f t="shared" si="17"/>
        <v>11</v>
      </c>
    </row>
    <row r="175" spans="1:12" s="3" customFormat="1">
      <c r="A175" s="15">
        <v>170</v>
      </c>
      <c r="B175" s="16" t="s">
        <v>87</v>
      </c>
      <c r="C175" s="16"/>
      <c r="D175" s="16" t="s">
        <v>88</v>
      </c>
      <c r="E175" s="16" t="s">
        <v>142</v>
      </c>
      <c r="F175" s="16" t="s">
        <v>90</v>
      </c>
      <c r="G175" s="16"/>
      <c r="H175" s="17" t="s">
        <v>185</v>
      </c>
      <c r="I175" s="18">
        <v>10</v>
      </c>
      <c r="J175" s="18" t="s">
        <v>66</v>
      </c>
      <c r="K175" s="19">
        <v>0</v>
      </c>
      <c r="L175" s="22">
        <f t="shared" si="17"/>
        <v>10</v>
      </c>
    </row>
    <row r="176" spans="1:12" s="3" customFormat="1">
      <c r="A176" s="15">
        <v>171</v>
      </c>
      <c r="B176" s="16" t="s">
        <v>87</v>
      </c>
      <c r="C176" s="16"/>
      <c r="D176" s="16" t="s">
        <v>88</v>
      </c>
      <c r="E176" s="16" t="s">
        <v>142</v>
      </c>
      <c r="F176" s="16" t="s">
        <v>90</v>
      </c>
      <c r="G176" s="16"/>
      <c r="H176" s="17" t="s">
        <v>186</v>
      </c>
      <c r="I176" s="18">
        <v>4</v>
      </c>
      <c r="J176" s="18" t="s">
        <v>66</v>
      </c>
      <c r="K176" s="19">
        <v>0</v>
      </c>
      <c r="L176" s="22">
        <f t="shared" si="17"/>
        <v>4</v>
      </c>
    </row>
    <row r="177" spans="1:12" s="3" customFormat="1">
      <c r="A177" s="15">
        <v>172</v>
      </c>
      <c r="B177" s="16" t="s">
        <v>87</v>
      </c>
      <c r="C177" s="16"/>
      <c r="D177" s="16" t="s">
        <v>88</v>
      </c>
      <c r="E177" s="16" t="s">
        <v>142</v>
      </c>
      <c r="F177" s="16" t="s">
        <v>90</v>
      </c>
      <c r="G177" s="16"/>
      <c r="H177" s="17" t="s">
        <v>187</v>
      </c>
      <c r="I177" s="18">
        <v>32</v>
      </c>
      <c r="J177" s="18" t="s">
        <v>66</v>
      </c>
      <c r="K177" s="19">
        <v>0</v>
      </c>
      <c r="L177" s="22">
        <f t="shared" si="17"/>
        <v>32</v>
      </c>
    </row>
    <row r="178" spans="1:12" s="3" customFormat="1">
      <c r="A178" s="15">
        <v>173</v>
      </c>
      <c r="B178" s="16" t="s">
        <v>87</v>
      </c>
      <c r="C178" s="16"/>
      <c r="D178" s="16" t="s">
        <v>88</v>
      </c>
      <c r="E178" s="16" t="s">
        <v>142</v>
      </c>
      <c r="F178" s="16" t="s">
        <v>90</v>
      </c>
      <c r="G178" s="16"/>
      <c r="H178" s="17" t="s">
        <v>188</v>
      </c>
      <c r="I178" s="18">
        <v>40</v>
      </c>
      <c r="J178" s="18" t="s">
        <v>66</v>
      </c>
      <c r="K178" s="19">
        <v>0</v>
      </c>
      <c r="L178" s="22">
        <f t="shared" si="17"/>
        <v>40</v>
      </c>
    </row>
    <row r="179" spans="1:12" s="3" customFormat="1" hidden="1">
      <c r="A179" s="15"/>
      <c r="B179" s="16"/>
      <c r="C179" s="16"/>
      <c r="D179" s="16"/>
      <c r="E179" s="16" t="s">
        <v>142</v>
      </c>
      <c r="F179" s="16" t="s">
        <v>90</v>
      </c>
      <c r="G179" s="16"/>
      <c r="H179" s="17"/>
      <c r="I179" s="22"/>
      <c r="J179" s="18"/>
      <c r="K179" s="19"/>
      <c r="L179" s="22"/>
    </row>
    <row r="180" spans="1:12" s="3" customFormat="1" hidden="1">
      <c r="A180" s="15"/>
      <c r="B180" s="16"/>
      <c r="C180" s="16"/>
      <c r="D180" s="16"/>
      <c r="E180" s="16" t="s">
        <v>142</v>
      </c>
      <c r="F180" s="16" t="s">
        <v>90</v>
      </c>
      <c r="G180" s="16"/>
      <c r="H180" s="17"/>
      <c r="I180" s="22"/>
      <c r="J180" s="18"/>
      <c r="K180" s="19"/>
      <c r="L180" s="22"/>
    </row>
    <row r="181" spans="1:12" s="3" customFormat="1">
      <c r="A181" s="15">
        <v>174</v>
      </c>
      <c r="B181" s="16" t="s">
        <v>87</v>
      </c>
      <c r="C181" s="16"/>
      <c r="D181" s="16" t="s">
        <v>88</v>
      </c>
      <c r="E181" s="16" t="s">
        <v>189</v>
      </c>
      <c r="F181" s="16" t="s">
        <v>90</v>
      </c>
      <c r="G181" s="16"/>
      <c r="H181" s="17" t="s">
        <v>190</v>
      </c>
      <c r="I181" s="31">
        <f>369/10</f>
        <v>36.9</v>
      </c>
      <c r="J181" s="18" t="s">
        <v>66</v>
      </c>
      <c r="K181" s="19">
        <v>0</v>
      </c>
      <c r="L181" s="22">
        <f t="shared" ref="L181" si="18">(K181*I181)+I181</f>
        <v>36.9</v>
      </c>
    </row>
    <row r="182" spans="1:12" s="3" customFormat="1" ht="16.5">
      <c r="A182" s="15">
        <v>175</v>
      </c>
      <c r="B182" s="16" t="s">
        <v>87</v>
      </c>
      <c r="C182" s="16"/>
      <c r="D182" s="16" t="s">
        <v>88</v>
      </c>
      <c r="E182" s="16" t="s">
        <v>191</v>
      </c>
      <c r="F182" s="16" t="s">
        <v>90</v>
      </c>
      <c r="G182" s="16"/>
      <c r="H182" s="25" t="s">
        <v>192</v>
      </c>
      <c r="I182" s="22">
        <v>7810</v>
      </c>
      <c r="J182" s="18" t="s">
        <v>22</v>
      </c>
      <c r="K182" s="19">
        <v>0.05</v>
      </c>
      <c r="L182" s="22">
        <f t="shared" ref="L182:L184" si="19">(K182*I182)+I182</f>
        <v>8200.5</v>
      </c>
    </row>
    <row r="183" spans="1:12" s="3" customFormat="1" ht="16.5">
      <c r="A183" s="15">
        <v>176</v>
      </c>
      <c r="B183" s="16" t="s">
        <v>87</v>
      </c>
      <c r="C183" s="16"/>
      <c r="D183" s="16" t="s">
        <v>88</v>
      </c>
      <c r="E183" s="16" t="s">
        <v>191</v>
      </c>
      <c r="F183" s="16" t="s">
        <v>90</v>
      </c>
      <c r="G183" s="16"/>
      <c r="H183" s="21" t="s">
        <v>193</v>
      </c>
      <c r="I183" s="18">
        <f>ROUND(L182/32,0)</f>
        <v>256</v>
      </c>
      <c r="J183" s="18" t="s">
        <v>66</v>
      </c>
      <c r="K183" s="19">
        <v>0</v>
      </c>
      <c r="L183" s="22">
        <f t="shared" si="19"/>
        <v>256</v>
      </c>
    </row>
    <row r="184" spans="1:12" s="3" customFormat="1" ht="16.5">
      <c r="A184" s="15">
        <v>177</v>
      </c>
      <c r="B184" s="16" t="s">
        <v>87</v>
      </c>
      <c r="C184" s="16"/>
      <c r="D184" s="16" t="s">
        <v>88</v>
      </c>
      <c r="E184" s="16" t="s">
        <v>191</v>
      </c>
      <c r="F184" s="16" t="s">
        <v>90</v>
      </c>
      <c r="G184" s="16"/>
      <c r="H184" s="21" t="s">
        <v>194</v>
      </c>
      <c r="I184" s="18">
        <f>I183*75</f>
        <v>19200</v>
      </c>
      <c r="J184" s="18" t="s">
        <v>66</v>
      </c>
      <c r="K184" s="19">
        <v>0</v>
      </c>
      <c r="L184" s="22">
        <f t="shared" si="19"/>
        <v>19200</v>
      </c>
    </row>
    <row r="185" spans="1:12" s="3" customFormat="1" hidden="1">
      <c r="A185" s="15"/>
      <c r="B185" s="16" t="s">
        <v>87</v>
      </c>
      <c r="C185" s="16"/>
      <c r="D185" s="16"/>
      <c r="E185" s="16" t="s">
        <v>191</v>
      </c>
      <c r="F185" s="16" t="s">
        <v>90</v>
      </c>
      <c r="G185" s="16"/>
      <c r="H185" s="17"/>
      <c r="I185" s="22"/>
      <c r="J185" s="18"/>
      <c r="K185" s="19"/>
      <c r="L185" s="22"/>
    </row>
    <row r="186" spans="1:12" s="3" customFormat="1" ht="16.5">
      <c r="A186" s="15">
        <v>178</v>
      </c>
      <c r="B186" s="16" t="s">
        <v>195</v>
      </c>
      <c r="C186" s="16" t="s">
        <v>195</v>
      </c>
      <c r="D186" s="16" t="s">
        <v>88</v>
      </c>
      <c r="E186" s="16" t="s">
        <v>196</v>
      </c>
      <c r="F186" s="16" t="s">
        <v>197</v>
      </c>
      <c r="G186" s="16"/>
      <c r="H186" s="34" t="s">
        <v>198</v>
      </c>
      <c r="I186" s="22">
        <v>6.03</v>
      </c>
      <c r="J186" s="18" t="s">
        <v>199</v>
      </c>
      <c r="K186" s="19">
        <v>0.05</v>
      </c>
      <c r="L186" s="22">
        <f t="shared" ref="L186:L197" si="20">(K186*I186)+I186</f>
        <v>6.3315000000000001</v>
      </c>
    </row>
    <row r="187" spans="1:12" s="3" customFormat="1">
      <c r="A187" s="15">
        <v>179</v>
      </c>
      <c r="B187" s="16" t="s">
        <v>195</v>
      </c>
      <c r="C187" s="16" t="s">
        <v>195</v>
      </c>
      <c r="D187" s="16" t="s">
        <v>88</v>
      </c>
      <c r="E187" s="16" t="s">
        <v>196</v>
      </c>
      <c r="F187" s="16" t="s">
        <v>197</v>
      </c>
      <c r="G187" s="16"/>
      <c r="H187" s="17" t="s">
        <v>200</v>
      </c>
      <c r="I187" s="22">
        <v>5.9</v>
      </c>
      <c r="J187" s="18" t="s">
        <v>199</v>
      </c>
      <c r="K187" s="19">
        <v>0.05</v>
      </c>
      <c r="L187" s="22">
        <f t="shared" si="20"/>
        <v>6.1950000000000003</v>
      </c>
    </row>
    <row r="188" spans="1:12" s="3" customFormat="1">
      <c r="A188" s="15">
        <v>180</v>
      </c>
      <c r="B188" s="16" t="s">
        <v>195</v>
      </c>
      <c r="C188" s="16" t="s">
        <v>195</v>
      </c>
      <c r="D188" s="16" t="s">
        <v>88</v>
      </c>
      <c r="E188" s="16" t="s">
        <v>196</v>
      </c>
      <c r="F188" s="16" t="s">
        <v>197</v>
      </c>
      <c r="G188" s="16"/>
      <c r="H188" s="17" t="s">
        <v>201</v>
      </c>
      <c r="I188" s="22">
        <v>37.21</v>
      </c>
      <c r="J188" s="18" t="s">
        <v>199</v>
      </c>
      <c r="K188" s="19">
        <v>0.05</v>
      </c>
      <c r="L188" s="22">
        <f t="shared" si="20"/>
        <v>39.070500000000003</v>
      </c>
    </row>
    <row r="189" spans="1:12" s="3" customFormat="1">
      <c r="A189" s="15">
        <v>181</v>
      </c>
      <c r="B189" s="16" t="s">
        <v>195</v>
      </c>
      <c r="C189" s="16" t="s">
        <v>195</v>
      </c>
      <c r="D189" s="16" t="s">
        <v>88</v>
      </c>
      <c r="E189" s="16" t="s">
        <v>196</v>
      </c>
      <c r="F189" s="16" t="s">
        <v>197</v>
      </c>
      <c r="G189" s="16"/>
      <c r="H189" s="17" t="s">
        <v>202</v>
      </c>
      <c r="I189" s="22">
        <v>27.8</v>
      </c>
      <c r="J189" s="18" t="s">
        <v>199</v>
      </c>
      <c r="K189" s="19">
        <v>0.05</v>
      </c>
      <c r="L189" s="22">
        <f t="shared" si="20"/>
        <v>29.19</v>
      </c>
    </row>
    <row r="190" spans="1:12" s="3" customFormat="1" ht="16.5">
      <c r="A190" s="15">
        <v>182</v>
      </c>
      <c r="B190" s="16" t="s">
        <v>195</v>
      </c>
      <c r="C190" s="16" t="s">
        <v>195</v>
      </c>
      <c r="D190" s="16" t="s">
        <v>88</v>
      </c>
      <c r="E190" s="16" t="s">
        <v>196</v>
      </c>
      <c r="F190" s="16" t="s">
        <v>197</v>
      </c>
      <c r="G190" s="16"/>
      <c r="H190" s="34" t="s">
        <v>203</v>
      </c>
      <c r="I190" s="22">
        <v>10.67</v>
      </c>
      <c r="J190" s="18" t="s">
        <v>199</v>
      </c>
      <c r="K190" s="19">
        <v>0.05</v>
      </c>
      <c r="L190" s="22">
        <f t="shared" si="20"/>
        <v>11.2035</v>
      </c>
    </row>
    <row r="191" spans="1:12" s="3" customFormat="1">
      <c r="A191" s="15">
        <v>183</v>
      </c>
      <c r="B191" s="16" t="s">
        <v>195</v>
      </c>
      <c r="C191" s="16" t="s">
        <v>195</v>
      </c>
      <c r="D191" s="16" t="s">
        <v>88</v>
      </c>
      <c r="E191" s="16" t="s">
        <v>196</v>
      </c>
      <c r="F191" s="16" t="s">
        <v>197</v>
      </c>
      <c r="G191" s="16"/>
      <c r="H191" s="17" t="s">
        <v>204</v>
      </c>
      <c r="I191" s="22">
        <v>29.32</v>
      </c>
      <c r="J191" s="18" t="s">
        <v>199</v>
      </c>
      <c r="K191" s="19">
        <v>0.05</v>
      </c>
      <c r="L191" s="22">
        <f t="shared" si="20"/>
        <v>30.786000000000001</v>
      </c>
    </row>
    <row r="192" spans="1:12" s="3" customFormat="1">
      <c r="A192" s="15">
        <v>184</v>
      </c>
      <c r="B192" s="16" t="s">
        <v>195</v>
      </c>
      <c r="C192" s="16" t="s">
        <v>195</v>
      </c>
      <c r="D192" s="16" t="s">
        <v>88</v>
      </c>
      <c r="E192" s="16" t="s">
        <v>196</v>
      </c>
      <c r="F192" s="16" t="s">
        <v>197</v>
      </c>
      <c r="G192" s="16"/>
      <c r="H192" s="17" t="s">
        <v>205</v>
      </c>
      <c r="I192" s="22">
        <v>4.95</v>
      </c>
      <c r="J192" s="18" t="s">
        <v>199</v>
      </c>
      <c r="K192" s="19">
        <v>0.05</v>
      </c>
      <c r="L192" s="22">
        <f t="shared" si="20"/>
        <v>5.1974999999999998</v>
      </c>
    </row>
    <row r="193" spans="1:12" s="3" customFormat="1">
      <c r="A193" s="15">
        <v>185</v>
      </c>
      <c r="B193" s="16" t="s">
        <v>195</v>
      </c>
      <c r="C193" s="16" t="s">
        <v>195</v>
      </c>
      <c r="D193" s="16" t="s">
        <v>88</v>
      </c>
      <c r="E193" s="16" t="s">
        <v>196</v>
      </c>
      <c r="F193" s="16" t="s">
        <v>197</v>
      </c>
      <c r="G193" s="16"/>
      <c r="H193" s="17" t="s">
        <v>206</v>
      </c>
      <c r="I193" s="22">
        <v>4.96</v>
      </c>
      <c r="J193" s="18" t="s">
        <v>199</v>
      </c>
      <c r="K193" s="19">
        <v>0.05</v>
      </c>
      <c r="L193" s="22">
        <f t="shared" si="20"/>
        <v>5.2080000000000002</v>
      </c>
    </row>
    <row r="194" spans="1:12" s="3" customFormat="1">
      <c r="A194" s="15">
        <v>186</v>
      </c>
      <c r="B194" s="16" t="s">
        <v>195</v>
      </c>
      <c r="C194" s="16" t="s">
        <v>195</v>
      </c>
      <c r="D194" s="16" t="s">
        <v>88</v>
      </c>
      <c r="E194" s="16" t="s">
        <v>196</v>
      </c>
      <c r="F194" s="16" t="s">
        <v>197</v>
      </c>
      <c r="G194" s="16"/>
      <c r="H194" s="17" t="s">
        <v>207</v>
      </c>
      <c r="I194" s="22">
        <v>2.94</v>
      </c>
      <c r="J194" s="18" t="s">
        <v>199</v>
      </c>
      <c r="K194" s="19">
        <v>0.05</v>
      </c>
      <c r="L194" s="22">
        <f t="shared" si="20"/>
        <v>3.0869999999999997</v>
      </c>
    </row>
    <row r="195" spans="1:12" s="3" customFormat="1" ht="16.5">
      <c r="A195" s="15">
        <v>187</v>
      </c>
      <c r="B195" s="16" t="s">
        <v>195</v>
      </c>
      <c r="C195" s="16" t="s">
        <v>195</v>
      </c>
      <c r="D195" s="16" t="s">
        <v>88</v>
      </c>
      <c r="E195" s="16" t="s">
        <v>196</v>
      </c>
      <c r="F195" s="16" t="s">
        <v>197</v>
      </c>
      <c r="G195" s="16"/>
      <c r="H195" s="34" t="s">
        <v>208</v>
      </c>
      <c r="I195" s="22">
        <v>38.96</v>
      </c>
      <c r="J195" s="18" t="s">
        <v>199</v>
      </c>
      <c r="K195" s="19">
        <v>0.05</v>
      </c>
      <c r="L195" s="22">
        <f t="shared" si="20"/>
        <v>40.908000000000001</v>
      </c>
    </row>
    <row r="196" spans="1:12" s="3" customFormat="1" ht="16.5">
      <c r="A196" s="15">
        <v>188</v>
      </c>
      <c r="B196" s="16" t="s">
        <v>195</v>
      </c>
      <c r="C196" s="16" t="s">
        <v>195</v>
      </c>
      <c r="D196" s="16" t="s">
        <v>88</v>
      </c>
      <c r="E196" s="16" t="s">
        <v>196</v>
      </c>
      <c r="F196" s="16" t="s">
        <v>197</v>
      </c>
      <c r="G196" s="16"/>
      <c r="H196" s="34" t="s">
        <v>209</v>
      </c>
      <c r="I196" s="22">
        <v>24.6</v>
      </c>
      <c r="J196" s="18" t="s">
        <v>199</v>
      </c>
      <c r="K196" s="19">
        <v>0.05</v>
      </c>
      <c r="L196" s="22">
        <f t="shared" si="20"/>
        <v>25.830000000000002</v>
      </c>
    </row>
    <row r="197" spans="1:12" s="3" customFormat="1" ht="16.5">
      <c r="A197" s="15">
        <v>189</v>
      </c>
      <c r="B197" s="16" t="s">
        <v>195</v>
      </c>
      <c r="C197" s="16" t="s">
        <v>195</v>
      </c>
      <c r="D197" s="16" t="s">
        <v>88</v>
      </c>
      <c r="E197" s="16" t="s">
        <v>196</v>
      </c>
      <c r="F197" s="16" t="s">
        <v>197</v>
      </c>
      <c r="G197" s="16"/>
      <c r="H197" s="34" t="s">
        <v>210</v>
      </c>
      <c r="I197" s="22">
        <v>3.73</v>
      </c>
      <c r="J197" s="18" t="s">
        <v>199</v>
      </c>
      <c r="K197" s="19">
        <v>0.05</v>
      </c>
      <c r="L197" s="22">
        <f t="shared" si="20"/>
        <v>3.9165000000000001</v>
      </c>
    </row>
    <row r="198" spans="1:12" s="3" customFormat="1" ht="16.5">
      <c r="A198" s="15">
        <v>190</v>
      </c>
      <c r="B198" s="16" t="s">
        <v>195</v>
      </c>
      <c r="C198" s="16" t="s">
        <v>195</v>
      </c>
      <c r="D198" s="16" t="s">
        <v>88</v>
      </c>
      <c r="E198" s="16" t="s">
        <v>211</v>
      </c>
      <c r="F198" s="16" t="s">
        <v>212</v>
      </c>
      <c r="G198" s="16"/>
      <c r="H198" s="34" t="s">
        <v>213</v>
      </c>
      <c r="I198" s="22">
        <v>1185</v>
      </c>
      <c r="J198" s="18" t="s">
        <v>199</v>
      </c>
      <c r="K198" s="19">
        <v>0.05</v>
      </c>
      <c r="L198" s="22">
        <f t="shared" ref="L198:L199" si="21">(K198*I198)+I198</f>
        <v>1244.25</v>
      </c>
    </row>
    <row r="199" spans="1:12" s="3" customFormat="1">
      <c r="A199" s="15">
        <v>191</v>
      </c>
      <c r="B199" s="16" t="s">
        <v>195</v>
      </c>
      <c r="C199" s="16" t="s">
        <v>195</v>
      </c>
      <c r="D199" s="16" t="s">
        <v>88</v>
      </c>
      <c r="E199" s="16" t="s">
        <v>211</v>
      </c>
      <c r="F199" s="16" t="s">
        <v>212</v>
      </c>
      <c r="G199" s="16"/>
      <c r="H199" s="17" t="s">
        <v>214</v>
      </c>
      <c r="I199" s="22">
        <v>666</v>
      </c>
      <c r="J199" s="18" t="s">
        <v>199</v>
      </c>
      <c r="K199" s="19">
        <v>0.05</v>
      </c>
      <c r="L199" s="22">
        <f t="shared" si="21"/>
        <v>699.3</v>
      </c>
    </row>
    <row r="200" spans="1:12" s="3" customFormat="1" hidden="1">
      <c r="A200" s="15"/>
      <c r="B200" s="16"/>
      <c r="C200" s="16" t="s">
        <v>195</v>
      </c>
      <c r="D200" s="16" t="s">
        <v>88</v>
      </c>
      <c r="E200" s="16"/>
      <c r="F200" s="16" t="s">
        <v>212</v>
      </c>
      <c r="G200" s="16"/>
      <c r="H200" s="21"/>
      <c r="I200" s="18"/>
      <c r="J200" s="18"/>
      <c r="K200" s="19"/>
      <c r="L200" s="22"/>
    </row>
    <row r="201" spans="1:12" s="3" customFormat="1" ht="16.5">
      <c r="A201" s="15">
        <v>192</v>
      </c>
      <c r="B201" s="16" t="s">
        <v>215</v>
      </c>
      <c r="C201" s="16" t="s">
        <v>216</v>
      </c>
      <c r="D201" s="16" t="s">
        <v>217</v>
      </c>
      <c r="E201" s="16" t="s">
        <v>218</v>
      </c>
      <c r="F201" s="16"/>
      <c r="G201" s="16"/>
      <c r="H201" s="25" t="s">
        <v>219</v>
      </c>
      <c r="I201" s="22">
        <f>(3190*1.302)+(3271*1.118)</f>
        <v>7810.3580000000002</v>
      </c>
      <c r="J201" s="18" t="s">
        <v>22</v>
      </c>
      <c r="K201" s="19">
        <v>0.05</v>
      </c>
      <c r="L201" s="22">
        <f t="shared" ref="L201:L214" si="22">(K201*I201)+I201</f>
        <v>8200.8759000000009</v>
      </c>
    </row>
    <row r="202" spans="1:12" s="3" customFormat="1" ht="16.5">
      <c r="A202" s="15">
        <v>193</v>
      </c>
      <c r="B202" s="16" t="s">
        <v>215</v>
      </c>
      <c r="C202" s="16" t="s">
        <v>216</v>
      </c>
      <c r="D202" s="16" t="s">
        <v>217</v>
      </c>
      <c r="E202" s="16" t="s">
        <v>218</v>
      </c>
      <c r="F202" s="16"/>
      <c r="G202" s="16"/>
      <c r="H202" s="25" t="s">
        <v>220</v>
      </c>
      <c r="I202" s="22">
        <v>7810</v>
      </c>
      <c r="J202" s="18" t="s">
        <v>22</v>
      </c>
      <c r="K202" s="19">
        <v>0.05</v>
      </c>
      <c r="L202" s="22">
        <f t="shared" si="22"/>
        <v>8200.5</v>
      </c>
    </row>
    <row r="203" spans="1:12" s="3" customFormat="1">
      <c r="A203" s="15">
        <v>194</v>
      </c>
      <c r="B203" s="16" t="s">
        <v>215</v>
      </c>
      <c r="C203" s="16" t="s">
        <v>216</v>
      </c>
      <c r="D203" s="16" t="s">
        <v>217</v>
      </c>
      <c r="E203" s="16" t="s">
        <v>218</v>
      </c>
      <c r="F203" s="16"/>
      <c r="G203" s="16"/>
      <c r="H203" s="17" t="s">
        <v>221</v>
      </c>
      <c r="I203" s="22">
        <v>135.03</v>
      </c>
      <c r="J203" s="18" t="s">
        <v>199</v>
      </c>
      <c r="K203" s="19">
        <v>0.05</v>
      </c>
      <c r="L203" s="22">
        <f t="shared" si="22"/>
        <v>141.78149999999999</v>
      </c>
    </row>
    <row r="204" spans="1:12" s="3" customFormat="1" hidden="1">
      <c r="A204" s="15">
        <v>195</v>
      </c>
      <c r="B204" s="16" t="s">
        <v>215</v>
      </c>
      <c r="C204" s="16" t="s">
        <v>216</v>
      </c>
      <c r="D204" s="16" t="s">
        <v>217</v>
      </c>
      <c r="E204" s="16" t="s">
        <v>218</v>
      </c>
      <c r="F204" s="16"/>
      <c r="G204" s="16"/>
      <c r="H204" s="17" t="s">
        <v>222</v>
      </c>
      <c r="I204" s="22">
        <v>270.95</v>
      </c>
      <c r="J204" s="18" t="s">
        <v>199</v>
      </c>
      <c r="K204" s="19">
        <v>0.05</v>
      </c>
      <c r="L204" s="22">
        <f t="shared" si="22"/>
        <v>284.4975</v>
      </c>
    </row>
    <row r="205" spans="1:12" s="3" customFormat="1" hidden="1">
      <c r="A205" s="15">
        <v>196</v>
      </c>
      <c r="B205" s="16" t="s">
        <v>215</v>
      </c>
      <c r="C205" s="16" t="s">
        <v>216</v>
      </c>
      <c r="D205" s="16" t="s">
        <v>217</v>
      </c>
      <c r="E205" s="16" t="s">
        <v>218</v>
      </c>
      <c r="F205" s="16"/>
      <c r="G205" s="16"/>
      <c r="H205" s="17" t="s">
        <v>223</v>
      </c>
      <c r="I205" s="22">
        <v>277.39</v>
      </c>
      <c r="J205" s="18" t="s">
        <v>199</v>
      </c>
      <c r="K205" s="19">
        <v>0.05</v>
      </c>
      <c r="L205" s="22">
        <f t="shared" si="22"/>
        <v>291.2595</v>
      </c>
    </row>
    <row r="206" spans="1:12" s="3" customFormat="1">
      <c r="A206" s="15">
        <v>197</v>
      </c>
      <c r="B206" s="16" t="s">
        <v>215</v>
      </c>
      <c r="C206" s="16" t="s">
        <v>216</v>
      </c>
      <c r="D206" s="16" t="s">
        <v>217</v>
      </c>
      <c r="E206" s="16" t="s">
        <v>218</v>
      </c>
      <c r="F206" s="16"/>
      <c r="G206" s="16"/>
      <c r="H206" s="17" t="s">
        <v>224</v>
      </c>
      <c r="I206" s="22">
        <f>378.98+277</f>
        <v>655.98</v>
      </c>
      <c r="J206" s="18" t="s">
        <v>199</v>
      </c>
      <c r="K206" s="19">
        <v>0.05</v>
      </c>
      <c r="L206" s="22">
        <f t="shared" si="22"/>
        <v>688.779</v>
      </c>
    </row>
    <row r="207" spans="1:12" s="3" customFormat="1">
      <c r="A207" s="15">
        <v>198</v>
      </c>
      <c r="B207" s="16" t="s">
        <v>215</v>
      </c>
      <c r="C207" s="16" t="s">
        <v>216</v>
      </c>
      <c r="D207" s="16" t="s">
        <v>217</v>
      </c>
      <c r="E207" s="16" t="s">
        <v>218</v>
      </c>
      <c r="F207" s="16"/>
      <c r="G207" s="16"/>
      <c r="H207" s="17" t="s">
        <v>225</v>
      </c>
      <c r="I207" s="22">
        <v>468.14</v>
      </c>
      <c r="J207" s="18" t="s">
        <v>199</v>
      </c>
      <c r="K207" s="19">
        <v>0.05</v>
      </c>
      <c r="L207" s="22">
        <f t="shared" si="22"/>
        <v>491.54699999999997</v>
      </c>
    </row>
    <row r="208" spans="1:12" s="3" customFormat="1">
      <c r="A208" s="15">
        <v>199</v>
      </c>
      <c r="B208" s="16" t="s">
        <v>215</v>
      </c>
      <c r="C208" s="16" t="s">
        <v>216</v>
      </c>
      <c r="D208" s="16" t="s">
        <v>217</v>
      </c>
      <c r="E208" s="16" t="s">
        <v>218</v>
      </c>
      <c r="F208" s="16"/>
      <c r="G208" s="16"/>
      <c r="H208" s="17" t="s">
        <v>226</v>
      </c>
      <c r="I208" s="22">
        <v>468.14</v>
      </c>
      <c r="J208" s="18" t="s">
        <v>199</v>
      </c>
      <c r="K208" s="19">
        <v>0.05</v>
      </c>
      <c r="L208" s="22">
        <f t="shared" si="22"/>
        <v>491.54699999999997</v>
      </c>
    </row>
    <row r="209" spans="1:12" s="3" customFormat="1">
      <c r="A209" s="15">
        <v>200</v>
      </c>
      <c r="B209" s="16" t="s">
        <v>215</v>
      </c>
      <c r="C209" s="16" t="s">
        <v>216</v>
      </c>
      <c r="D209" s="16" t="s">
        <v>217</v>
      </c>
      <c r="E209" s="16" t="s">
        <v>218</v>
      </c>
      <c r="F209" s="16"/>
      <c r="G209" s="16"/>
      <c r="H209" s="17" t="s">
        <v>227</v>
      </c>
      <c r="I209" s="22">
        <v>424.61</v>
      </c>
      <c r="J209" s="18" t="s">
        <v>22</v>
      </c>
      <c r="K209" s="19">
        <v>0.05</v>
      </c>
      <c r="L209" s="22">
        <f t="shared" si="22"/>
        <v>445.84050000000002</v>
      </c>
    </row>
    <row r="210" spans="1:12" s="3" customFormat="1">
      <c r="A210" s="15">
        <v>201</v>
      </c>
      <c r="B210" s="16" t="s">
        <v>215</v>
      </c>
      <c r="C210" s="16" t="s">
        <v>216</v>
      </c>
      <c r="D210" s="16" t="s">
        <v>217</v>
      </c>
      <c r="E210" s="16" t="s">
        <v>218</v>
      </c>
      <c r="F210" s="16"/>
      <c r="G210" s="16"/>
      <c r="H210" s="17" t="s">
        <v>228</v>
      </c>
      <c r="I210" s="22">
        <v>43.52</v>
      </c>
      <c r="J210" s="18" t="s">
        <v>22</v>
      </c>
      <c r="K210" s="19">
        <v>0.05</v>
      </c>
      <c r="L210" s="22">
        <f t="shared" si="22"/>
        <v>45.696000000000005</v>
      </c>
    </row>
    <row r="211" spans="1:12" s="3" customFormat="1" ht="16.5">
      <c r="A211" s="15">
        <v>202</v>
      </c>
      <c r="B211" s="16" t="s">
        <v>215</v>
      </c>
      <c r="C211" s="16" t="s">
        <v>216</v>
      </c>
      <c r="D211" s="16" t="s">
        <v>217</v>
      </c>
      <c r="E211" s="16" t="s">
        <v>218</v>
      </c>
      <c r="F211" s="16"/>
      <c r="G211" s="16"/>
      <c r="H211" s="25" t="s">
        <v>229</v>
      </c>
      <c r="I211" s="22">
        <v>425</v>
      </c>
      <c r="J211" s="18" t="s">
        <v>199</v>
      </c>
      <c r="K211" s="19">
        <v>0.05</v>
      </c>
      <c r="L211" s="22">
        <f t="shared" si="22"/>
        <v>446.25</v>
      </c>
    </row>
    <row r="212" spans="1:12" s="3" customFormat="1" ht="16.5">
      <c r="A212" s="15">
        <v>203</v>
      </c>
      <c r="B212" s="16" t="s">
        <v>215</v>
      </c>
      <c r="C212" s="16" t="s">
        <v>216</v>
      </c>
      <c r="D212" s="16" t="s">
        <v>217</v>
      </c>
      <c r="E212" s="16" t="s">
        <v>218</v>
      </c>
      <c r="F212" s="16"/>
      <c r="G212" s="16"/>
      <c r="H212" s="25" t="s">
        <v>230</v>
      </c>
      <c r="I212" s="22">
        <v>6</v>
      </c>
      <c r="J212" s="18" t="s">
        <v>66</v>
      </c>
      <c r="K212" s="19">
        <v>0</v>
      </c>
      <c r="L212" s="22">
        <f t="shared" si="22"/>
        <v>6</v>
      </c>
    </row>
    <row r="213" spans="1:12" s="3" customFormat="1" ht="16.5">
      <c r="A213" s="15">
        <v>204</v>
      </c>
      <c r="B213" s="16" t="s">
        <v>215</v>
      </c>
      <c r="C213" s="16" t="s">
        <v>216</v>
      </c>
      <c r="D213" s="16" t="s">
        <v>217</v>
      </c>
      <c r="E213" s="16" t="s">
        <v>218</v>
      </c>
      <c r="F213" s="16"/>
      <c r="G213" s="16"/>
      <c r="H213" s="25" t="s">
        <v>231</v>
      </c>
      <c r="I213" s="22">
        <v>2</v>
      </c>
      <c r="J213" s="18" t="s">
        <v>66</v>
      </c>
      <c r="K213" s="19">
        <v>0</v>
      </c>
      <c r="L213" s="22">
        <f t="shared" si="22"/>
        <v>2</v>
      </c>
    </row>
    <row r="214" spans="1:12" s="3" customFormat="1" ht="16.5">
      <c r="A214" s="15">
        <v>205</v>
      </c>
      <c r="B214" s="16" t="s">
        <v>215</v>
      </c>
      <c r="C214" s="16" t="s">
        <v>216</v>
      </c>
      <c r="D214" s="16" t="s">
        <v>217</v>
      </c>
      <c r="E214" s="16" t="s">
        <v>218</v>
      </c>
      <c r="F214" s="16"/>
      <c r="G214" s="16"/>
      <c r="H214" s="25" t="s">
        <v>232</v>
      </c>
      <c r="I214" s="22">
        <v>3</v>
      </c>
      <c r="J214" s="18" t="s">
        <v>66</v>
      </c>
      <c r="K214" s="19">
        <v>0</v>
      </c>
      <c r="L214" s="22">
        <f t="shared" si="22"/>
        <v>3</v>
      </c>
    </row>
    <row r="215" spans="1:12" s="3" customFormat="1">
      <c r="A215" s="15">
        <v>206</v>
      </c>
      <c r="B215" s="16" t="s">
        <v>58</v>
      </c>
      <c r="C215" s="16" t="s">
        <v>58</v>
      </c>
      <c r="D215" s="16" t="s">
        <v>217</v>
      </c>
      <c r="E215" s="16" t="s">
        <v>233</v>
      </c>
      <c r="F215" s="16"/>
      <c r="G215" s="16"/>
      <c r="H215" s="17" t="s">
        <v>234</v>
      </c>
      <c r="I215" s="22">
        <v>2336.09</v>
      </c>
      <c r="J215" s="18" t="s">
        <v>22</v>
      </c>
      <c r="K215" s="19">
        <v>0.05</v>
      </c>
      <c r="L215" s="22">
        <f t="shared" ref="L215" si="23">(K215*I215)+I215</f>
        <v>2452.8945000000003</v>
      </c>
    </row>
    <row r="216" spans="1:12" s="3" customFormat="1">
      <c r="A216" s="15">
        <v>207</v>
      </c>
      <c r="B216" s="16" t="s">
        <v>195</v>
      </c>
      <c r="C216" s="16" t="s">
        <v>195</v>
      </c>
      <c r="D216" s="16" t="s">
        <v>235</v>
      </c>
      <c r="E216" s="16" t="s">
        <v>236</v>
      </c>
      <c r="F216" s="16"/>
      <c r="G216" s="16"/>
      <c r="H216" s="17" t="s">
        <v>237</v>
      </c>
      <c r="I216" s="22">
        <v>2</v>
      </c>
      <c r="J216" s="18" t="s">
        <v>66</v>
      </c>
      <c r="K216" s="19">
        <v>0</v>
      </c>
      <c r="L216" s="22">
        <f t="shared" ref="L216:L222" si="24">(K216*I216)+I216</f>
        <v>2</v>
      </c>
    </row>
    <row r="217" spans="1:12" s="3" customFormat="1" ht="16.5">
      <c r="A217" s="15">
        <v>208</v>
      </c>
      <c r="B217" s="16" t="s">
        <v>195</v>
      </c>
      <c r="C217" s="16" t="s">
        <v>195</v>
      </c>
      <c r="D217" s="16" t="s">
        <v>235</v>
      </c>
      <c r="E217" s="16" t="s">
        <v>236</v>
      </c>
      <c r="F217" s="16"/>
      <c r="G217" s="16"/>
      <c r="H217" s="34" t="s">
        <v>238</v>
      </c>
      <c r="I217" s="22">
        <v>3</v>
      </c>
      <c r="J217" s="18" t="s">
        <v>66</v>
      </c>
      <c r="K217" s="19">
        <v>0</v>
      </c>
      <c r="L217" s="22">
        <f t="shared" si="24"/>
        <v>3</v>
      </c>
    </row>
    <row r="218" spans="1:12" s="3" customFormat="1">
      <c r="A218" s="15">
        <v>209</v>
      </c>
      <c r="B218" s="16" t="s">
        <v>195</v>
      </c>
      <c r="C218" s="16" t="s">
        <v>195</v>
      </c>
      <c r="D218" s="16" t="s">
        <v>235</v>
      </c>
      <c r="E218" s="16" t="s">
        <v>236</v>
      </c>
      <c r="F218" s="16"/>
      <c r="G218" s="16"/>
      <c r="H218" s="17" t="s">
        <v>239</v>
      </c>
      <c r="I218" s="22">
        <v>4</v>
      </c>
      <c r="J218" s="18" t="s">
        <v>66</v>
      </c>
      <c r="K218" s="19">
        <v>0</v>
      </c>
      <c r="L218" s="22">
        <f t="shared" si="24"/>
        <v>4</v>
      </c>
    </row>
    <row r="219" spans="1:12" s="3" customFormat="1">
      <c r="A219" s="15">
        <v>210</v>
      </c>
      <c r="B219" s="16" t="s">
        <v>195</v>
      </c>
      <c r="C219" s="16" t="s">
        <v>195</v>
      </c>
      <c r="D219" s="16" t="s">
        <v>235</v>
      </c>
      <c r="E219" s="16" t="s">
        <v>236</v>
      </c>
      <c r="F219" s="16"/>
      <c r="G219" s="16"/>
      <c r="H219" s="17" t="s">
        <v>240</v>
      </c>
      <c r="I219" s="22">
        <v>2</v>
      </c>
      <c r="J219" s="18" t="s">
        <v>66</v>
      </c>
      <c r="K219" s="19">
        <v>0</v>
      </c>
      <c r="L219" s="22">
        <f t="shared" si="24"/>
        <v>2</v>
      </c>
    </row>
    <row r="220" spans="1:12" s="3" customFormat="1" ht="16.5">
      <c r="A220" s="15">
        <v>211</v>
      </c>
      <c r="B220" s="16" t="s">
        <v>195</v>
      </c>
      <c r="C220" s="16" t="s">
        <v>195</v>
      </c>
      <c r="D220" s="16" t="s">
        <v>235</v>
      </c>
      <c r="E220" s="16" t="s">
        <v>236</v>
      </c>
      <c r="F220" s="16"/>
      <c r="G220" s="16"/>
      <c r="H220" s="34" t="s">
        <v>241</v>
      </c>
      <c r="I220" s="22">
        <v>1</v>
      </c>
      <c r="J220" s="18" t="s">
        <v>66</v>
      </c>
      <c r="K220" s="19">
        <v>0</v>
      </c>
      <c r="L220" s="22">
        <f t="shared" si="24"/>
        <v>1</v>
      </c>
    </row>
    <row r="221" spans="1:12" s="3" customFormat="1" ht="16.5">
      <c r="A221" s="15">
        <v>212</v>
      </c>
      <c r="B221" s="16" t="s">
        <v>195</v>
      </c>
      <c r="C221" s="16" t="s">
        <v>195</v>
      </c>
      <c r="D221" s="16" t="s">
        <v>235</v>
      </c>
      <c r="E221" s="16" t="s">
        <v>236</v>
      </c>
      <c r="F221" s="16"/>
      <c r="G221" s="16"/>
      <c r="H221" s="34" t="s">
        <v>242</v>
      </c>
      <c r="I221" s="22">
        <v>1</v>
      </c>
      <c r="J221" s="18" t="s">
        <v>66</v>
      </c>
      <c r="K221" s="19">
        <v>0</v>
      </c>
      <c r="L221" s="22">
        <f t="shared" si="24"/>
        <v>1</v>
      </c>
    </row>
    <row r="222" spans="1:12" s="3" customFormat="1">
      <c r="A222" s="15">
        <v>213</v>
      </c>
      <c r="B222" s="16" t="s">
        <v>195</v>
      </c>
      <c r="C222" s="16" t="s">
        <v>195</v>
      </c>
      <c r="D222" s="16" t="s">
        <v>235</v>
      </c>
      <c r="E222" s="16" t="s">
        <v>236</v>
      </c>
      <c r="F222" s="16"/>
      <c r="G222" s="16"/>
      <c r="H222" s="17" t="s">
        <v>243</v>
      </c>
      <c r="I222" s="22">
        <v>6</v>
      </c>
      <c r="J222" s="18" t="s">
        <v>66</v>
      </c>
      <c r="K222" s="19">
        <v>0</v>
      </c>
      <c r="L222" s="22">
        <f t="shared" si="24"/>
        <v>6</v>
      </c>
    </row>
    <row r="223" spans="1:12" s="3" customFormat="1" hidden="1">
      <c r="A223" s="15"/>
      <c r="B223" s="16"/>
      <c r="C223" s="16"/>
      <c r="D223" s="16"/>
      <c r="E223" s="16"/>
      <c r="F223" s="16"/>
      <c r="G223" s="16"/>
      <c r="H223" s="25"/>
      <c r="I223" s="22"/>
      <c r="J223" s="18"/>
      <c r="K223" s="19"/>
      <c r="L223" s="22"/>
    </row>
    <row r="224" spans="1:12" s="3" customFormat="1">
      <c r="A224" s="15">
        <v>214</v>
      </c>
      <c r="B224" s="16" t="s">
        <v>195</v>
      </c>
      <c r="C224" s="16" t="s">
        <v>195</v>
      </c>
      <c r="D224" s="16" t="s">
        <v>235</v>
      </c>
      <c r="E224" s="16" t="s">
        <v>244</v>
      </c>
      <c r="F224" s="16"/>
      <c r="G224" s="16"/>
      <c r="H224" s="17" t="s">
        <v>245</v>
      </c>
      <c r="I224" s="22">
        <v>1</v>
      </c>
      <c r="J224" s="18" t="s">
        <v>66</v>
      </c>
      <c r="K224" s="19">
        <v>0</v>
      </c>
      <c r="L224" s="22">
        <f t="shared" ref="L224:L230" si="25">(K224*I224)+I224</f>
        <v>1</v>
      </c>
    </row>
    <row r="225" spans="1:12" s="3" customFormat="1">
      <c r="A225" s="15">
        <v>215</v>
      </c>
      <c r="B225" s="16" t="s">
        <v>195</v>
      </c>
      <c r="C225" s="16" t="s">
        <v>195</v>
      </c>
      <c r="D225" s="16" t="s">
        <v>235</v>
      </c>
      <c r="E225" s="16" t="s">
        <v>244</v>
      </c>
      <c r="F225" s="16"/>
      <c r="G225" s="16"/>
      <c r="H225" s="17" t="s">
        <v>246</v>
      </c>
      <c r="I225" s="22">
        <v>5</v>
      </c>
      <c r="J225" s="18" t="s">
        <v>66</v>
      </c>
      <c r="K225" s="19">
        <v>0</v>
      </c>
      <c r="L225" s="22">
        <f t="shared" si="25"/>
        <v>5</v>
      </c>
    </row>
    <row r="226" spans="1:12" s="3" customFormat="1">
      <c r="A226" s="15">
        <v>216</v>
      </c>
      <c r="B226" s="16" t="s">
        <v>195</v>
      </c>
      <c r="C226" s="16" t="s">
        <v>195</v>
      </c>
      <c r="D226" s="16" t="s">
        <v>235</v>
      </c>
      <c r="E226" s="16" t="s">
        <v>244</v>
      </c>
      <c r="F226" s="16"/>
      <c r="G226" s="16"/>
      <c r="H226" s="17" t="s">
        <v>247</v>
      </c>
      <c r="I226" s="22">
        <v>1</v>
      </c>
      <c r="J226" s="18" t="s">
        <v>66</v>
      </c>
      <c r="K226" s="19">
        <v>0</v>
      </c>
      <c r="L226" s="22">
        <f t="shared" si="25"/>
        <v>1</v>
      </c>
    </row>
    <row r="227" spans="1:12" s="3" customFormat="1">
      <c r="A227" s="15">
        <v>217</v>
      </c>
      <c r="B227" s="16" t="s">
        <v>195</v>
      </c>
      <c r="C227" s="16" t="s">
        <v>195</v>
      </c>
      <c r="D227" s="16" t="s">
        <v>235</v>
      </c>
      <c r="E227" s="16" t="s">
        <v>244</v>
      </c>
      <c r="F227" s="16"/>
      <c r="G227" s="16"/>
      <c r="H227" s="17" t="s">
        <v>248</v>
      </c>
      <c r="I227" s="22">
        <v>13</v>
      </c>
      <c r="J227" s="18" t="s">
        <v>66</v>
      </c>
      <c r="K227" s="19">
        <v>0</v>
      </c>
      <c r="L227" s="22">
        <f t="shared" si="25"/>
        <v>13</v>
      </c>
    </row>
    <row r="228" spans="1:12" s="3" customFormat="1">
      <c r="A228" s="15">
        <v>218</v>
      </c>
      <c r="B228" s="16" t="s">
        <v>195</v>
      </c>
      <c r="C228" s="16" t="s">
        <v>195</v>
      </c>
      <c r="D228" s="16" t="s">
        <v>235</v>
      </c>
      <c r="E228" s="16" t="s">
        <v>244</v>
      </c>
      <c r="F228" s="16"/>
      <c r="G228" s="16"/>
      <c r="H228" s="17" t="s">
        <v>249</v>
      </c>
      <c r="I228" s="22">
        <v>1</v>
      </c>
      <c r="J228" s="18" t="s">
        <v>66</v>
      </c>
      <c r="K228" s="19">
        <v>0</v>
      </c>
      <c r="L228" s="22">
        <f t="shared" si="25"/>
        <v>1</v>
      </c>
    </row>
    <row r="229" spans="1:12">
      <c r="A229" s="15">
        <v>219</v>
      </c>
      <c r="B229" s="16" t="s">
        <v>195</v>
      </c>
      <c r="C229" s="16" t="s">
        <v>195</v>
      </c>
      <c r="D229" s="16" t="s">
        <v>235</v>
      </c>
      <c r="E229" s="16" t="s">
        <v>244</v>
      </c>
      <c r="F229" s="16"/>
      <c r="G229" s="26"/>
      <c r="H229" s="17" t="s">
        <v>250</v>
      </c>
      <c r="I229" s="22">
        <v>1</v>
      </c>
      <c r="J229" s="18" t="s">
        <v>66</v>
      </c>
      <c r="K229" s="19">
        <v>0</v>
      </c>
      <c r="L229" s="22">
        <f t="shared" si="25"/>
        <v>1</v>
      </c>
    </row>
    <row r="230" spans="1:12">
      <c r="A230" s="15">
        <v>220</v>
      </c>
      <c r="B230" s="16" t="s">
        <v>195</v>
      </c>
      <c r="C230" s="16" t="s">
        <v>195</v>
      </c>
      <c r="D230" s="16" t="s">
        <v>235</v>
      </c>
      <c r="E230" s="16" t="s">
        <v>244</v>
      </c>
      <c r="F230" s="16"/>
      <c r="G230" s="26"/>
      <c r="H230" s="17" t="s">
        <v>251</v>
      </c>
      <c r="I230" s="22">
        <v>1</v>
      </c>
      <c r="J230" s="18" t="s">
        <v>66</v>
      </c>
      <c r="K230" s="19">
        <v>0</v>
      </c>
      <c r="L230" s="22">
        <f t="shared" si="25"/>
        <v>1</v>
      </c>
    </row>
    <row r="231" spans="1:12">
      <c r="A231" s="15">
        <v>221</v>
      </c>
      <c r="B231" s="16" t="s">
        <v>195</v>
      </c>
      <c r="C231" s="16" t="s">
        <v>195</v>
      </c>
      <c r="D231" s="16" t="s">
        <v>235</v>
      </c>
      <c r="E231" s="16" t="s">
        <v>252</v>
      </c>
      <c r="F231" s="16"/>
      <c r="G231" s="26"/>
      <c r="H231" s="17" t="s">
        <v>253</v>
      </c>
      <c r="I231" s="22">
        <v>1</v>
      </c>
      <c r="J231" s="18" t="s">
        <v>66</v>
      </c>
      <c r="K231" s="19">
        <v>0</v>
      </c>
      <c r="L231" s="22">
        <f t="shared" ref="L231:L236" si="26">(K231*I231)+I231</f>
        <v>1</v>
      </c>
    </row>
    <row r="232" spans="1:12">
      <c r="A232" s="15">
        <v>222</v>
      </c>
      <c r="B232" s="16" t="s">
        <v>195</v>
      </c>
      <c r="C232" s="16" t="s">
        <v>195</v>
      </c>
      <c r="D232" s="16" t="s">
        <v>235</v>
      </c>
      <c r="E232" s="16" t="s">
        <v>252</v>
      </c>
      <c r="F232" s="16"/>
      <c r="G232" s="26"/>
      <c r="H232" s="17" t="s">
        <v>254</v>
      </c>
      <c r="I232" s="22">
        <v>1</v>
      </c>
      <c r="J232" s="18" t="s">
        <v>66</v>
      </c>
      <c r="K232" s="19">
        <v>0</v>
      </c>
      <c r="L232" s="22">
        <f t="shared" si="26"/>
        <v>1</v>
      </c>
    </row>
    <row r="233" spans="1:12">
      <c r="A233" s="15">
        <v>223</v>
      </c>
      <c r="B233" s="16" t="s">
        <v>195</v>
      </c>
      <c r="C233" s="16" t="s">
        <v>195</v>
      </c>
      <c r="D233" s="16" t="s">
        <v>235</v>
      </c>
      <c r="E233" s="16" t="s">
        <v>252</v>
      </c>
      <c r="F233" s="16"/>
      <c r="G233" s="26"/>
      <c r="H233" s="17" t="s">
        <v>255</v>
      </c>
      <c r="I233" s="22">
        <v>2</v>
      </c>
      <c r="J233" s="18" t="s">
        <v>66</v>
      </c>
      <c r="K233" s="19">
        <v>0</v>
      </c>
      <c r="L233" s="22">
        <f t="shared" si="26"/>
        <v>2</v>
      </c>
    </row>
    <row r="234" spans="1:12">
      <c r="A234" s="15">
        <v>224</v>
      </c>
      <c r="B234" s="16" t="s">
        <v>195</v>
      </c>
      <c r="C234" s="16" t="s">
        <v>195</v>
      </c>
      <c r="D234" s="16" t="s">
        <v>235</v>
      </c>
      <c r="E234" s="16" t="s">
        <v>252</v>
      </c>
      <c r="F234" s="16"/>
      <c r="G234" s="26"/>
      <c r="H234" s="17" t="s">
        <v>256</v>
      </c>
      <c r="I234" s="22">
        <v>1</v>
      </c>
      <c r="J234" s="18" t="s">
        <v>66</v>
      </c>
      <c r="K234" s="19">
        <v>0</v>
      </c>
      <c r="L234" s="22">
        <f t="shared" si="26"/>
        <v>1</v>
      </c>
    </row>
    <row r="235" spans="1:12">
      <c r="A235" s="15">
        <v>225</v>
      </c>
      <c r="B235" s="16" t="s">
        <v>195</v>
      </c>
      <c r="C235" s="16" t="s">
        <v>195</v>
      </c>
      <c r="D235" s="16" t="s">
        <v>235</v>
      </c>
      <c r="E235" s="16" t="s">
        <v>252</v>
      </c>
      <c r="F235" s="16"/>
      <c r="G235" s="26"/>
      <c r="H235" s="17" t="s">
        <v>257</v>
      </c>
      <c r="I235" s="22">
        <v>1</v>
      </c>
      <c r="J235" s="18" t="s">
        <v>66</v>
      </c>
      <c r="K235" s="19">
        <v>0</v>
      </c>
      <c r="L235" s="22">
        <f t="shared" si="26"/>
        <v>1</v>
      </c>
    </row>
    <row r="236" spans="1:12">
      <c r="A236" s="15">
        <v>226</v>
      </c>
      <c r="B236" s="16" t="s">
        <v>195</v>
      </c>
      <c r="C236" s="16" t="s">
        <v>195</v>
      </c>
      <c r="D236" s="16" t="s">
        <v>235</v>
      </c>
      <c r="E236" s="16" t="s">
        <v>252</v>
      </c>
      <c r="F236" s="16"/>
      <c r="G236" s="26"/>
      <c r="H236" s="17" t="s">
        <v>258</v>
      </c>
      <c r="I236" s="22">
        <v>1</v>
      </c>
      <c r="J236" s="18" t="s">
        <v>66</v>
      </c>
      <c r="K236" s="19">
        <v>0</v>
      </c>
      <c r="L236" s="22">
        <f t="shared" si="26"/>
        <v>1</v>
      </c>
    </row>
    <row r="237" spans="1:12" ht="16.5">
      <c r="A237" s="15">
        <v>227</v>
      </c>
      <c r="B237" s="16" t="s">
        <v>195</v>
      </c>
      <c r="C237" s="16" t="s">
        <v>195</v>
      </c>
      <c r="D237" s="16" t="s">
        <v>235</v>
      </c>
      <c r="E237" s="16" t="s">
        <v>252</v>
      </c>
      <c r="F237" s="16"/>
      <c r="G237" s="26"/>
      <c r="H237" s="25" t="s">
        <v>259</v>
      </c>
      <c r="I237" s="18">
        <v>30</v>
      </c>
      <c r="J237" s="18" t="s">
        <v>66</v>
      </c>
      <c r="K237" s="19">
        <v>0</v>
      </c>
      <c r="L237" s="22">
        <f t="shared" ref="L237" si="27">(K237*I237)+I237</f>
        <v>30</v>
      </c>
    </row>
    <row r="238" spans="1:12">
      <c r="A238" s="15">
        <v>228</v>
      </c>
      <c r="B238" s="16" t="s">
        <v>195</v>
      </c>
      <c r="C238" s="16" t="s">
        <v>195</v>
      </c>
      <c r="D238" s="16" t="s">
        <v>235</v>
      </c>
      <c r="E238" s="16" t="s">
        <v>260</v>
      </c>
      <c r="F238" s="16"/>
      <c r="G238" s="26"/>
      <c r="H238" s="17" t="s">
        <v>261</v>
      </c>
      <c r="I238" s="22">
        <v>1</v>
      </c>
      <c r="J238" s="18" t="s">
        <v>66</v>
      </c>
      <c r="K238" s="19">
        <v>0</v>
      </c>
      <c r="L238" s="22">
        <f t="shared" ref="L238" si="28">(K238*I238)+I238</f>
        <v>1</v>
      </c>
    </row>
    <row r="239" spans="1:12" ht="16.5">
      <c r="A239" s="15">
        <v>229</v>
      </c>
      <c r="B239" s="16" t="s">
        <v>195</v>
      </c>
      <c r="C239" s="16" t="s">
        <v>195</v>
      </c>
      <c r="D239" s="16" t="s">
        <v>262</v>
      </c>
      <c r="E239" s="16" t="s">
        <v>263</v>
      </c>
      <c r="F239" s="16" t="s">
        <v>264</v>
      </c>
      <c r="G239" s="26"/>
      <c r="H239" s="25" t="s">
        <v>265</v>
      </c>
      <c r="I239" s="22">
        <f>(10.5*178)</f>
        <v>1869</v>
      </c>
      <c r="J239" s="18" t="s">
        <v>22</v>
      </c>
      <c r="K239" s="19">
        <v>0.05</v>
      </c>
      <c r="L239" s="22">
        <f t="shared" ref="L239:L302" si="29">(K239*I239)+I239</f>
        <v>1962.45</v>
      </c>
    </row>
    <row r="240" spans="1:12" ht="16.5">
      <c r="A240" s="15">
        <v>230</v>
      </c>
      <c r="B240" s="16" t="s">
        <v>195</v>
      </c>
      <c r="C240" s="16" t="s">
        <v>195</v>
      </c>
      <c r="D240" s="16" t="s">
        <v>262</v>
      </c>
      <c r="E240" s="16" t="s">
        <v>263</v>
      </c>
      <c r="F240" s="16" t="s">
        <v>264</v>
      </c>
      <c r="G240" s="26"/>
      <c r="H240" s="21" t="s">
        <v>193</v>
      </c>
      <c r="I240" s="18">
        <f>ROUND(L239/32,0)</f>
        <v>61</v>
      </c>
      <c r="J240" s="18" t="s">
        <v>66</v>
      </c>
      <c r="K240" s="19">
        <v>0</v>
      </c>
      <c r="L240" s="22">
        <f t="shared" si="29"/>
        <v>61</v>
      </c>
    </row>
    <row r="241" spans="1:12" ht="16.5">
      <c r="A241" s="15">
        <v>231</v>
      </c>
      <c r="B241" s="16" t="s">
        <v>195</v>
      </c>
      <c r="C241" s="16" t="s">
        <v>195</v>
      </c>
      <c r="D241" s="16" t="s">
        <v>262</v>
      </c>
      <c r="E241" s="16" t="s">
        <v>263</v>
      </c>
      <c r="F241" s="16" t="s">
        <v>264</v>
      </c>
      <c r="G241" s="26"/>
      <c r="H241" s="21" t="s">
        <v>266</v>
      </c>
      <c r="I241" s="18">
        <f>I240*16</f>
        <v>976</v>
      </c>
      <c r="J241" s="18" t="s">
        <v>199</v>
      </c>
      <c r="K241" s="19">
        <v>0.05</v>
      </c>
      <c r="L241" s="22">
        <f t="shared" si="29"/>
        <v>1024.8</v>
      </c>
    </row>
    <row r="242" spans="1:12" ht="16.5">
      <c r="A242" s="15">
        <v>232</v>
      </c>
      <c r="B242" s="16" t="s">
        <v>195</v>
      </c>
      <c r="C242" s="16" t="s">
        <v>195</v>
      </c>
      <c r="D242" s="16" t="s">
        <v>262</v>
      </c>
      <c r="E242" s="16" t="s">
        <v>263</v>
      </c>
      <c r="F242" s="16" t="s">
        <v>264</v>
      </c>
      <c r="G242" s="26"/>
      <c r="H242" s="21" t="s">
        <v>267</v>
      </c>
      <c r="I242" s="22">
        <f>0.052*L239</f>
        <v>102.0474</v>
      </c>
      <c r="J242" s="18" t="s">
        <v>30</v>
      </c>
      <c r="K242" s="19">
        <v>0.05</v>
      </c>
      <c r="L242" s="22">
        <f t="shared" si="29"/>
        <v>107.14976999999999</v>
      </c>
    </row>
    <row r="243" spans="1:12" ht="16.5">
      <c r="A243" s="15">
        <v>233</v>
      </c>
      <c r="B243" s="16" t="s">
        <v>195</v>
      </c>
      <c r="C243" s="16" t="s">
        <v>195</v>
      </c>
      <c r="D243" s="16" t="s">
        <v>262</v>
      </c>
      <c r="E243" s="16" t="s">
        <v>263</v>
      </c>
      <c r="F243" s="16" t="s">
        <v>264</v>
      </c>
      <c r="G243" s="26"/>
      <c r="H243" s="21" t="s">
        <v>194</v>
      </c>
      <c r="I243" s="18">
        <f>I240*48</f>
        <v>2928</v>
      </c>
      <c r="J243" s="18" t="s">
        <v>66</v>
      </c>
      <c r="K243" s="19">
        <v>0</v>
      </c>
      <c r="L243" s="22">
        <f t="shared" si="29"/>
        <v>2928</v>
      </c>
    </row>
    <row r="244" spans="1:12" ht="16.5">
      <c r="A244" s="15">
        <v>234</v>
      </c>
      <c r="B244" s="16" t="s">
        <v>195</v>
      </c>
      <c r="C244" s="16" t="s">
        <v>195</v>
      </c>
      <c r="D244" s="16" t="s">
        <v>262</v>
      </c>
      <c r="E244" s="16" t="s">
        <v>263</v>
      </c>
      <c r="F244" s="16" t="s">
        <v>264</v>
      </c>
      <c r="G244" s="26"/>
      <c r="H244" s="25" t="s">
        <v>268</v>
      </c>
      <c r="I244" s="22">
        <f>(10.5*37.2)</f>
        <v>390.6</v>
      </c>
      <c r="J244" s="18" t="s">
        <v>22</v>
      </c>
      <c r="K244" s="19">
        <v>0.05</v>
      </c>
      <c r="L244" s="22">
        <f t="shared" si="29"/>
        <v>410.13</v>
      </c>
    </row>
    <row r="245" spans="1:12" ht="16.5">
      <c r="A245" s="15">
        <v>235</v>
      </c>
      <c r="B245" s="16" t="s">
        <v>195</v>
      </c>
      <c r="C245" s="16" t="s">
        <v>195</v>
      </c>
      <c r="D245" s="16" t="s">
        <v>262</v>
      </c>
      <c r="E245" s="16" t="s">
        <v>263</v>
      </c>
      <c r="F245" s="16" t="s">
        <v>264</v>
      </c>
      <c r="G245" s="26"/>
      <c r="H245" s="21" t="s">
        <v>193</v>
      </c>
      <c r="I245" s="18">
        <f>ROUND(L244/32,0)</f>
        <v>13</v>
      </c>
      <c r="J245" s="18" t="s">
        <v>66</v>
      </c>
      <c r="K245" s="19">
        <v>0</v>
      </c>
      <c r="L245" s="22">
        <f t="shared" si="29"/>
        <v>13</v>
      </c>
    </row>
    <row r="246" spans="1:12" ht="16.5">
      <c r="A246" s="15">
        <v>236</v>
      </c>
      <c r="B246" s="16" t="s">
        <v>195</v>
      </c>
      <c r="C246" s="16" t="s">
        <v>195</v>
      </c>
      <c r="D246" s="16" t="s">
        <v>262</v>
      </c>
      <c r="E246" s="16" t="s">
        <v>263</v>
      </c>
      <c r="F246" s="16" t="s">
        <v>264</v>
      </c>
      <c r="G246" s="26"/>
      <c r="H246" s="21" t="s">
        <v>266</v>
      </c>
      <c r="I246" s="18">
        <f>I245*16</f>
        <v>208</v>
      </c>
      <c r="J246" s="18" t="s">
        <v>199</v>
      </c>
      <c r="K246" s="19">
        <v>0.05</v>
      </c>
      <c r="L246" s="22">
        <f t="shared" si="29"/>
        <v>218.4</v>
      </c>
    </row>
    <row r="247" spans="1:12" ht="16.5">
      <c r="A247" s="15">
        <v>237</v>
      </c>
      <c r="B247" s="16" t="s">
        <v>195</v>
      </c>
      <c r="C247" s="16" t="s">
        <v>195</v>
      </c>
      <c r="D247" s="16" t="s">
        <v>262</v>
      </c>
      <c r="E247" s="16" t="s">
        <v>263</v>
      </c>
      <c r="F247" s="16" t="s">
        <v>264</v>
      </c>
      <c r="G247" s="26"/>
      <c r="H247" s="21" t="s">
        <v>267</v>
      </c>
      <c r="I247" s="22">
        <f>0.052*L244</f>
        <v>21.32676</v>
      </c>
      <c r="J247" s="18" t="s">
        <v>30</v>
      </c>
      <c r="K247" s="19">
        <v>0.05</v>
      </c>
      <c r="L247" s="22">
        <f t="shared" si="29"/>
        <v>22.393098000000002</v>
      </c>
    </row>
    <row r="248" spans="1:12" ht="16.5">
      <c r="A248" s="15">
        <v>238</v>
      </c>
      <c r="B248" s="16" t="s">
        <v>195</v>
      </c>
      <c r="C248" s="16" t="s">
        <v>195</v>
      </c>
      <c r="D248" s="16" t="s">
        <v>262</v>
      </c>
      <c r="E248" s="16" t="s">
        <v>263</v>
      </c>
      <c r="F248" s="16" t="s">
        <v>264</v>
      </c>
      <c r="G248" s="26"/>
      <c r="H248" s="21" t="s">
        <v>194</v>
      </c>
      <c r="I248" s="18">
        <f>I245*48</f>
        <v>624</v>
      </c>
      <c r="J248" s="18" t="s">
        <v>66</v>
      </c>
      <c r="K248" s="19">
        <v>0</v>
      </c>
      <c r="L248" s="22">
        <f t="shared" si="29"/>
        <v>624</v>
      </c>
    </row>
    <row r="249" spans="1:12" ht="16.5">
      <c r="A249" s="15">
        <v>239</v>
      </c>
      <c r="B249" s="16" t="s">
        <v>195</v>
      </c>
      <c r="C249" s="16" t="s">
        <v>195</v>
      </c>
      <c r="D249" s="16" t="s">
        <v>262</v>
      </c>
      <c r="E249" s="16" t="s">
        <v>263</v>
      </c>
      <c r="F249" s="16" t="s">
        <v>264</v>
      </c>
      <c r="G249" s="26"/>
      <c r="H249" s="25" t="s">
        <v>269</v>
      </c>
      <c r="I249" s="22">
        <f>(19.5*32)+(10.5*178)+(10.5*37)+395</f>
        <v>3276.5</v>
      </c>
      <c r="J249" s="18" t="s">
        <v>66</v>
      </c>
      <c r="K249" s="19">
        <v>0</v>
      </c>
      <c r="L249" s="22">
        <f t="shared" si="29"/>
        <v>3276.5</v>
      </c>
    </row>
    <row r="250" spans="1:12" ht="16.5">
      <c r="A250" s="15">
        <v>240</v>
      </c>
      <c r="B250" s="16" t="s">
        <v>195</v>
      </c>
      <c r="C250" s="16" t="s">
        <v>195</v>
      </c>
      <c r="D250" s="16" t="s">
        <v>262</v>
      </c>
      <c r="E250" s="16" t="s">
        <v>263</v>
      </c>
      <c r="F250" s="16" t="s">
        <v>264</v>
      </c>
      <c r="G250" s="26"/>
      <c r="H250" s="21" t="s">
        <v>193</v>
      </c>
      <c r="I250" s="18">
        <f>ROUND(L249/32,0)</f>
        <v>102</v>
      </c>
      <c r="J250" s="18" t="s">
        <v>66</v>
      </c>
      <c r="K250" s="19">
        <v>0</v>
      </c>
      <c r="L250" s="22">
        <f t="shared" si="29"/>
        <v>102</v>
      </c>
    </row>
    <row r="251" spans="1:12" ht="16.5">
      <c r="A251" s="15">
        <v>241</v>
      </c>
      <c r="B251" s="16" t="s">
        <v>195</v>
      </c>
      <c r="C251" s="16" t="s">
        <v>195</v>
      </c>
      <c r="D251" s="16" t="s">
        <v>262</v>
      </c>
      <c r="E251" s="16" t="s">
        <v>263</v>
      </c>
      <c r="F251" s="16" t="s">
        <v>264</v>
      </c>
      <c r="G251" s="26"/>
      <c r="H251" s="21" t="s">
        <v>270</v>
      </c>
      <c r="I251" s="18">
        <f>L250*75</f>
        <v>7650</v>
      </c>
      <c r="J251" s="18" t="s">
        <v>66</v>
      </c>
      <c r="K251" s="19">
        <v>0</v>
      </c>
      <c r="L251" s="22">
        <f t="shared" si="29"/>
        <v>7650</v>
      </c>
    </row>
    <row r="252" spans="1:12" ht="16.5">
      <c r="A252" s="15">
        <v>242</v>
      </c>
      <c r="B252" s="16" t="s">
        <v>195</v>
      </c>
      <c r="C252" s="16" t="s">
        <v>195</v>
      </c>
      <c r="D252" s="16" t="s">
        <v>262</v>
      </c>
      <c r="E252" s="16" t="s">
        <v>263</v>
      </c>
      <c r="F252" s="16" t="s">
        <v>264</v>
      </c>
      <c r="G252" s="26"/>
      <c r="H252" s="25" t="s">
        <v>271</v>
      </c>
      <c r="I252" s="22">
        <f>(178+37)/1.33</f>
        <v>161.65413533834587</v>
      </c>
      <c r="J252" s="18" t="s">
        <v>66</v>
      </c>
      <c r="K252" s="19">
        <v>0</v>
      </c>
      <c r="L252" s="22">
        <f t="shared" si="29"/>
        <v>161.65413533834587</v>
      </c>
    </row>
    <row r="253" spans="1:12" ht="16.5">
      <c r="A253" s="15">
        <v>243</v>
      </c>
      <c r="B253" s="16" t="s">
        <v>195</v>
      </c>
      <c r="C253" s="16" t="s">
        <v>195</v>
      </c>
      <c r="D253" s="16" t="s">
        <v>262</v>
      </c>
      <c r="E253" s="16" t="s">
        <v>263</v>
      </c>
      <c r="F253" s="16" t="s">
        <v>264</v>
      </c>
      <c r="G253" s="26"/>
      <c r="H253" s="25" t="s">
        <v>272</v>
      </c>
      <c r="I253" s="22">
        <f>(32/1.33)</f>
        <v>24.060150375939848</v>
      </c>
      <c r="J253" s="18" t="s">
        <v>66</v>
      </c>
      <c r="K253" s="19">
        <v>0</v>
      </c>
      <c r="L253" s="22">
        <f t="shared" si="29"/>
        <v>24.060150375939848</v>
      </c>
    </row>
    <row r="254" spans="1:12" ht="16.5">
      <c r="A254" s="15">
        <v>244</v>
      </c>
      <c r="B254" s="16" t="s">
        <v>195</v>
      </c>
      <c r="C254" s="16" t="s">
        <v>195</v>
      </c>
      <c r="D254" s="16" t="s">
        <v>262</v>
      </c>
      <c r="E254" s="16" t="s">
        <v>263</v>
      </c>
      <c r="F254" s="16" t="s">
        <v>264</v>
      </c>
      <c r="G254" s="26"/>
      <c r="H254" s="25" t="s">
        <v>273</v>
      </c>
      <c r="I254" s="22">
        <f>247/16</f>
        <v>15.4375</v>
      </c>
      <c r="J254" s="18" t="s">
        <v>66</v>
      </c>
      <c r="K254" s="19">
        <v>0</v>
      </c>
      <c r="L254" s="22">
        <f t="shared" si="29"/>
        <v>15.4375</v>
      </c>
    </row>
    <row r="255" spans="1:12" ht="16.5">
      <c r="A255" s="15">
        <v>245</v>
      </c>
      <c r="B255" s="16" t="s">
        <v>195</v>
      </c>
      <c r="C255" s="16" t="s">
        <v>195</v>
      </c>
      <c r="D255" s="16" t="s">
        <v>262</v>
      </c>
      <c r="E255" s="16" t="s">
        <v>263</v>
      </c>
      <c r="F255" s="16" t="s">
        <v>264</v>
      </c>
      <c r="G255" s="26"/>
      <c r="H255" s="25" t="s">
        <v>274</v>
      </c>
      <c r="I255" s="22">
        <f>(247*2)/16</f>
        <v>30.875</v>
      </c>
      <c r="J255" s="18" t="s">
        <v>66</v>
      </c>
      <c r="K255" s="19">
        <v>0</v>
      </c>
      <c r="L255" s="22">
        <f t="shared" si="29"/>
        <v>30.875</v>
      </c>
    </row>
    <row r="256" spans="1:12" ht="16.5">
      <c r="A256" s="15">
        <v>246</v>
      </c>
      <c r="B256" s="16" t="s">
        <v>195</v>
      </c>
      <c r="C256" s="16" t="s">
        <v>195</v>
      </c>
      <c r="D256" s="16" t="s">
        <v>262</v>
      </c>
      <c r="E256" s="16" t="s">
        <v>263</v>
      </c>
      <c r="F256" s="16" t="s">
        <v>264</v>
      </c>
      <c r="G256" s="26"/>
      <c r="H256" s="25" t="s">
        <v>275</v>
      </c>
      <c r="I256" s="22">
        <f>(32*19.5)+(178*10.5)+(37.2*10.5)</f>
        <v>2883.6</v>
      </c>
      <c r="J256" s="18" t="s">
        <v>22</v>
      </c>
      <c r="K256" s="19">
        <v>0.05</v>
      </c>
      <c r="L256" s="22">
        <f t="shared" si="29"/>
        <v>3027.7799999999997</v>
      </c>
    </row>
    <row r="257" spans="1:12" ht="16.5">
      <c r="A257" s="15">
        <v>247</v>
      </c>
      <c r="B257" s="16" t="s">
        <v>195</v>
      </c>
      <c r="C257" s="16" t="s">
        <v>195</v>
      </c>
      <c r="D257" s="16" t="s">
        <v>262</v>
      </c>
      <c r="E257" s="16" t="s">
        <v>263</v>
      </c>
      <c r="F257" s="16" t="s">
        <v>264</v>
      </c>
      <c r="G257" s="26"/>
      <c r="H257" s="25" t="s">
        <v>276</v>
      </c>
      <c r="I257" s="22">
        <f>247*2</f>
        <v>494</v>
      </c>
      <c r="J257" s="18" t="s">
        <v>199</v>
      </c>
      <c r="K257" s="19">
        <v>0.05</v>
      </c>
      <c r="L257" s="22">
        <f t="shared" si="29"/>
        <v>518.70000000000005</v>
      </c>
    </row>
    <row r="258" spans="1:12" ht="16.5">
      <c r="A258" s="15">
        <v>248</v>
      </c>
      <c r="B258" s="16" t="s">
        <v>195</v>
      </c>
      <c r="C258" s="16" t="s">
        <v>195</v>
      </c>
      <c r="D258" s="16" t="s">
        <v>262</v>
      </c>
      <c r="E258" s="16" t="s">
        <v>263</v>
      </c>
      <c r="F258" s="26" t="s">
        <v>277</v>
      </c>
      <c r="G258" s="26"/>
      <c r="H258" s="25" t="s">
        <v>265</v>
      </c>
      <c r="I258" s="22">
        <f>(19.5*22)+(19.5*25.5)+(12.5*28)</f>
        <v>1276.25</v>
      </c>
      <c r="J258" s="18" t="s">
        <v>22</v>
      </c>
      <c r="K258" s="19">
        <v>0.05</v>
      </c>
      <c r="L258" s="22">
        <f t="shared" si="29"/>
        <v>1340.0625</v>
      </c>
    </row>
    <row r="259" spans="1:12" ht="16.5">
      <c r="A259" s="15">
        <v>249</v>
      </c>
      <c r="B259" s="16" t="s">
        <v>195</v>
      </c>
      <c r="C259" s="16" t="s">
        <v>195</v>
      </c>
      <c r="D259" s="16" t="s">
        <v>262</v>
      </c>
      <c r="E259" s="16" t="s">
        <v>263</v>
      </c>
      <c r="F259" s="26" t="s">
        <v>277</v>
      </c>
      <c r="G259" s="26"/>
      <c r="H259" s="21" t="s">
        <v>193</v>
      </c>
      <c r="I259" s="18">
        <f>ROUND(L258/32,0)</f>
        <v>42</v>
      </c>
      <c r="J259" s="18" t="s">
        <v>66</v>
      </c>
      <c r="K259" s="19">
        <v>0</v>
      </c>
      <c r="L259" s="22">
        <f t="shared" si="29"/>
        <v>42</v>
      </c>
    </row>
    <row r="260" spans="1:12" ht="16.5">
      <c r="A260" s="15">
        <v>250</v>
      </c>
      <c r="B260" s="16" t="s">
        <v>195</v>
      </c>
      <c r="C260" s="16" t="s">
        <v>195</v>
      </c>
      <c r="D260" s="16" t="s">
        <v>262</v>
      </c>
      <c r="E260" s="16" t="s">
        <v>263</v>
      </c>
      <c r="F260" s="26" t="s">
        <v>277</v>
      </c>
      <c r="G260" s="26"/>
      <c r="H260" s="21" t="s">
        <v>266</v>
      </c>
      <c r="I260" s="18">
        <f>I259*16</f>
        <v>672</v>
      </c>
      <c r="J260" s="18" t="s">
        <v>199</v>
      </c>
      <c r="K260" s="19">
        <v>0.05</v>
      </c>
      <c r="L260" s="22">
        <f t="shared" si="29"/>
        <v>705.6</v>
      </c>
    </row>
    <row r="261" spans="1:12" ht="16.5">
      <c r="A261" s="15">
        <v>251</v>
      </c>
      <c r="B261" s="16" t="s">
        <v>195</v>
      </c>
      <c r="C261" s="16" t="s">
        <v>195</v>
      </c>
      <c r="D261" s="16" t="s">
        <v>262</v>
      </c>
      <c r="E261" s="16" t="s">
        <v>263</v>
      </c>
      <c r="F261" s="26" t="s">
        <v>277</v>
      </c>
      <c r="G261" s="26"/>
      <c r="H261" s="21" t="s">
        <v>267</v>
      </c>
      <c r="I261" s="22">
        <f>0.052*L258</f>
        <v>69.683250000000001</v>
      </c>
      <c r="J261" s="18" t="s">
        <v>30</v>
      </c>
      <c r="K261" s="19">
        <v>0.05</v>
      </c>
      <c r="L261" s="22">
        <f t="shared" si="29"/>
        <v>73.167412499999998</v>
      </c>
    </row>
    <row r="262" spans="1:12" ht="16.5">
      <c r="A262" s="15">
        <v>252</v>
      </c>
      <c r="B262" s="16" t="s">
        <v>195</v>
      </c>
      <c r="C262" s="16" t="s">
        <v>195</v>
      </c>
      <c r="D262" s="16" t="s">
        <v>262</v>
      </c>
      <c r="E262" s="16" t="s">
        <v>263</v>
      </c>
      <c r="F262" s="26" t="s">
        <v>277</v>
      </c>
      <c r="G262" s="26"/>
      <c r="H262" s="21" t="s">
        <v>194</v>
      </c>
      <c r="I262" s="18">
        <f>I259*48</f>
        <v>2016</v>
      </c>
      <c r="J262" s="18" t="s">
        <v>66</v>
      </c>
      <c r="K262" s="19">
        <v>0</v>
      </c>
      <c r="L262" s="22">
        <f t="shared" si="29"/>
        <v>2016</v>
      </c>
    </row>
    <row r="263" spans="1:12" ht="16.5">
      <c r="A263" s="15">
        <v>253</v>
      </c>
      <c r="B263" s="16" t="s">
        <v>195</v>
      </c>
      <c r="C263" s="16" t="s">
        <v>195</v>
      </c>
      <c r="D263" s="16" t="s">
        <v>262</v>
      </c>
      <c r="E263" s="16" t="s">
        <v>263</v>
      </c>
      <c r="F263" s="26" t="s">
        <v>277</v>
      </c>
      <c r="G263" s="26"/>
      <c r="H263" s="25" t="s">
        <v>268</v>
      </c>
      <c r="I263" s="22">
        <f>(10.5*3.41)</f>
        <v>35.805</v>
      </c>
      <c r="J263" s="18" t="s">
        <v>22</v>
      </c>
      <c r="K263" s="19">
        <v>0.05</v>
      </c>
      <c r="L263" s="22">
        <f t="shared" si="29"/>
        <v>37.59525</v>
      </c>
    </row>
    <row r="264" spans="1:12" ht="16.5">
      <c r="A264" s="15">
        <v>254</v>
      </c>
      <c r="B264" s="16" t="s">
        <v>195</v>
      </c>
      <c r="C264" s="16" t="s">
        <v>195</v>
      </c>
      <c r="D264" s="16" t="s">
        <v>262</v>
      </c>
      <c r="E264" s="16" t="s">
        <v>263</v>
      </c>
      <c r="F264" s="26" t="s">
        <v>277</v>
      </c>
      <c r="G264" s="26"/>
      <c r="H264" s="21" t="s">
        <v>193</v>
      </c>
      <c r="I264" s="18">
        <f>ROUND(L263/32,0)</f>
        <v>1</v>
      </c>
      <c r="J264" s="18" t="s">
        <v>66</v>
      </c>
      <c r="K264" s="19">
        <v>0</v>
      </c>
      <c r="L264" s="22">
        <f t="shared" si="29"/>
        <v>1</v>
      </c>
    </row>
    <row r="265" spans="1:12" ht="16.5">
      <c r="A265" s="15">
        <v>255</v>
      </c>
      <c r="B265" s="16" t="s">
        <v>195</v>
      </c>
      <c r="C265" s="16" t="s">
        <v>195</v>
      </c>
      <c r="D265" s="16" t="s">
        <v>262</v>
      </c>
      <c r="E265" s="16" t="s">
        <v>263</v>
      </c>
      <c r="F265" s="26" t="s">
        <v>277</v>
      </c>
      <c r="G265" s="26"/>
      <c r="H265" s="21" t="s">
        <v>266</v>
      </c>
      <c r="I265" s="18">
        <f>I264*16</f>
        <v>16</v>
      </c>
      <c r="J265" s="18" t="s">
        <v>199</v>
      </c>
      <c r="K265" s="19">
        <v>0.05</v>
      </c>
      <c r="L265" s="22">
        <f t="shared" si="29"/>
        <v>16.8</v>
      </c>
    </row>
    <row r="266" spans="1:12" ht="16.5">
      <c r="A266" s="15">
        <v>256</v>
      </c>
      <c r="B266" s="16" t="s">
        <v>195</v>
      </c>
      <c r="C266" s="16" t="s">
        <v>195</v>
      </c>
      <c r="D266" s="16" t="s">
        <v>262</v>
      </c>
      <c r="E266" s="16" t="s">
        <v>263</v>
      </c>
      <c r="F266" s="26" t="s">
        <v>277</v>
      </c>
      <c r="G266" s="26"/>
      <c r="H266" s="21" t="s">
        <v>267</v>
      </c>
      <c r="I266" s="22">
        <f>0.052*L263</f>
        <v>1.9549529999999999</v>
      </c>
      <c r="J266" s="18" t="s">
        <v>30</v>
      </c>
      <c r="K266" s="19">
        <v>0.05</v>
      </c>
      <c r="L266" s="22">
        <f t="shared" si="29"/>
        <v>2.0527006499999998</v>
      </c>
    </row>
    <row r="267" spans="1:12" ht="16.5">
      <c r="A267" s="15">
        <v>257</v>
      </c>
      <c r="B267" s="16" t="s">
        <v>195</v>
      </c>
      <c r="C267" s="16" t="s">
        <v>195</v>
      </c>
      <c r="D267" s="16" t="s">
        <v>262</v>
      </c>
      <c r="E267" s="16" t="s">
        <v>263</v>
      </c>
      <c r="F267" s="26" t="s">
        <v>277</v>
      </c>
      <c r="G267" s="26"/>
      <c r="H267" s="21" t="s">
        <v>194</v>
      </c>
      <c r="I267" s="18">
        <f>I264*48</f>
        <v>48</v>
      </c>
      <c r="J267" s="18" t="s">
        <v>66</v>
      </c>
      <c r="K267" s="19">
        <v>0</v>
      </c>
      <c r="L267" s="22">
        <f t="shared" si="29"/>
        <v>48</v>
      </c>
    </row>
    <row r="268" spans="1:12" ht="16.5">
      <c r="A268" s="15">
        <v>258</v>
      </c>
      <c r="B268" s="16" t="s">
        <v>195</v>
      </c>
      <c r="C268" s="16" t="s">
        <v>195</v>
      </c>
      <c r="D268" s="16" t="s">
        <v>262</v>
      </c>
      <c r="E268" s="16" t="s">
        <v>263</v>
      </c>
      <c r="F268" s="26" t="s">
        <v>277</v>
      </c>
      <c r="G268" s="26"/>
      <c r="H268" s="25" t="s">
        <v>269</v>
      </c>
      <c r="I268" s="22">
        <f>(19.5*22)+(25.47*19.5)+(3.41*10.5)+(12.5*28.2)</f>
        <v>1313.9699999999998</v>
      </c>
      <c r="J268" s="18" t="s">
        <v>66</v>
      </c>
      <c r="K268" s="19">
        <v>0</v>
      </c>
      <c r="L268" s="22">
        <f t="shared" si="29"/>
        <v>1313.9699999999998</v>
      </c>
    </row>
    <row r="269" spans="1:12" ht="16.5">
      <c r="A269" s="15">
        <v>259</v>
      </c>
      <c r="B269" s="16" t="s">
        <v>195</v>
      </c>
      <c r="C269" s="16" t="s">
        <v>195</v>
      </c>
      <c r="D269" s="16" t="s">
        <v>262</v>
      </c>
      <c r="E269" s="16" t="s">
        <v>263</v>
      </c>
      <c r="F269" s="26" t="s">
        <v>277</v>
      </c>
      <c r="G269" s="26"/>
      <c r="H269" s="21" t="s">
        <v>193</v>
      </c>
      <c r="I269" s="18">
        <f>ROUND(L268/32,0)</f>
        <v>41</v>
      </c>
      <c r="J269" s="18" t="s">
        <v>66</v>
      </c>
      <c r="K269" s="19">
        <v>0</v>
      </c>
      <c r="L269" s="22">
        <f t="shared" si="29"/>
        <v>41</v>
      </c>
    </row>
    <row r="270" spans="1:12" ht="16.5">
      <c r="A270" s="15">
        <v>260</v>
      </c>
      <c r="B270" s="16" t="s">
        <v>195</v>
      </c>
      <c r="C270" s="16" t="s">
        <v>195</v>
      </c>
      <c r="D270" s="16" t="s">
        <v>262</v>
      </c>
      <c r="E270" s="16" t="s">
        <v>263</v>
      </c>
      <c r="F270" s="26" t="s">
        <v>277</v>
      </c>
      <c r="G270" s="26"/>
      <c r="H270" s="21" t="s">
        <v>270</v>
      </c>
      <c r="I270" s="18">
        <f>L269*75</f>
        <v>3075</v>
      </c>
      <c r="J270" s="18" t="s">
        <v>66</v>
      </c>
      <c r="K270" s="19">
        <v>0</v>
      </c>
      <c r="L270" s="22">
        <f t="shared" si="29"/>
        <v>3075</v>
      </c>
    </row>
    <row r="271" spans="1:12" ht="16.5">
      <c r="A271" s="15">
        <v>261</v>
      </c>
      <c r="B271" s="16" t="s">
        <v>195</v>
      </c>
      <c r="C271" s="16" t="s">
        <v>195</v>
      </c>
      <c r="D271" s="16" t="s">
        <v>262</v>
      </c>
      <c r="E271" s="16" t="s">
        <v>263</v>
      </c>
      <c r="F271" s="26" t="s">
        <v>277</v>
      </c>
      <c r="G271" s="26"/>
      <c r="H271" s="25" t="s">
        <v>278</v>
      </c>
      <c r="I271" s="22">
        <f>(3.41/1.33)</f>
        <v>2.5639097744360901</v>
      </c>
      <c r="J271" s="18" t="s">
        <v>66</v>
      </c>
      <c r="K271" s="19">
        <v>0</v>
      </c>
      <c r="L271" s="22">
        <f t="shared" si="29"/>
        <v>2.5639097744360901</v>
      </c>
    </row>
    <row r="272" spans="1:12" ht="16.5">
      <c r="A272" s="15">
        <v>262</v>
      </c>
      <c r="B272" s="16" t="s">
        <v>195</v>
      </c>
      <c r="C272" s="16" t="s">
        <v>195</v>
      </c>
      <c r="D272" s="16" t="s">
        <v>262</v>
      </c>
      <c r="E272" s="16" t="s">
        <v>263</v>
      </c>
      <c r="F272" s="26" t="s">
        <v>277</v>
      </c>
      <c r="G272" s="26"/>
      <c r="H272" s="25" t="s">
        <v>279</v>
      </c>
      <c r="I272" s="22">
        <f>(28.2/1.33)</f>
        <v>21.203007518796991</v>
      </c>
      <c r="J272" s="18" t="s">
        <v>66</v>
      </c>
      <c r="K272" s="19">
        <v>0</v>
      </c>
      <c r="L272" s="22">
        <f t="shared" si="29"/>
        <v>21.203007518796991</v>
      </c>
    </row>
    <row r="273" spans="1:12" ht="16.5">
      <c r="A273" s="15">
        <v>263</v>
      </c>
      <c r="B273" s="16" t="s">
        <v>195</v>
      </c>
      <c r="C273" s="16" t="s">
        <v>195</v>
      </c>
      <c r="D273" s="16" t="s">
        <v>262</v>
      </c>
      <c r="E273" s="16" t="s">
        <v>263</v>
      </c>
      <c r="F273" s="26" t="s">
        <v>277</v>
      </c>
      <c r="G273" s="26"/>
      <c r="H273" s="25" t="s">
        <v>280</v>
      </c>
      <c r="I273" s="22">
        <f>(22+25.5)/1.33</f>
        <v>35.714285714285715</v>
      </c>
      <c r="J273" s="18" t="s">
        <v>66</v>
      </c>
      <c r="K273" s="19">
        <v>0</v>
      </c>
      <c r="L273" s="22">
        <f t="shared" si="29"/>
        <v>35.714285714285715</v>
      </c>
    </row>
    <row r="274" spans="1:12" ht="16.5">
      <c r="A274" s="15">
        <v>264</v>
      </c>
      <c r="B274" s="16" t="s">
        <v>195</v>
      </c>
      <c r="C274" s="16" t="s">
        <v>195</v>
      </c>
      <c r="D274" s="16" t="s">
        <v>262</v>
      </c>
      <c r="E274" s="16" t="s">
        <v>263</v>
      </c>
      <c r="F274" s="26" t="s">
        <v>277</v>
      </c>
      <c r="G274" s="26"/>
      <c r="H274" s="25" t="s">
        <v>281</v>
      </c>
      <c r="I274" s="22">
        <f>(79/16)</f>
        <v>4.9375</v>
      </c>
      <c r="J274" s="18" t="s">
        <v>66</v>
      </c>
      <c r="K274" s="19">
        <v>0</v>
      </c>
      <c r="L274" s="22">
        <f t="shared" si="29"/>
        <v>4.9375</v>
      </c>
    </row>
    <row r="275" spans="1:12" ht="16.5">
      <c r="A275" s="15">
        <v>265</v>
      </c>
      <c r="B275" s="16" t="s">
        <v>195</v>
      </c>
      <c r="C275" s="16" t="s">
        <v>195</v>
      </c>
      <c r="D275" s="16" t="s">
        <v>262</v>
      </c>
      <c r="E275" s="16" t="s">
        <v>263</v>
      </c>
      <c r="F275" s="26" t="s">
        <v>277</v>
      </c>
      <c r="G275" s="26"/>
      <c r="H275" s="25" t="s">
        <v>282</v>
      </c>
      <c r="I275" s="22">
        <f>(79*2)/16</f>
        <v>9.875</v>
      </c>
      <c r="J275" s="18" t="s">
        <v>66</v>
      </c>
      <c r="K275" s="19">
        <v>0</v>
      </c>
      <c r="L275" s="22">
        <f t="shared" si="29"/>
        <v>9.875</v>
      </c>
    </row>
    <row r="276" spans="1:12" ht="16.5">
      <c r="A276" s="15">
        <v>266</v>
      </c>
      <c r="B276" s="16" t="s">
        <v>195</v>
      </c>
      <c r="C276" s="16" t="s">
        <v>195</v>
      </c>
      <c r="D276" s="16" t="s">
        <v>262</v>
      </c>
      <c r="E276" s="16" t="s">
        <v>263</v>
      </c>
      <c r="F276" s="26" t="s">
        <v>277</v>
      </c>
      <c r="G276" s="26"/>
      <c r="H276" s="25" t="s">
        <v>275</v>
      </c>
      <c r="I276" s="22">
        <f>(22*19.5)+(25.47*19.5)+(3.41*10.5)+(28.2*12.5)</f>
        <v>1313.9699999999998</v>
      </c>
      <c r="J276" s="18" t="s">
        <v>22</v>
      </c>
      <c r="K276" s="19">
        <v>0.05</v>
      </c>
      <c r="L276" s="22">
        <f t="shared" si="29"/>
        <v>1379.6684999999998</v>
      </c>
    </row>
    <row r="277" spans="1:12" ht="16.5">
      <c r="A277" s="15">
        <v>267</v>
      </c>
      <c r="B277" s="16" t="s">
        <v>195</v>
      </c>
      <c r="C277" s="16" t="s">
        <v>195</v>
      </c>
      <c r="D277" s="16" t="s">
        <v>262</v>
      </c>
      <c r="E277" s="16" t="s">
        <v>263</v>
      </c>
      <c r="F277" s="26" t="s">
        <v>277</v>
      </c>
      <c r="G277" s="26"/>
      <c r="H277" s="25" t="s">
        <v>276</v>
      </c>
      <c r="I277" s="22">
        <f>79*2</f>
        <v>158</v>
      </c>
      <c r="J277" s="18" t="s">
        <v>199</v>
      </c>
      <c r="K277" s="19">
        <v>0.05</v>
      </c>
      <c r="L277" s="22">
        <f t="shared" si="29"/>
        <v>165.9</v>
      </c>
    </row>
    <row r="278" spans="1:12" ht="16.5">
      <c r="A278" s="15">
        <v>268</v>
      </c>
      <c r="B278" s="16" t="s">
        <v>195</v>
      </c>
      <c r="C278" s="16" t="s">
        <v>195</v>
      </c>
      <c r="D278" s="16" t="s">
        <v>262</v>
      </c>
      <c r="E278" s="16" t="s">
        <v>263</v>
      </c>
      <c r="F278" s="26" t="s">
        <v>283</v>
      </c>
      <c r="G278" s="26"/>
      <c r="H278" s="25" t="s">
        <v>284</v>
      </c>
      <c r="I278" s="22">
        <f>(10.5*173*2)+(10.5*103)+(12.5*8)+(20*75*2)+(20*9.14)+(10*9.14)+(12.5*14)-395-1523</f>
        <v>6345.7000000000007</v>
      </c>
      <c r="J278" s="18" t="s">
        <v>22</v>
      </c>
      <c r="K278" s="19">
        <v>0.05</v>
      </c>
      <c r="L278" s="22">
        <f t="shared" si="29"/>
        <v>6662.9850000000006</v>
      </c>
    </row>
    <row r="279" spans="1:12" ht="16.5">
      <c r="A279" s="15">
        <v>269</v>
      </c>
      <c r="B279" s="16" t="s">
        <v>195</v>
      </c>
      <c r="C279" s="16" t="s">
        <v>195</v>
      </c>
      <c r="D279" s="16" t="s">
        <v>262</v>
      </c>
      <c r="E279" s="16" t="s">
        <v>263</v>
      </c>
      <c r="F279" s="26" t="s">
        <v>283</v>
      </c>
      <c r="G279" s="26"/>
      <c r="H279" s="21" t="s">
        <v>193</v>
      </c>
      <c r="I279" s="18">
        <f>ROUND(L278/32,0)</f>
        <v>208</v>
      </c>
      <c r="J279" s="18" t="s">
        <v>66</v>
      </c>
      <c r="K279" s="19">
        <v>0</v>
      </c>
      <c r="L279" s="22">
        <f t="shared" si="29"/>
        <v>208</v>
      </c>
    </row>
    <row r="280" spans="1:12" ht="16.5">
      <c r="A280" s="15">
        <v>270</v>
      </c>
      <c r="B280" s="16" t="s">
        <v>195</v>
      </c>
      <c r="C280" s="16" t="s">
        <v>195</v>
      </c>
      <c r="D280" s="16" t="s">
        <v>262</v>
      </c>
      <c r="E280" s="16" t="s">
        <v>263</v>
      </c>
      <c r="F280" s="26" t="s">
        <v>283</v>
      </c>
      <c r="G280" s="26"/>
      <c r="H280" s="21" t="s">
        <v>266</v>
      </c>
      <c r="I280" s="18">
        <f>I279*16</f>
        <v>3328</v>
      </c>
      <c r="J280" s="18" t="s">
        <v>199</v>
      </c>
      <c r="K280" s="19">
        <v>0.05</v>
      </c>
      <c r="L280" s="22">
        <f t="shared" si="29"/>
        <v>3494.4</v>
      </c>
    </row>
    <row r="281" spans="1:12" ht="16.5">
      <c r="A281" s="15">
        <v>271</v>
      </c>
      <c r="B281" s="16" t="s">
        <v>195</v>
      </c>
      <c r="C281" s="16" t="s">
        <v>195</v>
      </c>
      <c r="D281" s="16" t="s">
        <v>262</v>
      </c>
      <c r="E281" s="16" t="s">
        <v>263</v>
      </c>
      <c r="F281" s="26" t="s">
        <v>283</v>
      </c>
      <c r="G281" s="26"/>
      <c r="H281" s="21" t="s">
        <v>267</v>
      </c>
      <c r="I281" s="22">
        <f>0.052*L278</f>
        <v>346.47522000000004</v>
      </c>
      <c r="J281" s="18" t="s">
        <v>30</v>
      </c>
      <c r="K281" s="19">
        <v>0.05</v>
      </c>
      <c r="L281" s="22">
        <f t="shared" si="29"/>
        <v>363.79898100000003</v>
      </c>
    </row>
    <row r="282" spans="1:12" ht="16.5">
      <c r="A282" s="15">
        <v>272</v>
      </c>
      <c r="B282" s="16" t="s">
        <v>195</v>
      </c>
      <c r="C282" s="16" t="s">
        <v>195</v>
      </c>
      <c r="D282" s="16" t="s">
        <v>262</v>
      </c>
      <c r="E282" s="16" t="s">
        <v>263</v>
      </c>
      <c r="F282" s="26" t="s">
        <v>283</v>
      </c>
      <c r="G282" s="26"/>
      <c r="H282" s="21" t="s">
        <v>194</v>
      </c>
      <c r="I282" s="18">
        <f>I279*48</f>
        <v>9984</v>
      </c>
      <c r="J282" s="18" t="s">
        <v>66</v>
      </c>
      <c r="K282" s="19">
        <v>0</v>
      </c>
      <c r="L282" s="22">
        <f t="shared" si="29"/>
        <v>9984</v>
      </c>
    </row>
    <row r="283" spans="1:12" ht="16.5">
      <c r="A283" s="15">
        <v>273</v>
      </c>
      <c r="B283" s="16" t="s">
        <v>195</v>
      </c>
      <c r="C283" s="16" t="s">
        <v>195</v>
      </c>
      <c r="D283" s="16" t="s">
        <v>262</v>
      </c>
      <c r="E283" s="16" t="s">
        <v>263</v>
      </c>
      <c r="F283" s="26" t="s">
        <v>283</v>
      </c>
      <c r="G283" s="26"/>
      <c r="H283" s="25" t="s">
        <v>285</v>
      </c>
      <c r="I283" s="22">
        <f>(3.5*10.51*2)+(10.5*103)+(12.5*8)+(10*9.14)+(10.529*2)+(12.5*14)</f>
        <v>1542.528</v>
      </c>
      <c r="J283" s="18" t="s">
        <v>22</v>
      </c>
      <c r="K283" s="19">
        <v>0.05</v>
      </c>
      <c r="L283" s="22">
        <f t="shared" si="29"/>
        <v>1619.6544000000001</v>
      </c>
    </row>
    <row r="284" spans="1:12" ht="16.5">
      <c r="A284" s="15">
        <v>274</v>
      </c>
      <c r="B284" s="16" t="s">
        <v>195</v>
      </c>
      <c r="C284" s="16" t="s">
        <v>195</v>
      </c>
      <c r="D284" s="16" t="s">
        <v>262</v>
      </c>
      <c r="E284" s="16" t="s">
        <v>263</v>
      </c>
      <c r="F284" s="26" t="s">
        <v>283</v>
      </c>
      <c r="G284" s="26"/>
      <c r="H284" s="21" t="s">
        <v>193</v>
      </c>
      <c r="I284" s="18">
        <f>ROUND(L283/32,0)</f>
        <v>51</v>
      </c>
      <c r="J284" s="18" t="s">
        <v>66</v>
      </c>
      <c r="K284" s="19">
        <v>0</v>
      </c>
      <c r="L284" s="22">
        <f t="shared" si="29"/>
        <v>51</v>
      </c>
    </row>
    <row r="285" spans="1:12" ht="16.5">
      <c r="A285" s="15">
        <v>275</v>
      </c>
      <c r="B285" s="16" t="s">
        <v>195</v>
      </c>
      <c r="C285" s="16" t="s">
        <v>195</v>
      </c>
      <c r="D285" s="16" t="s">
        <v>262</v>
      </c>
      <c r="E285" s="16" t="s">
        <v>263</v>
      </c>
      <c r="F285" s="26" t="s">
        <v>283</v>
      </c>
      <c r="G285" s="26"/>
      <c r="H285" s="21" t="s">
        <v>266</v>
      </c>
      <c r="I285" s="18">
        <f>I284*16</f>
        <v>816</v>
      </c>
      <c r="J285" s="18" t="s">
        <v>199</v>
      </c>
      <c r="K285" s="19">
        <v>0.05</v>
      </c>
      <c r="L285" s="22">
        <f t="shared" si="29"/>
        <v>856.8</v>
      </c>
    </row>
    <row r="286" spans="1:12" ht="16.5">
      <c r="A286" s="15">
        <v>276</v>
      </c>
      <c r="B286" s="16" t="s">
        <v>195</v>
      </c>
      <c r="C286" s="16" t="s">
        <v>195</v>
      </c>
      <c r="D286" s="16" t="s">
        <v>262</v>
      </c>
      <c r="E286" s="16" t="s">
        <v>263</v>
      </c>
      <c r="F286" s="26" t="s">
        <v>283</v>
      </c>
      <c r="G286" s="26"/>
      <c r="H286" s="21" t="s">
        <v>267</v>
      </c>
      <c r="I286" s="22">
        <f>0.052*L283</f>
        <v>84.222028800000004</v>
      </c>
      <c r="J286" s="18" t="s">
        <v>30</v>
      </c>
      <c r="K286" s="19">
        <v>0.05</v>
      </c>
      <c r="L286" s="22">
        <f t="shared" si="29"/>
        <v>88.433130239999997</v>
      </c>
    </row>
    <row r="287" spans="1:12" ht="16.5">
      <c r="A287" s="15">
        <v>277</v>
      </c>
      <c r="B287" s="16" t="s">
        <v>195</v>
      </c>
      <c r="C287" s="16" t="s">
        <v>195</v>
      </c>
      <c r="D287" s="16" t="s">
        <v>262</v>
      </c>
      <c r="E287" s="16" t="s">
        <v>263</v>
      </c>
      <c r="F287" s="26" t="s">
        <v>283</v>
      </c>
      <c r="G287" s="26"/>
      <c r="H287" s="21" t="s">
        <v>194</v>
      </c>
      <c r="I287" s="18">
        <f>I284*48</f>
        <v>2448</v>
      </c>
      <c r="J287" s="18" t="s">
        <v>66</v>
      </c>
      <c r="K287" s="19">
        <v>0</v>
      </c>
      <c r="L287" s="22">
        <f t="shared" si="29"/>
        <v>2448</v>
      </c>
    </row>
    <row r="288" spans="1:12" ht="16.5">
      <c r="A288" s="15">
        <v>278</v>
      </c>
      <c r="B288" s="16" t="s">
        <v>195</v>
      </c>
      <c r="C288" s="16" t="s">
        <v>195</v>
      </c>
      <c r="D288" s="16" t="s">
        <v>262</v>
      </c>
      <c r="E288" s="16" t="s">
        <v>263</v>
      </c>
      <c r="F288" s="26" t="s">
        <v>283</v>
      </c>
      <c r="G288" s="26"/>
      <c r="H288" s="25" t="s">
        <v>286</v>
      </c>
      <c r="I288" s="22">
        <f>145*10.5</f>
        <v>1522.5</v>
      </c>
      <c r="J288" s="18" t="s">
        <v>22</v>
      </c>
      <c r="K288" s="19">
        <v>0.05</v>
      </c>
      <c r="L288" s="22">
        <f t="shared" si="29"/>
        <v>1598.625</v>
      </c>
    </row>
    <row r="289" spans="1:12" ht="16.5">
      <c r="A289" s="15">
        <v>279</v>
      </c>
      <c r="B289" s="16" t="s">
        <v>195</v>
      </c>
      <c r="C289" s="16" t="s">
        <v>195</v>
      </c>
      <c r="D289" s="16" t="s">
        <v>262</v>
      </c>
      <c r="E289" s="16" t="s">
        <v>263</v>
      </c>
      <c r="F289" s="26" t="s">
        <v>283</v>
      </c>
      <c r="G289" s="26"/>
      <c r="H289" s="21" t="s">
        <v>193</v>
      </c>
      <c r="I289" s="18">
        <f>ROUND(L288/32,0)</f>
        <v>50</v>
      </c>
      <c r="J289" s="18" t="s">
        <v>66</v>
      </c>
      <c r="K289" s="19">
        <v>0</v>
      </c>
      <c r="L289" s="22">
        <f t="shared" si="29"/>
        <v>50</v>
      </c>
    </row>
    <row r="290" spans="1:12" ht="16.5">
      <c r="A290" s="15">
        <v>280</v>
      </c>
      <c r="B290" s="16" t="s">
        <v>195</v>
      </c>
      <c r="C290" s="16" t="s">
        <v>195</v>
      </c>
      <c r="D290" s="16" t="s">
        <v>262</v>
      </c>
      <c r="E290" s="16" t="s">
        <v>263</v>
      </c>
      <c r="F290" s="26" t="s">
        <v>283</v>
      </c>
      <c r="G290" s="26"/>
      <c r="H290" s="21" t="s">
        <v>266</v>
      </c>
      <c r="I290" s="18">
        <f>I289*16</f>
        <v>800</v>
      </c>
      <c r="J290" s="18" t="s">
        <v>199</v>
      </c>
      <c r="K290" s="19">
        <v>0.05</v>
      </c>
      <c r="L290" s="22">
        <f t="shared" si="29"/>
        <v>840</v>
      </c>
    </row>
    <row r="291" spans="1:12" ht="16.5">
      <c r="A291" s="15">
        <v>281</v>
      </c>
      <c r="B291" s="16" t="s">
        <v>195</v>
      </c>
      <c r="C291" s="16" t="s">
        <v>195</v>
      </c>
      <c r="D291" s="16" t="s">
        <v>262</v>
      </c>
      <c r="E291" s="16" t="s">
        <v>263</v>
      </c>
      <c r="F291" s="26" t="s">
        <v>283</v>
      </c>
      <c r="G291" s="26"/>
      <c r="H291" s="21" t="s">
        <v>267</v>
      </c>
      <c r="I291" s="22">
        <f>0.052*L288</f>
        <v>83.128500000000003</v>
      </c>
      <c r="J291" s="18" t="s">
        <v>30</v>
      </c>
      <c r="K291" s="19">
        <v>0.05</v>
      </c>
      <c r="L291" s="22">
        <f t="shared" si="29"/>
        <v>87.284925000000001</v>
      </c>
    </row>
    <row r="292" spans="1:12" ht="16.5">
      <c r="A292" s="15">
        <v>282</v>
      </c>
      <c r="B292" s="16" t="s">
        <v>195</v>
      </c>
      <c r="C292" s="16" t="s">
        <v>195</v>
      </c>
      <c r="D292" s="16" t="s">
        <v>262</v>
      </c>
      <c r="E292" s="16" t="s">
        <v>263</v>
      </c>
      <c r="F292" s="26" t="s">
        <v>283</v>
      </c>
      <c r="G292" s="26"/>
      <c r="H292" s="21" t="s">
        <v>194</v>
      </c>
      <c r="I292" s="18">
        <f>I289*48</f>
        <v>2400</v>
      </c>
      <c r="J292" s="18" t="s">
        <v>66</v>
      </c>
      <c r="K292" s="19">
        <v>0</v>
      </c>
      <c r="L292" s="22">
        <f t="shared" si="29"/>
        <v>2400</v>
      </c>
    </row>
    <row r="293" spans="1:12" ht="16.5">
      <c r="A293" s="15">
        <v>283</v>
      </c>
      <c r="B293" s="16" t="s">
        <v>195</v>
      </c>
      <c r="C293" s="16" t="s">
        <v>195</v>
      </c>
      <c r="D293" s="16" t="s">
        <v>262</v>
      </c>
      <c r="E293" s="16" t="s">
        <v>263</v>
      </c>
      <c r="F293" s="26" t="s">
        <v>283</v>
      </c>
      <c r="G293" s="26"/>
      <c r="H293" s="25" t="s">
        <v>287</v>
      </c>
      <c r="I293" s="22">
        <f>(11/1.33)</f>
        <v>8.2706766917293226</v>
      </c>
      <c r="J293" s="18" t="s">
        <v>66</v>
      </c>
      <c r="K293" s="19">
        <v>0</v>
      </c>
      <c r="L293" s="22">
        <f t="shared" si="29"/>
        <v>8.2706766917293226</v>
      </c>
    </row>
    <row r="294" spans="1:12" ht="16.5">
      <c r="A294" s="15">
        <v>284</v>
      </c>
      <c r="B294" s="16" t="s">
        <v>195</v>
      </c>
      <c r="C294" s="16" t="s">
        <v>195</v>
      </c>
      <c r="D294" s="16" t="s">
        <v>262</v>
      </c>
      <c r="E294" s="16" t="s">
        <v>263</v>
      </c>
      <c r="F294" s="26" t="s">
        <v>283</v>
      </c>
      <c r="G294" s="26"/>
      <c r="H294" s="25" t="s">
        <v>271</v>
      </c>
      <c r="I294" s="22">
        <f>(173+103+29)/1.33</f>
        <v>229.32330827067668</v>
      </c>
      <c r="J294" s="18" t="s">
        <v>66</v>
      </c>
      <c r="K294" s="19">
        <v>0</v>
      </c>
      <c r="L294" s="22">
        <f t="shared" si="29"/>
        <v>229.32330827067668</v>
      </c>
    </row>
    <row r="295" spans="1:12" ht="16.5">
      <c r="A295" s="15">
        <v>285</v>
      </c>
      <c r="B295" s="16" t="s">
        <v>195</v>
      </c>
      <c r="C295" s="16" t="s">
        <v>195</v>
      </c>
      <c r="D295" s="16" t="s">
        <v>262</v>
      </c>
      <c r="E295" s="16" t="s">
        <v>263</v>
      </c>
      <c r="F295" s="26" t="s">
        <v>283</v>
      </c>
      <c r="G295" s="26"/>
      <c r="H295" s="25" t="s">
        <v>288</v>
      </c>
      <c r="I295" s="22">
        <f>(8+14)/1.33</f>
        <v>16.541353383458645</v>
      </c>
      <c r="J295" s="18" t="s">
        <v>66</v>
      </c>
      <c r="K295" s="19">
        <v>0</v>
      </c>
      <c r="L295" s="22">
        <f t="shared" si="29"/>
        <v>16.541353383458645</v>
      </c>
    </row>
    <row r="296" spans="1:12" ht="16.5">
      <c r="A296" s="15">
        <v>286</v>
      </c>
      <c r="B296" s="16" t="s">
        <v>195</v>
      </c>
      <c r="C296" s="16" t="s">
        <v>195</v>
      </c>
      <c r="D296" s="16" t="s">
        <v>262</v>
      </c>
      <c r="E296" s="16" t="s">
        <v>263</v>
      </c>
      <c r="F296" s="26" t="s">
        <v>283</v>
      </c>
      <c r="G296" s="26"/>
      <c r="H296" s="25" t="s">
        <v>273</v>
      </c>
      <c r="I296" s="22">
        <f>(421/16)</f>
        <v>26.3125</v>
      </c>
      <c r="J296" s="18" t="s">
        <v>66</v>
      </c>
      <c r="K296" s="19">
        <v>0</v>
      </c>
      <c r="L296" s="22">
        <f t="shared" si="29"/>
        <v>26.3125</v>
      </c>
    </row>
    <row r="297" spans="1:12" ht="16.5">
      <c r="A297" s="32">
        <v>287</v>
      </c>
      <c r="B297" s="16" t="s">
        <v>195</v>
      </c>
      <c r="C297" s="16" t="s">
        <v>195</v>
      </c>
      <c r="D297" s="16" t="s">
        <v>262</v>
      </c>
      <c r="E297" s="16" t="s">
        <v>263</v>
      </c>
      <c r="F297" s="26" t="s">
        <v>283</v>
      </c>
      <c r="G297" s="26"/>
      <c r="H297" s="25" t="s">
        <v>274</v>
      </c>
      <c r="I297" s="22">
        <f>(421*2)/16</f>
        <v>52.625</v>
      </c>
      <c r="J297" s="18" t="s">
        <v>66</v>
      </c>
      <c r="K297" s="19">
        <v>0</v>
      </c>
      <c r="L297" s="22">
        <f t="shared" si="29"/>
        <v>52.625</v>
      </c>
    </row>
    <row r="298" spans="1:12" ht="16.5">
      <c r="A298" s="32">
        <v>288</v>
      </c>
      <c r="B298" s="16" t="s">
        <v>195</v>
      </c>
      <c r="C298" s="16" t="s">
        <v>195</v>
      </c>
      <c r="D298" s="16" t="s">
        <v>262</v>
      </c>
      <c r="E298" s="16" t="s">
        <v>263</v>
      </c>
      <c r="F298" s="26" t="s">
        <v>283</v>
      </c>
      <c r="G298" s="26"/>
      <c r="H298" s="25" t="s">
        <v>276</v>
      </c>
      <c r="I298" s="18">
        <f>421*4</f>
        <v>1684</v>
      </c>
      <c r="J298" s="18" t="s">
        <v>199</v>
      </c>
      <c r="K298" s="19">
        <v>0.05</v>
      </c>
      <c r="L298" s="22">
        <f t="shared" si="29"/>
        <v>1768.2</v>
      </c>
    </row>
    <row r="299" spans="1:12" ht="16.5">
      <c r="A299" s="32">
        <v>289</v>
      </c>
      <c r="B299" s="16" t="s">
        <v>195</v>
      </c>
      <c r="C299" s="16" t="s">
        <v>195</v>
      </c>
      <c r="D299" s="16" t="s">
        <v>262</v>
      </c>
      <c r="E299" s="16" t="s">
        <v>263</v>
      </c>
      <c r="F299" s="26" t="s">
        <v>289</v>
      </c>
      <c r="G299" s="26"/>
      <c r="H299" s="25" t="s">
        <v>284</v>
      </c>
      <c r="I299" s="22">
        <f>(10.5*3.42*2)+(10.5*13)+(12.5*9*2)+(20*2*30)+(30*10.2)</f>
        <v>1939.32</v>
      </c>
      <c r="J299" s="18" t="s">
        <v>22</v>
      </c>
      <c r="K299" s="19">
        <v>0.05</v>
      </c>
      <c r="L299" s="22">
        <f t="shared" si="29"/>
        <v>2036.2860000000001</v>
      </c>
    </row>
    <row r="300" spans="1:12" ht="16.5">
      <c r="A300" s="32">
        <v>290</v>
      </c>
      <c r="B300" s="16" t="s">
        <v>195</v>
      </c>
      <c r="C300" s="16" t="s">
        <v>195</v>
      </c>
      <c r="D300" s="16" t="s">
        <v>262</v>
      </c>
      <c r="E300" s="16" t="s">
        <v>263</v>
      </c>
      <c r="F300" s="26" t="s">
        <v>289</v>
      </c>
      <c r="G300" s="26"/>
      <c r="H300" s="21" t="s">
        <v>193</v>
      </c>
      <c r="I300" s="18">
        <f>ROUND(L299/32,0)</f>
        <v>64</v>
      </c>
      <c r="J300" s="18" t="s">
        <v>66</v>
      </c>
      <c r="K300" s="19">
        <v>0</v>
      </c>
      <c r="L300" s="22">
        <f t="shared" si="29"/>
        <v>64</v>
      </c>
    </row>
    <row r="301" spans="1:12" ht="16.5">
      <c r="A301" s="32">
        <v>291</v>
      </c>
      <c r="B301" s="16" t="s">
        <v>195</v>
      </c>
      <c r="C301" s="16" t="s">
        <v>195</v>
      </c>
      <c r="D301" s="16" t="s">
        <v>262</v>
      </c>
      <c r="E301" s="16" t="s">
        <v>263</v>
      </c>
      <c r="F301" s="26" t="s">
        <v>289</v>
      </c>
      <c r="G301" s="26"/>
      <c r="H301" s="21" t="s">
        <v>266</v>
      </c>
      <c r="I301" s="18">
        <f>I300*16</f>
        <v>1024</v>
      </c>
      <c r="J301" s="18" t="s">
        <v>199</v>
      </c>
      <c r="K301" s="19">
        <v>0.05</v>
      </c>
      <c r="L301" s="22">
        <f t="shared" si="29"/>
        <v>1075.2</v>
      </c>
    </row>
    <row r="302" spans="1:12" ht="16.5">
      <c r="A302" s="32">
        <v>292</v>
      </c>
      <c r="B302" s="16" t="s">
        <v>195</v>
      </c>
      <c r="C302" s="16" t="s">
        <v>195</v>
      </c>
      <c r="D302" s="16" t="s">
        <v>262</v>
      </c>
      <c r="E302" s="16" t="s">
        <v>263</v>
      </c>
      <c r="F302" s="26" t="s">
        <v>289</v>
      </c>
      <c r="G302" s="26"/>
      <c r="H302" s="21" t="s">
        <v>267</v>
      </c>
      <c r="I302" s="22">
        <f>0.052*L299</f>
        <v>105.886872</v>
      </c>
      <c r="J302" s="18" t="s">
        <v>30</v>
      </c>
      <c r="K302" s="19">
        <v>0.05</v>
      </c>
      <c r="L302" s="22">
        <f t="shared" si="29"/>
        <v>111.1812156</v>
      </c>
    </row>
    <row r="303" spans="1:12" ht="16.5">
      <c r="A303" s="32">
        <v>293</v>
      </c>
      <c r="B303" s="16" t="s">
        <v>195</v>
      </c>
      <c r="C303" s="16" t="s">
        <v>195</v>
      </c>
      <c r="D303" s="16" t="s">
        <v>262</v>
      </c>
      <c r="E303" s="16" t="s">
        <v>263</v>
      </c>
      <c r="F303" s="26" t="s">
        <v>289</v>
      </c>
      <c r="G303" s="26"/>
      <c r="H303" s="21" t="s">
        <v>194</v>
      </c>
      <c r="I303" s="18">
        <f>I300*48</f>
        <v>3072</v>
      </c>
      <c r="J303" s="18" t="s">
        <v>66</v>
      </c>
      <c r="K303" s="19">
        <v>0</v>
      </c>
      <c r="L303" s="22">
        <f t="shared" ref="L303:L314" si="30">(K303*I303)+I303</f>
        <v>3072</v>
      </c>
    </row>
    <row r="304" spans="1:12" ht="16.5">
      <c r="A304" s="32">
        <v>294</v>
      </c>
      <c r="B304" s="16" t="s">
        <v>195</v>
      </c>
      <c r="C304" s="16" t="s">
        <v>195</v>
      </c>
      <c r="D304" s="16" t="s">
        <v>262</v>
      </c>
      <c r="E304" s="16" t="s">
        <v>263</v>
      </c>
      <c r="F304" s="26" t="s">
        <v>289</v>
      </c>
      <c r="G304" s="26"/>
      <c r="H304" s="25" t="s">
        <v>285</v>
      </c>
      <c r="I304" s="22">
        <f>(10.5*13)+(10*10.2)</f>
        <v>238.5</v>
      </c>
      <c r="J304" s="18" t="s">
        <v>22</v>
      </c>
      <c r="K304" s="19">
        <v>0.05</v>
      </c>
      <c r="L304" s="22">
        <f t="shared" si="30"/>
        <v>250.42500000000001</v>
      </c>
    </row>
    <row r="305" spans="1:12" ht="16.5">
      <c r="A305" s="32">
        <v>295</v>
      </c>
      <c r="B305" s="16" t="s">
        <v>195</v>
      </c>
      <c r="C305" s="16" t="s">
        <v>195</v>
      </c>
      <c r="D305" s="16" t="s">
        <v>262</v>
      </c>
      <c r="E305" s="16" t="s">
        <v>263</v>
      </c>
      <c r="F305" s="26" t="s">
        <v>289</v>
      </c>
      <c r="G305" s="26"/>
      <c r="H305" s="21" t="s">
        <v>193</v>
      </c>
      <c r="I305" s="18">
        <f>ROUND(L304/32,0)</f>
        <v>8</v>
      </c>
      <c r="J305" s="18" t="s">
        <v>66</v>
      </c>
      <c r="K305" s="19">
        <v>0</v>
      </c>
      <c r="L305" s="22">
        <f t="shared" si="30"/>
        <v>8</v>
      </c>
    </row>
    <row r="306" spans="1:12" ht="16.5">
      <c r="A306" s="32">
        <v>296</v>
      </c>
      <c r="B306" s="16" t="s">
        <v>195</v>
      </c>
      <c r="C306" s="16" t="s">
        <v>195</v>
      </c>
      <c r="D306" s="16" t="s">
        <v>262</v>
      </c>
      <c r="E306" s="16" t="s">
        <v>263</v>
      </c>
      <c r="F306" s="26" t="s">
        <v>289</v>
      </c>
      <c r="G306" s="26"/>
      <c r="H306" s="21" t="s">
        <v>266</v>
      </c>
      <c r="I306" s="18">
        <f>I305*16</f>
        <v>128</v>
      </c>
      <c r="J306" s="18" t="s">
        <v>199</v>
      </c>
      <c r="K306" s="19">
        <v>0.05</v>
      </c>
      <c r="L306" s="22">
        <f t="shared" si="30"/>
        <v>134.4</v>
      </c>
    </row>
    <row r="307" spans="1:12" ht="16.5">
      <c r="A307" s="32">
        <v>297</v>
      </c>
      <c r="B307" s="16" t="s">
        <v>195</v>
      </c>
      <c r="C307" s="16" t="s">
        <v>195</v>
      </c>
      <c r="D307" s="16" t="s">
        <v>262</v>
      </c>
      <c r="E307" s="16" t="s">
        <v>263</v>
      </c>
      <c r="F307" s="26" t="s">
        <v>289</v>
      </c>
      <c r="G307" s="26"/>
      <c r="H307" s="21" t="s">
        <v>267</v>
      </c>
      <c r="I307" s="22">
        <f>0.052*L304</f>
        <v>13.0221</v>
      </c>
      <c r="J307" s="18" t="s">
        <v>30</v>
      </c>
      <c r="K307" s="19">
        <v>0.05</v>
      </c>
      <c r="L307" s="22">
        <f t="shared" si="30"/>
        <v>13.673204999999999</v>
      </c>
    </row>
    <row r="308" spans="1:12" ht="16.5">
      <c r="A308" s="32">
        <v>298</v>
      </c>
      <c r="B308" s="16" t="s">
        <v>195</v>
      </c>
      <c r="C308" s="16" t="s">
        <v>195</v>
      </c>
      <c r="D308" s="16" t="s">
        <v>262</v>
      </c>
      <c r="E308" s="16" t="s">
        <v>263</v>
      </c>
      <c r="F308" s="26" t="s">
        <v>289</v>
      </c>
      <c r="G308" s="26"/>
      <c r="H308" s="21" t="s">
        <v>194</v>
      </c>
      <c r="I308" s="18">
        <f>I305*48</f>
        <v>384</v>
      </c>
      <c r="J308" s="18" t="s">
        <v>66</v>
      </c>
      <c r="K308" s="19">
        <v>0</v>
      </c>
      <c r="L308" s="22">
        <f t="shared" si="30"/>
        <v>384</v>
      </c>
    </row>
    <row r="309" spans="1:12" ht="16.5">
      <c r="A309" s="32">
        <v>299</v>
      </c>
      <c r="B309" s="16" t="s">
        <v>195</v>
      </c>
      <c r="C309" s="16" t="s">
        <v>195</v>
      </c>
      <c r="D309" s="16" t="s">
        <v>262</v>
      </c>
      <c r="E309" s="16" t="s">
        <v>263</v>
      </c>
      <c r="F309" s="26" t="s">
        <v>289</v>
      </c>
      <c r="G309" s="26"/>
      <c r="H309" s="25" t="s">
        <v>278</v>
      </c>
      <c r="I309" s="22">
        <f>(3.42+13)/1.33</f>
        <v>12.345864661654137</v>
      </c>
      <c r="J309" s="18" t="s">
        <v>66</v>
      </c>
      <c r="K309" s="19">
        <v>0</v>
      </c>
      <c r="L309" s="22">
        <f t="shared" si="30"/>
        <v>12.345864661654137</v>
      </c>
    </row>
    <row r="310" spans="1:12" ht="16.5">
      <c r="A310" s="32">
        <v>300</v>
      </c>
      <c r="B310" s="16" t="s">
        <v>195</v>
      </c>
      <c r="C310" s="16" t="s">
        <v>195</v>
      </c>
      <c r="D310" s="16" t="s">
        <v>262</v>
      </c>
      <c r="E310" s="16" t="s">
        <v>263</v>
      </c>
      <c r="F310" s="26" t="s">
        <v>289</v>
      </c>
      <c r="G310" s="26"/>
      <c r="H310" s="25" t="s">
        <v>279</v>
      </c>
      <c r="I310" s="22">
        <f>(9)/1.33</f>
        <v>6.7669172932330826</v>
      </c>
      <c r="J310" s="18" t="s">
        <v>66</v>
      </c>
      <c r="K310" s="19">
        <v>0</v>
      </c>
      <c r="L310" s="22">
        <f t="shared" si="30"/>
        <v>6.7669172932330826</v>
      </c>
    </row>
    <row r="311" spans="1:12" ht="16.5">
      <c r="A311" s="32">
        <v>301</v>
      </c>
      <c r="B311" s="16" t="s">
        <v>195</v>
      </c>
      <c r="C311" s="16" t="s">
        <v>195</v>
      </c>
      <c r="D311" s="16" t="s">
        <v>262</v>
      </c>
      <c r="E311" s="16" t="s">
        <v>263</v>
      </c>
      <c r="F311" s="26" t="s">
        <v>289</v>
      </c>
      <c r="G311" s="26"/>
      <c r="H311" s="25" t="s">
        <v>280</v>
      </c>
      <c r="I311" s="22">
        <f>(30+10.2)/1.33</f>
        <v>30.225563909774436</v>
      </c>
      <c r="J311" s="18" t="s">
        <v>66</v>
      </c>
      <c r="K311" s="19">
        <v>0</v>
      </c>
      <c r="L311" s="22">
        <f t="shared" si="30"/>
        <v>30.225563909774436</v>
      </c>
    </row>
    <row r="312" spans="1:12" ht="16.5">
      <c r="A312" s="32">
        <v>302</v>
      </c>
      <c r="B312" s="16" t="s">
        <v>195</v>
      </c>
      <c r="C312" s="16" t="s">
        <v>195</v>
      </c>
      <c r="D312" s="16" t="s">
        <v>262</v>
      </c>
      <c r="E312" s="16" t="s">
        <v>263</v>
      </c>
      <c r="F312" s="26" t="s">
        <v>289</v>
      </c>
      <c r="G312" s="26"/>
      <c r="H312" s="25" t="s">
        <v>281</v>
      </c>
      <c r="I312" s="22">
        <f>(65/16)</f>
        <v>4.0625</v>
      </c>
      <c r="J312" s="18" t="s">
        <v>66</v>
      </c>
      <c r="K312" s="19">
        <v>0</v>
      </c>
      <c r="L312" s="22">
        <f t="shared" si="30"/>
        <v>4.0625</v>
      </c>
    </row>
    <row r="313" spans="1:12" ht="16.5">
      <c r="A313" s="32">
        <v>303</v>
      </c>
      <c r="B313" s="16" t="s">
        <v>195</v>
      </c>
      <c r="C313" s="16" t="s">
        <v>195</v>
      </c>
      <c r="D313" s="16" t="s">
        <v>262</v>
      </c>
      <c r="E313" s="16" t="s">
        <v>263</v>
      </c>
      <c r="F313" s="26" t="s">
        <v>289</v>
      </c>
      <c r="G313" s="26"/>
      <c r="H313" s="25" t="s">
        <v>282</v>
      </c>
      <c r="I313" s="22">
        <f>(65*2)/16</f>
        <v>8.125</v>
      </c>
      <c r="J313" s="18" t="s">
        <v>66</v>
      </c>
      <c r="K313" s="19">
        <v>0</v>
      </c>
      <c r="L313" s="22">
        <f t="shared" si="30"/>
        <v>8.125</v>
      </c>
    </row>
    <row r="314" spans="1:12" ht="16.5">
      <c r="A314" s="32">
        <v>304</v>
      </c>
      <c r="B314" s="16" t="s">
        <v>195</v>
      </c>
      <c r="C314" s="16" t="s">
        <v>195</v>
      </c>
      <c r="D314" s="16" t="s">
        <v>262</v>
      </c>
      <c r="E314" s="16" t="s">
        <v>263</v>
      </c>
      <c r="F314" s="26" t="s">
        <v>289</v>
      </c>
      <c r="G314" s="26"/>
      <c r="H314" s="25" t="s">
        <v>276</v>
      </c>
      <c r="I314" s="18">
        <f>(65*4)</f>
        <v>260</v>
      </c>
      <c r="J314" s="18" t="s">
        <v>199</v>
      </c>
      <c r="K314" s="19">
        <v>0.05</v>
      </c>
      <c r="L314" s="22">
        <f t="shared" si="30"/>
        <v>273</v>
      </c>
    </row>
    <row r="315" spans="1:12">
      <c r="A315" s="32">
        <v>305</v>
      </c>
      <c r="B315" s="16" t="s">
        <v>195</v>
      </c>
      <c r="C315" s="16" t="s">
        <v>195</v>
      </c>
      <c r="D315" s="16" t="s">
        <v>262</v>
      </c>
      <c r="E315" s="26" t="s">
        <v>290</v>
      </c>
      <c r="F315" s="26" t="s">
        <v>291</v>
      </c>
      <c r="G315" s="26"/>
      <c r="H315" s="17" t="s">
        <v>292</v>
      </c>
      <c r="I315" s="22">
        <v>429.9</v>
      </c>
      <c r="J315" s="18" t="s">
        <v>22</v>
      </c>
      <c r="K315" s="19">
        <v>0.05</v>
      </c>
      <c r="L315" s="22">
        <f t="shared" ref="L315:L329" si="31">(K315*I315)+I315</f>
        <v>451.39499999999998</v>
      </c>
    </row>
    <row r="316" spans="1:12" ht="16.5">
      <c r="A316" s="32">
        <v>306</v>
      </c>
      <c r="B316" s="16" t="s">
        <v>195</v>
      </c>
      <c r="C316" s="16" t="s">
        <v>195</v>
      </c>
      <c r="D316" s="16" t="s">
        <v>262</v>
      </c>
      <c r="E316" s="26" t="s">
        <v>290</v>
      </c>
      <c r="F316" s="26" t="s">
        <v>291</v>
      </c>
      <c r="G316" s="26"/>
      <c r="H316" s="21" t="s">
        <v>193</v>
      </c>
      <c r="I316" s="18">
        <f>ROUND(L315/32,0)</f>
        <v>14</v>
      </c>
      <c r="J316" s="18" t="s">
        <v>66</v>
      </c>
      <c r="K316" s="19">
        <v>0</v>
      </c>
      <c r="L316" s="22">
        <f t="shared" si="31"/>
        <v>14</v>
      </c>
    </row>
    <row r="317" spans="1:12" ht="16.5">
      <c r="A317" s="32">
        <v>307</v>
      </c>
      <c r="B317" s="16" t="s">
        <v>195</v>
      </c>
      <c r="C317" s="16" t="s">
        <v>195</v>
      </c>
      <c r="D317" s="16" t="s">
        <v>262</v>
      </c>
      <c r="E317" s="26" t="s">
        <v>290</v>
      </c>
      <c r="F317" s="26" t="s">
        <v>291</v>
      </c>
      <c r="G317" s="26"/>
      <c r="H317" s="21" t="s">
        <v>266</v>
      </c>
      <c r="I317" s="18">
        <f>I316*16</f>
        <v>224</v>
      </c>
      <c r="J317" s="18" t="s">
        <v>199</v>
      </c>
      <c r="K317" s="19">
        <v>0.05</v>
      </c>
      <c r="L317" s="22">
        <f t="shared" si="31"/>
        <v>235.2</v>
      </c>
    </row>
    <row r="318" spans="1:12" ht="16.5">
      <c r="A318" s="32">
        <v>308</v>
      </c>
      <c r="B318" s="16" t="s">
        <v>195</v>
      </c>
      <c r="C318" s="16" t="s">
        <v>195</v>
      </c>
      <c r="D318" s="16" t="s">
        <v>262</v>
      </c>
      <c r="E318" s="26" t="s">
        <v>290</v>
      </c>
      <c r="F318" s="26" t="s">
        <v>291</v>
      </c>
      <c r="G318" s="26"/>
      <c r="H318" s="21" t="s">
        <v>267</v>
      </c>
      <c r="I318" s="22">
        <f>0.052*L315</f>
        <v>23.472539999999999</v>
      </c>
      <c r="J318" s="18" t="s">
        <v>30</v>
      </c>
      <c r="K318" s="19">
        <v>0.05</v>
      </c>
      <c r="L318" s="22">
        <f t="shared" si="31"/>
        <v>24.646166999999998</v>
      </c>
    </row>
    <row r="319" spans="1:12" ht="16.5">
      <c r="A319" s="32">
        <v>309</v>
      </c>
      <c r="B319" s="16" t="s">
        <v>195</v>
      </c>
      <c r="C319" s="16" t="s">
        <v>195</v>
      </c>
      <c r="D319" s="16" t="s">
        <v>262</v>
      </c>
      <c r="E319" s="26" t="s">
        <v>290</v>
      </c>
      <c r="F319" s="26" t="s">
        <v>291</v>
      </c>
      <c r="G319" s="26"/>
      <c r="H319" s="21" t="s">
        <v>194</v>
      </c>
      <c r="I319" s="18">
        <f>I316*48</f>
        <v>672</v>
      </c>
      <c r="J319" s="18" t="s">
        <v>66</v>
      </c>
      <c r="K319" s="19">
        <v>0</v>
      </c>
      <c r="L319" s="22">
        <f t="shared" si="31"/>
        <v>672</v>
      </c>
    </row>
    <row r="320" spans="1:12">
      <c r="A320" s="32">
        <v>310</v>
      </c>
      <c r="B320" s="16" t="s">
        <v>195</v>
      </c>
      <c r="C320" s="16" t="s">
        <v>195</v>
      </c>
      <c r="D320" s="16" t="s">
        <v>262</v>
      </c>
      <c r="E320" s="26" t="s">
        <v>290</v>
      </c>
      <c r="F320" s="26" t="s">
        <v>291</v>
      </c>
      <c r="G320" s="26"/>
      <c r="H320" s="17" t="s">
        <v>293</v>
      </c>
      <c r="I320" s="22">
        <f>3343.53+(1.302*484)</f>
        <v>3973.6980000000003</v>
      </c>
      <c r="J320" s="18" t="s">
        <v>22</v>
      </c>
      <c r="K320" s="19">
        <v>0.05</v>
      </c>
      <c r="L320" s="22">
        <f t="shared" si="31"/>
        <v>4172.3829000000005</v>
      </c>
    </row>
    <row r="321" spans="1:12" ht="16.5">
      <c r="A321" s="32">
        <v>311</v>
      </c>
      <c r="B321" s="16" t="s">
        <v>195</v>
      </c>
      <c r="C321" s="16" t="s">
        <v>195</v>
      </c>
      <c r="D321" s="16" t="s">
        <v>262</v>
      </c>
      <c r="E321" s="26" t="s">
        <v>290</v>
      </c>
      <c r="F321" s="26" t="s">
        <v>291</v>
      </c>
      <c r="G321" s="26"/>
      <c r="H321" s="21" t="s">
        <v>193</v>
      </c>
      <c r="I321" s="18">
        <f>ROUND(L320/32,0)</f>
        <v>130</v>
      </c>
      <c r="J321" s="18" t="s">
        <v>66</v>
      </c>
      <c r="K321" s="19">
        <v>0</v>
      </c>
      <c r="L321" s="22">
        <f t="shared" si="31"/>
        <v>130</v>
      </c>
    </row>
    <row r="322" spans="1:12" ht="16.5">
      <c r="A322" s="32">
        <v>312</v>
      </c>
      <c r="B322" s="16" t="s">
        <v>195</v>
      </c>
      <c r="C322" s="16" t="s">
        <v>195</v>
      </c>
      <c r="D322" s="16" t="s">
        <v>262</v>
      </c>
      <c r="E322" s="26" t="s">
        <v>290</v>
      </c>
      <c r="F322" s="26" t="s">
        <v>291</v>
      </c>
      <c r="G322" s="26"/>
      <c r="H322" s="21" t="s">
        <v>266</v>
      </c>
      <c r="I322" s="18">
        <f>I321*16</f>
        <v>2080</v>
      </c>
      <c r="J322" s="18" t="s">
        <v>199</v>
      </c>
      <c r="K322" s="19">
        <v>0.05</v>
      </c>
      <c r="L322" s="22">
        <f t="shared" si="31"/>
        <v>2184</v>
      </c>
    </row>
    <row r="323" spans="1:12" ht="16.5">
      <c r="A323" s="32">
        <v>313</v>
      </c>
      <c r="B323" s="16" t="s">
        <v>195</v>
      </c>
      <c r="C323" s="16" t="s">
        <v>195</v>
      </c>
      <c r="D323" s="16" t="s">
        <v>262</v>
      </c>
      <c r="E323" s="26" t="s">
        <v>290</v>
      </c>
      <c r="F323" s="26" t="s">
        <v>291</v>
      </c>
      <c r="G323" s="26"/>
      <c r="H323" s="21" t="s">
        <v>267</v>
      </c>
      <c r="I323" s="22">
        <f>0.052*L320</f>
        <v>216.96391080000001</v>
      </c>
      <c r="J323" s="18" t="s">
        <v>30</v>
      </c>
      <c r="K323" s="19">
        <v>0.05</v>
      </c>
      <c r="L323" s="22">
        <f t="shared" si="31"/>
        <v>227.81210634000001</v>
      </c>
    </row>
    <row r="324" spans="1:12" ht="16.5">
      <c r="A324" s="32">
        <v>314</v>
      </c>
      <c r="B324" s="16" t="s">
        <v>195</v>
      </c>
      <c r="C324" s="16" t="s">
        <v>195</v>
      </c>
      <c r="D324" s="16" t="s">
        <v>262</v>
      </c>
      <c r="E324" s="26" t="s">
        <v>290</v>
      </c>
      <c r="F324" s="26" t="s">
        <v>291</v>
      </c>
      <c r="G324" s="26"/>
      <c r="H324" s="21" t="s">
        <v>194</v>
      </c>
      <c r="I324" s="18">
        <f>I321*48</f>
        <v>6240</v>
      </c>
      <c r="J324" s="18" t="s">
        <v>66</v>
      </c>
      <c r="K324" s="19">
        <v>0</v>
      </c>
      <c r="L324" s="22">
        <f t="shared" si="31"/>
        <v>6240</v>
      </c>
    </row>
    <row r="325" spans="1:12">
      <c r="A325" s="32">
        <v>315</v>
      </c>
      <c r="B325" s="16" t="s">
        <v>195</v>
      </c>
      <c r="C325" s="16" t="s">
        <v>195</v>
      </c>
      <c r="D325" s="16" t="s">
        <v>262</v>
      </c>
      <c r="E325" s="26" t="s">
        <v>290</v>
      </c>
      <c r="F325" s="26" t="s">
        <v>291</v>
      </c>
      <c r="G325" s="26"/>
      <c r="H325" s="17" t="s">
        <v>294</v>
      </c>
      <c r="I325" s="22">
        <v>1352.86</v>
      </c>
      <c r="J325" s="18" t="s">
        <v>22</v>
      </c>
      <c r="K325" s="19">
        <v>0.05</v>
      </c>
      <c r="L325" s="22">
        <f t="shared" si="31"/>
        <v>1420.5029999999999</v>
      </c>
    </row>
    <row r="326" spans="1:12" ht="16.5">
      <c r="A326" s="32">
        <v>316</v>
      </c>
      <c r="B326" s="16" t="s">
        <v>195</v>
      </c>
      <c r="C326" s="16" t="s">
        <v>195</v>
      </c>
      <c r="D326" s="16" t="s">
        <v>262</v>
      </c>
      <c r="E326" s="26" t="s">
        <v>290</v>
      </c>
      <c r="F326" s="26" t="s">
        <v>291</v>
      </c>
      <c r="G326" s="26"/>
      <c r="H326" s="21" t="s">
        <v>193</v>
      </c>
      <c r="I326" s="18">
        <f>ROUND(L325/32,0)</f>
        <v>44</v>
      </c>
      <c r="J326" s="18" t="s">
        <v>66</v>
      </c>
      <c r="K326" s="19">
        <v>0</v>
      </c>
      <c r="L326" s="22">
        <f t="shared" si="31"/>
        <v>44</v>
      </c>
    </row>
    <row r="327" spans="1:12" ht="16.5">
      <c r="A327" s="32">
        <v>317</v>
      </c>
      <c r="B327" s="16" t="s">
        <v>195</v>
      </c>
      <c r="C327" s="16" t="s">
        <v>195</v>
      </c>
      <c r="D327" s="16" t="s">
        <v>262</v>
      </c>
      <c r="E327" s="26" t="s">
        <v>290</v>
      </c>
      <c r="F327" s="26" t="s">
        <v>291</v>
      </c>
      <c r="G327" s="26"/>
      <c r="H327" s="21" t="s">
        <v>266</v>
      </c>
      <c r="I327" s="18">
        <f>I326*16</f>
        <v>704</v>
      </c>
      <c r="J327" s="18" t="s">
        <v>199</v>
      </c>
      <c r="K327" s="19">
        <v>0.05</v>
      </c>
      <c r="L327" s="22">
        <f t="shared" si="31"/>
        <v>739.2</v>
      </c>
    </row>
    <row r="328" spans="1:12" ht="16.5">
      <c r="A328" s="32">
        <v>318</v>
      </c>
      <c r="B328" s="16" t="s">
        <v>195</v>
      </c>
      <c r="C328" s="16" t="s">
        <v>195</v>
      </c>
      <c r="D328" s="16" t="s">
        <v>262</v>
      </c>
      <c r="E328" s="26" t="s">
        <v>290</v>
      </c>
      <c r="F328" s="26" t="s">
        <v>291</v>
      </c>
      <c r="G328" s="26"/>
      <c r="H328" s="21" t="s">
        <v>267</v>
      </c>
      <c r="I328" s="22">
        <f>0.052*L325</f>
        <v>73.866155999999989</v>
      </c>
      <c r="J328" s="18" t="s">
        <v>30</v>
      </c>
      <c r="K328" s="19">
        <v>0.05</v>
      </c>
      <c r="L328" s="22">
        <f t="shared" si="31"/>
        <v>77.559463799999989</v>
      </c>
    </row>
    <row r="329" spans="1:12" ht="16.5">
      <c r="A329" s="32">
        <v>319</v>
      </c>
      <c r="B329" s="16" t="s">
        <v>195</v>
      </c>
      <c r="C329" s="16" t="s">
        <v>195</v>
      </c>
      <c r="D329" s="16" t="s">
        <v>262</v>
      </c>
      <c r="E329" s="26" t="s">
        <v>290</v>
      </c>
      <c r="F329" s="26" t="s">
        <v>291</v>
      </c>
      <c r="G329" s="26"/>
      <c r="H329" s="21" t="s">
        <v>194</v>
      </c>
      <c r="I329" s="18">
        <f>I326*48</f>
        <v>2112</v>
      </c>
      <c r="J329" s="18" t="s">
        <v>66</v>
      </c>
      <c r="K329" s="19">
        <v>0</v>
      </c>
      <c r="L329" s="22">
        <f t="shared" si="31"/>
        <v>2112</v>
      </c>
    </row>
    <row r="330" spans="1:12">
      <c r="A330" s="32">
        <v>320</v>
      </c>
      <c r="B330" s="16" t="s">
        <v>195</v>
      </c>
      <c r="C330" s="16" t="s">
        <v>195</v>
      </c>
      <c r="D330" s="16" t="s">
        <v>262</v>
      </c>
      <c r="E330" s="26" t="s">
        <v>295</v>
      </c>
      <c r="F330" s="26" t="s">
        <v>296</v>
      </c>
      <c r="G330" s="26"/>
      <c r="H330" s="17" t="s">
        <v>297</v>
      </c>
      <c r="I330" s="22">
        <v>636.35</v>
      </c>
      <c r="J330" s="18" t="s">
        <v>22</v>
      </c>
      <c r="K330" s="19">
        <v>0.05</v>
      </c>
      <c r="L330" s="22">
        <f t="shared" ref="L330:L333" si="32">(K330*I330)+I330</f>
        <v>668.16750000000002</v>
      </c>
    </row>
    <row r="331" spans="1:12">
      <c r="A331" s="32">
        <v>321</v>
      </c>
      <c r="B331" s="16" t="s">
        <v>195</v>
      </c>
      <c r="C331" s="16" t="s">
        <v>195</v>
      </c>
      <c r="D331" s="16" t="s">
        <v>262</v>
      </c>
      <c r="E331" s="26" t="s">
        <v>295</v>
      </c>
      <c r="F331" s="26" t="s">
        <v>296</v>
      </c>
      <c r="G331" s="26"/>
      <c r="H331" s="17" t="s">
        <v>298</v>
      </c>
      <c r="I331" s="22">
        <v>756.35</v>
      </c>
      <c r="J331" s="18" t="s">
        <v>22</v>
      </c>
      <c r="K331" s="19">
        <v>0.05</v>
      </c>
      <c r="L331" s="22">
        <f t="shared" si="32"/>
        <v>794.16750000000002</v>
      </c>
    </row>
    <row r="332" spans="1:12">
      <c r="A332" s="32">
        <v>322</v>
      </c>
      <c r="B332" s="16" t="s">
        <v>195</v>
      </c>
      <c r="C332" s="16" t="s">
        <v>195</v>
      </c>
      <c r="D332" s="16" t="s">
        <v>262</v>
      </c>
      <c r="E332" s="26" t="s">
        <v>295</v>
      </c>
      <c r="F332" s="26" t="s">
        <v>296</v>
      </c>
      <c r="G332" s="26"/>
      <c r="H332" s="17" t="s">
        <v>299</v>
      </c>
      <c r="I332" s="22">
        <v>2001.38</v>
      </c>
      <c r="J332" s="18" t="s">
        <v>22</v>
      </c>
      <c r="K332" s="19">
        <v>0.05</v>
      </c>
      <c r="L332" s="22">
        <f t="shared" si="32"/>
        <v>2101.4490000000001</v>
      </c>
    </row>
    <row r="333" spans="1:12">
      <c r="A333" s="32">
        <v>323</v>
      </c>
      <c r="B333" s="16" t="s">
        <v>195</v>
      </c>
      <c r="C333" s="16" t="s">
        <v>195</v>
      </c>
      <c r="D333" s="16" t="s">
        <v>262</v>
      </c>
      <c r="E333" s="26" t="s">
        <v>295</v>
      </c>
      <c r="F333" s="26" t="s">
        <v>296</v>
      </c>
      <c r="G333" s="26"/>
      <c r="H333" s="17" t="s">
        <v>300</v>
      </c>
      <c r="I333" s="22">
        <v>2225.5500000000002</v>
      </c>
      <c r="J333" s="18" t="s">
        <v>22</v>
      </c>
      <c r="K333" s="19">
        <v>0.05</v>
      </c>
      <c r="L333" s="22">
        <f t="shared" si="32"/>
        <v>2336.8275000000003</v>
      </c>
    </row>
    <row r="334" spans="1:12">
      <c r="A334" s="32">
        <v>324</v>
      </c>
      <c r="B334" s="16" t="s">
        <v>195</v>
      </c>
      <c r="C334" s="16" t="s">
        <v>195</v>
      </c>
      <c r="D334" s="16" t="s">
        <v>262</v>
      </c>
      <c r="E334" s="26" t="s">
        <v>295</v>
      </c>
      <c r="F334" s="26" t="s">
        <v>301</v>
      </c>
      <c r="G334" s="26"/>
      <c r="H334" s="17" t="s">
        <v>302</v>
      </c>
      <c r="I334" s="22">
        <v>7.87</v>
      </c>
      <c r="J334" s="18" t="s">
        <v>199</v>
      </c>
      <c r="K334" s="19">
        <v>0.05</v>
      </c>
      <c r="L334" s="22">
        <f t="shared" ref="L334:L338" si="33">(K334*I334)+I334</f>
        <v>8.2635000000000005</v>
      </c>
    </row>
    <row r="335" spans="1:12">
      <c r="A335" s="32">
        <v>325</v>
      </c>
      <c r="B335" s="16" t="s">
        <v>195</v>
      </c>
      <c r="C335" s="16" t="s">
        <v>195</v>
      </c>
      <c r="D335" s="16" t="s">
        <v>262</v>
      </c>
      <c r="E335" s="26" t="s">
        <v>295</v>
      </c>
      <c r="F335" s="26" t="s">
        <v>301</v>
      </c>
      <c r="G335" s="26"/>
      <c r="H335" s="17" t="s">
        <v>303</v>
      </c>
      <c r="I335" s="22">
        <v>7.95</v>
      </c>
      <c r="J335" s="18" t="s">
        <v>199</v>
      </c>
      <c r="K335" s="19">
        <v>0.05</v>
      </c>
      <c r="L335" s="22">
        <f t="shared" si="33"/>
        <v>8.3475000000000001</v>
      </c>
    </row>
    <row r="336" spans="1:12">
      <c r="A336" s="32">
        <v>26</v>
      </c>
      <c r="B336" s="16" t="s">
        <v>195</v>
      </c>
      <c r="C336" s="16" t="s">
        <v>195</v>
      </c>
      <c r="D336" s="16" t="s">
        <v>262</v>
      </c>
      <c r="E336" s="26" t="s">
        <v>295</v>
      </c>
      <c r="F336" s="26" t="s">
        <v>301</v>
      </c>
      <c r="G336" s="26"/>
      <c r="H336" s="17" t="s">
        <v>304</v>
      </c>
      <c r="I336" s="22">
        <v>10.85</v>
      </c>
      <c r="J336" s="18" t="s">
        <v>199</v>
      </c>
      <c r="K336" s="19">
        <v>0.05</v>
      </c>
      <c r="L336" s="22">
        <f t="shared" si="33"/>
        <v>11.3925</v>
      </c>
    </row>
    <row r="337" spans="1:12">
      <c r="A337" s="32">
        <v>327</v>
      </c>
      <c r="B337" s="16" t="s">
        <v>195</v>
      </c>
      <c r="C337" s="16" t="s">
        <v>195</v>
      </c>
      <c r="D337" s="16" t="s">
        <v>262</v>
      </c>
      <c r="E337" s="26" t="s">
        <v>295</v>
      </c>
      <c r="F337" s="26" t="s">
        <v>301</v>
      </c>
      <c r="G337" s="26"/>
      <c r="H337" s="17" t="s">
        <v>305</v>
      </c>
      <c r="I337" s="22">
        <v>8.65</v>
      </c>
      <c r="J337" s="18" t="s">
        <v>199</v>
      </c>
      <c r="K337" s="19">
        <v>0.05</v>
      </c>
      <c r="L337" s="22">
        <f t="shared" si="33"/>
        <v>9.0824999999999996</v>
      </c>
    </row>
    <row r="338" spans="1:12">
      <c r="A338" s="32">
        <v>328</v>
      </c>
      <c r="B338" s="16" t="s">
        <v>195</v>
      </c>
      <c r="C338" s="16" t="s">
        <v>195</v>
      </c>
      <c r="D338" s="16" t="s">
        <v>262</v>
      </c>
      <c r="E338" s="26" t="s">
        <v>295</v>
      </c>
      <c r="F338" s="26" t="s">
        <v>301</v>
      </c>
      <c r="G338" s="26"/>
      <c r="H338" s="17" t="s">
        <v>306</v>
      </c>
      <c r="I338" s="22">
        <v>3.01</v>
      </c>
      <c r="J338" s="18" t="s">
        <v>199</v>
      </c>
      <c r="K338" s="19">
        <v>0.05</v>
      </c>
      <c r="L338" s="22">
        <f t="shared" si="33"/>
        <v>3.1604999999999999</v>
      </c>
    </row>
    <row r="339" spans="1:12">
      <c r="A339" s="32">
        <v>329</v>
      </c>
      <c r="B339" s="16" t="s">
        <v>195</v>
      </c>
      <c r="C339" s="16" t="s">
        <v>195</v>
      </c>
      <c r="D339" s="16" t="s">
        <v>262</v>
      </c>
      <c r="E339" s="26" t="s">
        <v>295</v>
      </c>
      <c r="F339" s="26" t="s">
        <v>307</v>
      </c>
      <c r="G339" s="26"/>
      <c r="H339" s="17" t="s">
        <v>308</v>
      </c>
      <c r="I339" s="22">
        <v>344.27</v>
      </c>
      <c r="J339" s="18" t="s">
        <v>199</v>
      </c>
      <c r="K339" s="19">
        <v>0.05</v>
      </c>
      <c r="L339" s="22">
        <f t="shared" ref="L339:L341" si="34">(K339*I339)+I339</f>
        <v>361.48349999999999</v>
      </c>
    </row>
    <row r="340" spans="1:12">
      <c r="A340" s="32">
        <v>330</v>
      </c>
      <c r="B340" s="16" t="s">
        <v>195</v>
      </c>
      <c r="C340" s="16" t="s">
        <v>195</v>
      </c>
      <c r="D340" s="16" t="s">
        <v>262</v>
      </c>
      <c r="E340" s="26" t="s">
        <v>295</v>
      </c>
      <c r="F340" s="26" t="s">
        <v>307</v>
      </c>
      <c r="G340" s="26"/>
      <c r="H340" s="17" t="s">
        <v>309</v>
      </c>
      <c r="I340" s="22">
        <v>256.14</v>
      </c>
      <c r="J340" s="18" t="s">
        <v>199</v>
      </c>
      <c r="K340" s="19">
        <v>0.05</v>
      </c>
      <c r="L340" s="22">
        <f t="shared" si="34"/>
        <v>268.947</v>
      </c>
    </row>
    <row r="341" spans="1:12">
      <c r="A341" s="32">
        <v>331</v>
      </c>
      <c r="B341" s="16" t="s">
        <v>195</v>
      </c>
      <c r="C341" s="16" t="s">
        <v>195</v>
      </c>
      <c r="D341" s="16" t="s">
        <v>262</v>
      </c>
      <c r="E341" s="26" t="s">
        <v>295</v>
      </c>
      <c r="F341" s="26" t="s">
        <v>307</v>
      </c>
      <c r="G341" s="26"/>
      <c r="H341" s="17" t="s">
        <v>310</v>
      </c>
      <c r="I341" s="22">
        <v>356.37</v>
      </c>
      <c r="J341" s="18" t="s">
        <v>199</v>
      </c>
      <c r="K341" s="19">
        <v>0.05</v>
      </c>
      <c r="L341" s="22">
        <f t="shared" si="34"/>
        <v>374.18849999999998</v>
      </c>
    </row>
    <row r="342" spans="1:12">
      <c r="A342" s="32">
        <v>332</v>
      </c>
      <c r="B342" s="16" t="s">
        <v>195</v>
      </c>
      <c r="C342" s="16" t="s">
        <v>195</v>
      </c>
      <c r="D342" s="16" t="s">
        <v>262</v>
      </c>
      <c r="E342" s="26" t="s">
        <v>295</v>
      </c>
      <c r="F342" s="26" t="s">
        <v>311</v>
      </c>
      <c r="G342" s="26"/>
      <c r="H342" s="17" t="s">
        <v>312</v>
      </c>
      <c r="I342" s="22">
        <f>49.05*7</f>
        <v>343.34999999999997</v>
      </c>
      <c r="J342" s="18" t="s">
        <v>22</v>
      </c>
      <c r="K342" s="19">
        <v>0.05</v>
      </c>
      <c r="L342" s="22">
        <f t="shared" ref="L342" si="35">(K342*I342)+I342</f>
        <v>360.51749999999998</v>
      </c>
    </row>
    <row r="343" spans="1:12" ht="16.5">
      <c r="A343" s="32">
        <v>333</v>
      </c>
      <c r="B343" s="16" t="s">
        <v>195</v>
      </c>
      <c r="C343" s="16" t="s">
        <v>195</v>
      </c>
      <c r="D343" s="16" t="s">
        <v>262</v>
      </c>
      <c r="E343" s="26" t="s">
        <v>295</v>
      </c>
      <c r="F343" s="26" t="s">
        <v>311</v>
      </c>
      <c r="G343" s="26"/>
      <c r="H343" s="25" t="s">
        <v>313</v>
      </c>
      <c r="I343" s="22">
        <f>15161-343</f>
        <v>14818</v>
      </c>
      <c r="J343" s="18" t="s">
        <v>22</v>
      </c>
      <c r="K343" s="19">
        <v>0.05</v>
      </c>
      <c r="L343" s="22">
        <f t="shared" ref="L343:L346" si="36">(K343*I343)+I343</f>
        <v>15558.9</v>
      </c>
    </row>
    <row r="344" spans="1:12" ht="16.5">
      <c r="A344" s="32">
        <v>334</v>
      </c>
      <c r="B344" s="16" t="s">
        <v>195</v>
      </c>
      <c r="C344" s="16" t="s">
        <v>195</v>
      </c>
      <c r="D344" s="16" t="s">
        <v>262</v>
      </c>
      <c r="E344" s="26" t="s">
        <v>295</v>
      </c>
      <c r="F344" s="26" t="s">
        <v>311</v>
      </c>
      <c r="G344" s="26"/>
      <c r="H344" s="25" t="s">
        <v>314</v>
      </c>
      <c r="I344" s="22">
        <v>5756</v>
      </c>
      <c r="J344" s="18" t="s">
        <v>22</v>
      </c>
      <c r="K344" s="19">
        <v>0.05</v>
      </c>
      <c r="L344" s="22">
        <f t="shared" si="36"/>
        <v>6043.8</v>
      </c>
    </row>
    <row r="345" spans="1:12" ht="16.5">
      <c r="A345" s="32">
        <v>335</v>
      </c>
      <c r="B345" s="16" t="s">
        <v>195</v>
      </c>
      <c r="C345" s="16" t="s">
        <v>195</v>
      </c>
      <c r="D345" s="16" t="s">
        <v>262</v>
      </c>
      <c r="E345" s="26" t="s">
        <v>295</v>
      </c>
      <c r="F345" s="26" t="s">
        <v>311</v>
      </c>
      <c r="G345" s="26"/>
      <c r="H345" s="25" t="s">
        <v>315</v>
      </c>
      <c r="I345" s="18">
        <v>2099</v>
      </c>
      <c r="J345" s="18" t="s">
        <v>22</v>
      </c>
      <c r="K345" s="19">
        <v>0.05</v>
      </c>
      <c r="L345" s="22">
        <f t="shared" si="36"/>
        <v>2203.9499999999998</v>
      </c>
    </row>
    <row r="346" spans="1:12" ht="16.5">
      <c r="A346" s="32">
        <v>336</v>
      </c>
      <c r="B346" s="16" t="s">
        <v>195</v>
      </c>
      <c r="C346" s="16" t="s">
        <v>195</v>
      </c>
      <c r="D346" s="16" t="s">
        <v>262</v>
      </c>
      <c r="E346" s="26" t="s">
        <v>295</v>
      </c>
      <c r="F346" s="26" t="s">
        <v>311</v>
      </c>
      <c r="G346" s="26"/>
      <c r="H346" s="25" t="s">
        <v>316</v>
      </c>
      <c r="I346" s="18">
        <v>1851</v>
      </c>
      <c r="J346" s="18" t="s">
        <v>199</v>
      </c>
      <c r="K346" s="19">
        <v>0.05</v>
      </c>
      <c r="L346" s="22">
        <f t="shared" si="36"/>
        <v>1943.55</v>
      </c>
    </row>
    <row r="347" spans="1:12">
      <c r="A347" s="32">
        <v>337</v>
      </c>
      <c r="B347" s="16" t="s">
        <v>195</v>
      </c>
      <c r="C347" s="16" t="s">
        <v>195</v>
      </c>
      <c r="D347" s="26" t="s">
        <v>317</v>
      </c>
      <c r="E347" s="26" t="s">
        <v>318</v>
      </c>
      <c r="F347" s="26" t="s">
        <v>319</v>
      </c>
      <c r="G347" s="26"/>
      <c r="H347" s="17" t="s">
        <v>320</v>
      </c>
      <c r="I347" s="22">
        <v>6</v>
      </c>
      <c r="J347" s="18" t="s">
        <v>66</v>
      </c>
      <c r="K347" s="19">
        <v>0</v>
      </c>
      <c r="L347" s="22">
        <f t="shared" ref="L347:L353" si="37">(K347*I347)+I347</f>
        <v>6</v>
      </c>
    </row>
    <row r="348" spans="1:12">
      <c r="A348" s="32">
        <v>338</v>
      </c>
      <c r="B348" s="16" t="s">
        <v>195</v>
      </c>
      <c r="C348" s="16" t="s">
        <v>195</v>
      </c>
      <c r="D348" s="26" t="s">
        <v>317</v>
      </c>
      <c r="E348" s="26" t="s">
        <v>318</v>
      </c>
      <c r="F348" s="26" t="s">
        <v>319</v>
      </c>
      <c r="G348" s="26"/>
      <c r="H348" s="17" t="s">
        <v>321</v>
      </c>
      <c r="I348" s="22">
        <v>5</v>
      </c>
      <c r="J348" s="18" t="s">
        <v>66</v>
      </c>
      <c r="K348" s="19">
        <v>0</v>
      </c>
      <c r="L348" s="22">
        <f t="shared" si="37"/>
        <v>5</v>
      </c>
    </row>
    <row r="349" spans="1:12">
      <c r="A349" s="32">
        <v>339</v>
      </c>
      <c r="B349" s="16" t="s">
        <v>195</v>
      </c>
      <c r="C349" s="16" t="s">
        <v>195</v>
      </c>
      <c r="D349" s="26" t="s">
        <v>317</v>
      </c>
      <c r="E349" s="26" t="s">
        <v>318</v>
      </c>
      <c r="F349" s="26" t="s">
        <v>319</v>
      </c>
      <c r="G349" s="26"/>
      <c r="H349" s="17" t="s">
        <v>322</v>
      </c>
      <c r="I349" s="22">
        <v>5</v>
      </c>
      <c r="J349" s="18" t="s">
        <v>66</v>
      </c>
      <c r="K349" s="19">
        <v>0</v>
      </c>
      <c r="L349" s="22">
        <f t="shared" si="37"/>
        <v>5</v>
      </c>
    </row>
    <row r="350" spans="1:12">
      <c r="A350" s="32">
        <v>340</v>
      </c>
      <c r="B350" s="16" t="s">
        <v>195</v>
      </c>
      <c r="C350" s="16" t="s">
        <v>195</v>
      </c>
      <c r="D350" s="26" t="s">
        <v>317</v>
      </c>
      <c r="E350" s="26" t="s">
        <v>318</v>
      </c>
      <c r="F350" s="26" t="s">
        <v>319</v>
      </c>
      <c r="G350" s="26"/>
      <c r="H350" s="17" t="s">
        <v>323</v>
      </c>
      <c r="I350" s="22">
        <v>5</v>
      </c>
      <c r="J350" s="18" t="s">
        <v>66</v>
      </c>
      <c r="K350" s="19">
        <v>0</v>
      </c>
      <c r="L350" s="22">
        <f t="shared" si="37"/>
        <v>5</v>
      </c>
    </row>
    <row r="351" spans="1:12">
      <c r="A351" s="32">
        <v>341</v>
      </c>
      <c r="B351" s="16" t="s">
        <v>195</v>
      </c>
      <c r="C351" s="16" t="s">
        <v>195</v>
      </c>
      <c r="D351" s="26" t="s">
        <v>317</v>
      </c>
      <c r="E351" s="26" t="s">
        <v>318</v>
      </c>
      <c r="F351" s="26" t="s">
        <v>319</v>
      </c>
      <c r="G351" s="26"/>
      <c r="H351" s="17" t="s">
        <v>324</v>
      </c>
      <c r="I351" s="22">
        <v>1</v>
      </c>
      <c r="J351" s="18" t="s">
        <v>66</v>
      </c>
      <c r="K351" s="19">
        <v>0</v>
      </c>
      <c r="L351" s="22">
        <f t="shared" si="37"/>
        <v>1</v>
      </c>
    </row>
    <row r="352" spans="1:12">
      <c r="A352" s="32">
        <v>342</v>
      </c>
      <c r="B352" s="16" t="s">
        <v>195</v>
      </c>
      <c r="C352" s="16" t="s">
        <v>195</v>
      </c>
      <c r="D352" s="26" t="s">
        <v>317</v>
      </c>
      <c r="E352" s="26" t="s">
        <v>318</v>
      </c>
      <c r="F352" s="26" t="s">
        <v>319</v>
      </c>
      <c r="G352" s="26"/>
      <c r="H352" s="17" t="s">
        <v>325</v>
      </c>
      <c r="I352" s="22">
        <v>1</v>
      </c>
      <c r="J352" s="18" t="s">
        <v>66</v>
      </c>
      <c r="K352" s="19">
        <v>0</v>
      </c>
      <c r="L352" s="22">
        <f t="shared" si="37"/>
        <v>1</v>
      </c>
    </row>
    <row r="353" spans="1:12">
      <c r="A353" s="32">
        <v>343</v>
      </c>
      <c r="B353" s="16" t="s">
        <v>195</v>
      </c>
      <c r="C353" s="16" t="s">
        <v>195</v>
      </c>
      <c r="D353" s="26" t="s">
        <v>317</v>
      </c>
      <c r="E353" s="26" t="s">
        <v>318</v>
      </c>
      <c r="F353" s="26" t="s">
        <v>319</v>
      </c>
      <c r="G353" s="26"/>
      <c r="H353" s="17" t="s">
        <v>326</v>
      </c>
      <c r="I353" s="22">
        <v>1</v>
      </c>
      <c r="J353" s="18" t="s">
        <v>66</v>
      </c>
      <c r="K353" s="19">
        <v>0</v>
      </c>
      <c r="L353" s="22">
        <f t="shared" si="37"/>
        <v>1</v>
      </c>
    </row>
    <row r="354" spans="1:12">
      <c r="A354" s="32">
        <v>344</v>
      </c>
      <c r="B354" s="16" t="s">
        <v>195</v>
      </c>
      <c r="C354" s="16" t="s">
        <v>195</v>
      </c>
      <c r="D354" s="26" t="s">
        <v>317</v>
      </c>
      <c r="E354" s="26" t="s">
        <v>318</v>
      </c>
      <c r="F354" s="26" t="s">
        <v>319</v>
      </c>
      <c r="G354" s="26"/>
      <c r="H354" s="17" t="s">
        <v>327</v>
      </c>
      <c r="I354" s="22">
        <v>1</v>
      </c>
      <c r="J354" s="18" t="s">
        <v>66</v>
      </c>
      <c r="K354" s="19">
        <v>0</v>
      </c>
      <c r="L354" s="22">
        <f>(K354*I354)+I354</f>
        <v>1</v>
      </c>
    </row>
    <row r="355" spans="1:12">
      <c r="A355" s="32">
        <v>345</v>
      </c>
      <c r="B355" s="16" t="s">
        <v>195</v>
      </c>
      <c r="C355" s="16" t="s">
        <v>195</v>
      </c>
      <c r="D355" s="26" t="s">
        <v>317</v>
      </c>
      <c r="E355" s="26" t="s">
        <v>318</v>
      </c>
      <c r="F355" s="26" t="s">
        <v>319</v>
      </c>
      <c r="G355" s="26"/>
      <c r="H355" s="17" t="s">
        <v>328</v>
      </c>
      <c r="I355" s="22">
        <v>2</v>
      </c>
      <c r="J355" s="18" t="s">
        <v>66</v>
      </c>
      <c r="K355" s="19">
        <v>0</v>
      </c>
      <c r="L355" s="22">
        <f t="shared" ref="L355" si="38">(K355*I355)+I355</f>
        <v>2</v>
      </c>
    </row>
    <row r="356" spans="1:12">
      <c r="A356" s="32">
        <v>346</v>
      </c>
      <c r="B356" s="16" t="s">
        <v>195</v>
      </c>
      <c r="C356" s="16" t="s">
        <v>195</v>
      </c>
      <c r="D356" s="26" t="s">
        <v>317</v>
      </c>
      <c r="E356" s="26" t="s">
        <v>329</v>
      </c>
      <c r="F356" s="26"/>
      <c r="G356" s="26"/>
      <c r="H356" s="17" t="s">
        <v>330</v>
      </c>
      <c r="I356" s="22">
        <v>1</v>
      </c>
      <c r="J356" s="18" t="s">
        <v>66</v>
      </c>
      <c r="K356" s="19">
        <v>0</v>
      </c>
      <c r="L356" s="22">
        <f t="shared" ref="L356:L357" si="39">(K356*I356)+I356</f>
        <v>1</v>
      </c>
    </row>
    <row r="357" spans="1:12">
      <c r="A357" s="32">
        <v>347</v>
      </c>
      <c r="B357" s="16" t="s">
        <v>195</v>
      </c>
      <c r="C357" s="16" t="s">
        <v>195</v>
      </c>
      <c r="D357" s="26" t="s">
        <v>317</v>
      </c>
      <c r="E357" s="26" t="s">
        <v>329</v>
      </c>
      <c r="F357" s="26"/>
      <c r="G357" s="26"/>
      <c r="H357" s="17" t="s">
        <v>331</v>
      </c>
      <c r="I357" s="22">
        <f>15.36*6.5</f>
        <v>99.84</v>
      </c>
      <c r="J357" s="18" t="s">
        <v>22</v>
      </c>
      <c r="K357" s="19">
        <v>0.05</v>
      </c>
      <c r="L357" s="22">
        <f t="shared" si="39"/>
        <v>104.83200000000001</v>
      </c>
    </row>
    <row r="358" spans="1:12">
      <c r="A358" s="32">
        <v>348</v>
      </c>
      <c r="B358" s="16" t="s">
        <v>195</v>
      </c>
      <c r="C358" s="16" t="s">
        <v>195</v>
      </c>
      <c r="D358" s="26" t="s">
        <v>332</v>
      </c>
      <c r="E358" s="26"/>
      <c r="F358" s="26"/>
      <c r="G358" s="26"/>
      <c r="H358" s="17" t="s">
        <v>333</v>
      </c>
      <c r="I358" s="22">
        <v>1</v>
      </c>
      <c r="J358" s="18" t="s">
        <v>66</v>
      </c>
      <c r="K358" s="19">
        <v>0</v>
      </c>
      <c r="L358" s="22">
        <f t="shared" ref="L358:L363" si="40">(K358*I358)+I358</f>
        <v>1</v>
      </c>
    </row>
    <row r="359" spans="1:12">
      <c r="A359" s="32">
        <v>349</v>
      </c>
      <c r="B359" s="16" t="s">
        <v>195</v>
      </c>
      <c r="C359" s="16" t="s">
        <v>195</v>
      </c>
      <c r="D359" s="26" t="s">
        <v>332</v>
      </c>
      <c r="E359" s="26"/>
      <c r="F359" s="26"/>
      <c r="G359" s="26"/>
      <c r="H359" s="17" t="s">
        <v>334</v>
      </c>
      <c r="I359" s="22">
        <v>1</v>
      </c>
      <c r="J359" s="18" t="s">
        <v>66</v>
      </c>
      <c r="K359" s="19">
        <v>0</v>
      </c>
      <c r="L359" s="22">
        <f t="shared" si="40"/>
        <v>1</v>
      </c>
    </row>
    <row r="360" spans="1:12">
      <c r="A360" s="32">
        <v>350</v>
      </c>
      <c r="B360" s="16" t="s">
        <v>195</v>
      </c>
      <c r="C360" s="16" t="s">
        <v>195</v>
      </c>
      <c r="D360" s="26" t="s">
        <v>332</v>
      </c>
      <c r="E360" s="26"/>
      <c r="F360" s="26"/>
      <c r="G360" s="26"/>
      <c r="H360" s="17" t="s">
        <v>335</v>
      </c>
      <c r="I360" s="22">
        <v>1</v>
      </c>
      <c r="J360" s="18" t="s">
        <v>66</v>
      </c>
      <c r="K360" s="19">
        <v>0</v>
      </c>
      <c r="L360" s="22">
        <f t="shared" si="40"/>
        <v>1</v>
      </c>
    </row>
    <row r="361" spans="1:12">
      <c r="A361" s="32">
        <v>351</v>
      </c>
      <c r="B361" s="16" t="s">
        <v>195</v>
      </c>
      <c r="C361" s="16" t="s">
        <v>195</v>
      </c>
      <c r="D361" s="26" t="s">
        <v>332</v>
      </c>
      <c r="E361" s="26"/>
      <c r="F361" s="26"/>
      <c r="G361" s="26"/>
      <c r="H361" s="17" t="s">
        <v>336</v>
      </c>
      <c r="I361" s="22">
        <v>1</v>
      </c>
      <c r="J361" s="18" t="s">
        <v>66</v>
      </c>
      <c r="K361" s="19">
        <v>0</v>
      </c>
      <c r="L361" s="22">
        <f t="shared" si="40"/>
        <v>1</v>
      </c>
    </row>
    <row r="362" spans="1:12">
      <c r="A362" s="32">
        <v>352</v>
      </c>
      <c r="B362" s="16" t="s">
        <v>195</v>
      </c>
      <c r="C362" s="16" t="s">
        <v>195</v>
      </c>
      <c r="D362" s="26" t="s">
        <v>332</v>
      </c>
      <c r="E362" s="26"/>
      <c r="F362" s="26"/>
      <c r="G362" s="26"/>
      <c r="H362" s="17" t="s">
        <v>337</v>
      </c>
      <c r="I362" s="22">
        <v>1</v>
      </c>
      <c r="J362" s="18" t="s">
        <v>66</v>
      </c>
      <c r="K362" s="19">
        <v>0</v>
      </c>
      <c r="L362" s="22">
        <f t="shared" si="40"/>
        <v>1</v>
      </c>
    </row>
    <row r="363" spans="1:12">
      <c r="A363" s="32">
        <v>353</v>
      </c>
      <c r="B363" s="16" t="s">
        <v>195</v>
      </c>
      <c r="C363" s="16" t="s">
        <v>195</v>
      </c>
      <c r="D363" s="26" t="s">
        <v>332</v>
      </c>
      <c r="E363" s="26"/>
      <c r="F363" s="26"/>
      <c r="G363" s="26"/>
      <c r="H363" s="17" t="s">
        <v>338</v>
      </c>
      <c r="I363" s="22">
        <v>1</v>
      </c>
      <c r="J363" s="18" t="s">
        <v>66</v>
      </c>
      <c r="K363" s="19">
        <v>0</v>
      </c>
      <c r="L363" s="22">
        <f t="shared" si="40"/>
        <v>1</v>
      </c>
    </row>
    <row r="364" spans="1:12">
      <c r="A364" s="32">
        <v>354</v>
      </c>
      <c r="B364" s="16" t="s">
        <v>195</v>
      </c>
      <c r="C364" s="16" t="s">
        <v>195</v>
      </c>
      <c r="D364" s="26" t="s">
        <v>339</v>
      </c>
      <c r="E364" s="26"/>
      <c r="F364" s="26"/>
      <c r="G364" s="26"/>
      <c r="H364" s="17" t="s">
        <v>340</v>
      </c>
      <c r="I364" s="22">
        <v>1</v>
      </c>
      <c r="J364" s="18" t="s">
        <v>66</v>
      </c>
      <c r="K364" s="19">
        <v>0</v>
      </c>
      <c r="L364" s="22">
        <f t="shared" ref="L364:L370" si="41">(K364*I364)+I364</f>
        <v>1</v>
      </c>
    </row>
    <row r="365" spans="1:12">
      <c r="A365" s="32">
        <v>355</v>
      </c>
      <c r="B365" s="16" t="s">
        <v>195</v>
      </c>
      <c r="C365" s="16" t="s">
        <v>195</v>
      </c>
      <c r="D365" s="26" t="s">
        <v>339</v>
      </c>
      <c r="E365" s="26"/>
      <c r="F365" s="26"/>
      <c r="G365" s="26"/>
      <c r="H365" s="17" t="s">
        <v>341</v>
      </c>
      <c r="I365" s="22">
        <v>1</v>
      </c>
      <c r="J365" s="18" t="s">
        <v>66</v>
      </c>
      <c r="K365" s="19">
        <v>0</v>
      </c>
      <c r="L365" s="22">
        <f t="shared" si="41"/>
        <v>1</v>
      </c>
    </row>
    <row r="366" spans="1:12">
      <c r="A366" s="32">
        <v>356</v>
      </c>
      <c r="B366" s="16" t="s">
        <v>195</v>
      </c>
      <c r="C366" s="16" t="s">
        <v>195</v>
      </c>
      <c r="D366" s="26" t="s">
        <v>339</v>
      </c>
      <c r="E366" s="26"/>
      <c r="F366" s="26"/>
      <c r="G366" s="26"/>
      <c r="H366" s="17" t="s">
        <v>342</v>
      </c>
      <c r="I366" s="22">
        <v>53.19</v>
      </c>
      <c r="J366" s="18" t="s">
        <v>22</v>
      </c>
      <c r="K366" s="19">
        <v>0.05</v>
      </c>
      <c r="L366" s="22">
        <f t="shared" si="41"/>
        <v>55.849499999999999</v>
      </c>
    </row>
    <row r="367" spans="1:12">
      <c r="A367" s="32">
        <v>357</v>
      </c>
      <c r="B367" s="16" t="s">
        <v>195</v>
      </c>
      <c r="C367" s="16" t="s">
        <v>195</v>
      </c>
      <c r="D367" s="26" t="s">
        <v>339</v>
      </c>
      <c r="E367" s="26"/>
      <c r="F367" s="26"/>
      <c r="G367" s="26"/>
      <c r="H367" s="17" t="s">
        <v>343</v>
      </c>
      <c r="I367" s="22">
        <v>60.67</v>
      </c>
      <c r="J367" s="18" t="s">
        <v>199</v>
      </c>
      <c r="K367" s="19">
        <v>0.05</v>
      </c>
      <c r="L367" s="22">
        <f t="shared" si="41"/>
        <v>63.703500000000005</v>
      </c>
    </row>
    <row r="368" spans="1:12">
      <c r="A368" s="32">
        <v>358</v>
      </c>
      <c r="B368" s="16" t="s">
        <v>195</v>
      </c>
      <c r="C368" s="16" t="s">
        <v>195</v>
      </c>
      <c r="D368" s="26" t="s">
        <v>339</v>
      </c>
      <c r="E368" s="26"/>
      <c r="F368" s="26"/>
      <c r="G368" s="26"/>
      <c r="H368" s="17" t="s">
        <v>344</v>
      </c>
      <c r="I368" s="22">
        <v>35.44</v>
      </c>
      <c r="J368" s="18" t="s">
        <v>22</v>
      </c>
      <c r="K368" s="19">
        <v>0.05</v>
      </c>
      <c r="L368" s="22">
        <f t="shared" si="41"/>
        <v>37.211999999999996</v>
      </c>
    </row>
    <row r="369" spans="1:12">
      <c r="A369" s="32">
        <v>359</v>
      </c>
      <c r="B369" s="16" t="s">
        <v>195</v>
      </c>
      <c r="C369" s="16" t="s">
        <v>195</v>
      </c>
      <c r="D369" s="26" t="s">
        <v>339</v>
      </c>
      <c r="E369" s="26"/>
      <c r="F369" s="26"/>
      <c r="G369" s="26"/>
      <c r="H369" s="17" t="s">
        <v>345</v>
      </c>
      <c r="I369" s="22">
        <v>29.83</v>
      </c>
      <c r="J369" s="18" t="s">
        <v>22</v>
      </c>
      <c r="K369" s="19">
        <v>0.05</v>
      </c>
      <c r="L369" s="22">
        <f t="shared" si="41"/>
        <v>31.321499999999997</v>
      </c>
    </row>
    <row r="370" spans="1:12">
      <c r="A370" s="32">
        <v>360</v>
      </c>
      <c r="B370" s="16" t="s">
        <v>195</v>
      </c>
      <c r="C370" s="16" t="s">
        <v>195</v>
      </c>
      <c r="D370" s="26" t="s">
        <v>339</v>
      </c>
      <c r="E370" s="26"/>
      <c r="F370" s="26"/>
      <c r="G370" s="26"/>
      <c r="H370" s="17" t="s">
        <v>346</v>
      </c>
      <c r="I370" s="22">
        <v>2</v>
      </c>
      <c r="J370" s="18" t="s">
        <v>66</v>
      </c>
      <c r="K370" s="19">
        <v>0</v>
      </c>
      <c r="L370" s="22">
        <f t="shared" si="41"/>
        <v>2</v>
      </c>
    </row>
    <row r="371" spans="1:12">
      <c r="A371" s="32">
        <v>361</v>
      </c>
      <c r="B371" s="26" t="s">
        <v>347</v>
      </c>
      <c r="C371" s="26" t="s">
        <v>348</v>
      </c>
      <c r="D371" s="26" t="s">
        <v>349</v>
      </c>
      <c r="E371" s="26" t="s">
        <v>350</v>
      </c>
      <c r="F371" s="26"/>
      <c r="G371" s="26"/>
      <c r="H371" s="17" t="s">
        <v>351</v>
      </c>
      <c r="I371" s="22">
        <v>5</v>
      </c>
      <c r="J371" s="18" t="s">
        <v>66</v>
      </c>
      <c r="K371" s="19">
        <v>0</v>
      </c>
      <c r="L371" s="22">
        <f t="shared" ref="L371:L376" si="42">(K371*I371)+I371</f>
        <v>5</v>
      </c>
    </row>
    <row r="372" spans="1:12">
      <c r="A372" s="32">
        <v>362</v>
      </c>
      <c r="B372" s="26" t="s">
        <v>347</v>
      </c>
      <c r="C372" s="26" t="s">
        <v>348</v>
      </c>
      <c r="D372" s="26" t="s">
        <v>349</v>
      </c>
      <c r="E372" s="26" t="s">
        <v>350</v>
      </c>
      <c r="F372" s="26"/>
      <c r="G372" s="26"/>
      <c r="H372" s="17" t="s">
        <v>352</v>
      </c>
      <c r="I372" s="22">
        <v>7</v>
      </c>
      <c r="J372" s="18" t="s">
        <v>66</v>
      </c>
      <c r="K372" s="19">
        <v>0</v>
      </c>
      <c r="L372" s="22">
        <f t="shared" si="42"/>
        <v>7</v>
      </c>
    </row>
    <row r="373" spans="1:12">
      <c r="A373" s="32">
        <v>363</v>
      </c>
      <c r="B373" s="26" t="s">
        <v>347</v>
      </c>
      <c r="C373" s="26" t="s">
        <v>348</v>
      </c>
      <c r="D373" s="26" t="s">
        <v>349</v>
      </c>
      <c r="E373" s="26" t="s">
        <v>350</v>
      </c>
      <c r="F373" s="26"/>
      <c r="G373" s="26"/>
      <c r="H373" s="17" t="s">
        <v>353</v>
      </c>
      <c r="I373" s="22">
        <v>1</v>
      </c>
      <c r="J373" s="18" t="s">
        <v>66</v>
      </c>
      <c r="K373" s="19">
        <v>0</v>
      </c>
      <c r="L373" s="22">
        <f t="shared" si="42"/>
        <v>1</v>
      </c>
    </row>
    <row r="374" spans="1:12">
      <c r="A374" s="32">
        <v>364</v>
      </c>
      <c r="B374" s="26" t="s">
        <v>347</v>
      </c>
      <c r="C374" s="26" t="s">
        <v>348</v>
      </c>
      <c r="D374" s="26" t="s">
        <v>349</v>
      </c>
      <c r="E374" s="26" t="s">
        <v>350</v>
      </c>
      <c r="F374" s="26"/>
      <c r="G374" s="26"/>
      <c r="H374" s="17" t="s">
        <v>354</v>
      </c>
      <c r="I374" s="22">
        <v>1</v>
      </c>
      <c r="J374" s="18" t="s">
        <v>66</v>
      </c>
      <c r="K374" s="19">
        <v>0</v>
      </c>
      <c r="L374" s="22">
        <f t="shared" si="42"/>
        <v>1</v>
      </c>
    </row>
    <row r="375" spans="1:12">
      <c r="A375" s="32">
        <v>365</v>
      </c>
      <c r="B375" s="26" t="s">
        <v>347</v>
      </c>
      <c r="C375" s="26" t="s">
        <v>348</v>
      </c>
      <c r="D375" s="26" t="s">
        <v>349</v>
      </c>
      <c r="E375" s="26" t="s">
        <v>350</v>
      </c>
      <c r="F375" s="26"/>
      <c r="G375" s="26"/>
      <c r="H375" s="17" t="s">
        <v>355</v>
      </c>
      <c r="I375" s="22">
        <v>1</v>
      </c>
      <c r="J375" s="18" t="s">
        <v>66</v>
      </c>
      <c r="K375" s="19">
        <v>0</v>
      </c>
      <c r="L375" s="22">
        <f t="shared" si="42"/>
        <v>1</v>
      </c>
    </row>
    <row r="376" spans="1:12">
      <c r="A376" s="32">
        <v>366</v>
      </c>
      <c r="B376" s="26" t="s">
        <v>347</v>
      </c>
      <c r="C376" s="26" t="s">
        <v>348</v>
      </c>
      <c r="D376" s="26" t="s">
        <v>349</v>
      </c>
      <c r="E376" s="26" t="s">
        <v>350</v>
      </c>
      <c r="F376" s="26"/>
      <c r="G376" s="26"/>
      <c r="H376" s="17" t="s">
        <v>356</v>
      </c>
      <c r="I376" s="22">
        <v>71.58</v>
      </c>
      <c r="J376" s="18" t="s">
        <v>22</v>
      </c>
      <c r="K376" s="19">
        <v>0.05</v>
      </c>
      <c r="L376" s="22">
        <f t="shared" si="42"/>
        <v>75.158999999999992</v>
      </c>
    </row>
    <row r="377" spans="1:12">
      <c r="A377" s="32">
        <v>367</v>
      </c>
      <c r="B377" s="26" t="s">
        <v>347</v>
      </c>
      <c r="C377" s="26" t="s">
        <v>348</v>
      </c>
      <c r="D377" s="26" t="s">
        <v>349</v>
      </c>
      <c r="E377" s="26" t="s">
        <v>357</v>
      </c>
      <c r="F377" s="26"/>
      <c r="G377" s="26"/>
      <c r="H377" s="17" t="s">
        <v>358</v>
      </c>
      <c r="I377" s="22">
        <v>1</v>
      </c>
      <c r="J377" s="18" t="s">
        <v>14</v>
      </c>
      <c r="K377" s="19">
        <v>0</v>
      </c>
      <c r="L377" s="22">
        <f t="shared" ref="L377" si="43">(K377*I377)+I377</f>
        <v>1</v>
      </c>
    </row>
    <row r="378" spans="1:12">
      <c r="A378" s="32">
        <v>368</v>
      </c>
      <c r="B378" s="26" t="s">
        <v>347</v>
      </c>
      <c r="C378" s="26"/>
      <c r="D378" s="26" t="s">
        <v>359</v>
      </c>
      <c r="E378" s="26"/>
      <c r="F378" s="26"/>
      <c r="G378" s="26"/>
      <c r="H378" s="17" t="s">
        <v>360</v>
      </c>
      <c r="I378" s="22">
        <v>1</v>
      </c>
      <c r="J378" s="18" t="s">
        <v>14</v>
      </c>
      <c r="K378" s="19">
        <v>0</v>
      </c>
      <c r="L378" s="22">
        <f t="shared" ref="L378" si="44">(K378*I378)+I378</f>
        <v>1</v>
      </c>
    </row>
    <row r="379" spans="1:12" ht="16.5">
      <c r="A379" s="32">
        <v>369</v>
      </c>
      <c r="B379" s="26" t="s">
        <v>347</v>
      </c>
      <c r="C379" s="26"/>
      <c r="D379" s="26" t="s">
        <v>361</v>
      </c>
      <c r="E379" s="26" t="s">
        <v>362</v>
      </c>
      <c r="F379" s="26"/>
      <c r="G379" s="26"/>
      <c r="H379" s="25" t="s">
        <v>363</v>
      </c>
      <c r="I379" s="33">
        <v>1</v>
      </c>
      <c r="J379" s="18" t="s">
        <v>14</v>
      </c>
      <c r="K379" s="19">
        <v>0</v>
      </c>
      <c r="L379" s="22">
        <f t="shared" ref="L379" si="45">(K379*I379)+I379</f>
        <v>1</v>
      </c>
    </row>
    <row r="380" spans="1:12">
      <c r="A380" s="32">
        <v>370</v>
      </c>
      <c r="B380" s="26" t="s">
        <v>347</v>
      </c>
      <c r="C380" s="26"/>
      <c r="D380" s="26" t="s">
        <v>361</v>
      </c>
      <c r="E380" s="26" t="s">
        <v>364</v>
      </c>
      <c r="F380" s="26"/>
      <c r="G380" s="26"/>
      <c r="H380" s="17" t="s">
        <v>365</v>
      </c>
      <c r="I380" s="22">
        <v>6</v>
      </c>
      <c r="J380" s="18" t="s">
        <v>66</v>
      </c>
      <c r="K380" s="19">
        <v>0</v>
      </c>
      <c r="L380" s="22">
        <f t="shared" ref="L380:L387" si="46">(K380*I380)+I380</f>
        <v>6</v>
      </c>
    </row>
    <row r="381" spans="1:12">
      <c r="A381" s="32">
        <v>371</v>
      </c>
      <c r="B381" s="26" t="s">
        <v>347</v>
      </c>
      <c r="C381" s="26"/>
      <c r="D381" s="26" t="s">
        <v>361</v>
      </c>
      <c r="E381" s="26" t="s">
        <v>364</v>
      </c>
      <c r="F381" s="26"/>
      <c r="G381" s="26"/>
      <c r="H381" s="17" t="s">
        <v>366</v>
      </c>
      <c r="I381" s="22">
        <v>8</v>
      </c>
      <c r="J381" s="18" t="s">
        <v>66</v>
      </c>
      <c r="K381" s="19">
        <v>0</v>
      </c>
      <c r="L381" s="22">
        <f t="shared" si="46"/>
        <v>8</v>
      </c>
    </row>
    <row r="382" spans="1:12">
      <c r="A382" s="32">
        <v>372</v>
      </c>
      <c r="B382" s="26" t="s">
        <v>347</v>
      </c>
      <c r="C382" s="26"/>
      <c r="D382" s="26" t="s">
        <v>361</v>
      </c>
      <c r="E382" s="26" t="s">
        <v>364</v>
      </c>
      <c r="F382" s="26"/>
      <c r="G382" s="26"/>
      <c r="H382" s="17" t="s">
        <v>367</v>
      </c>
      <c r="I382" s="22">
        <v>9</v>
      </c>
      <c r="J382" s="18" t="s">
        <v>66</v>
      </c>
      <c r="K382" s="19">
        <v>0</v>
      </c>
      <c r="L382" s="22">
        <f t="shared" si="46"/>
        <v>9</v>
      </c>
    </row>
    <row r="383" spans="1:12">
      <c r="A383" s="32">
        <v>373</v>
      </c>
      <c r="B383" s="26" t="s">
        <v>347</v>
      </c>
      <c r="C383" s="26"/>
      <c r="D383" s="26" t="s">
        <v>361</v>
      </c>
      <c r="E383" s="26" t="s">
        <v>364</v>
      </c>
      <c r="F383" s="26"/>
      <c r="G383" s="26"/>
      <c r="H383" s="17" t="s">
        <v>368</v>
      </c>
      <c r="I383" s="22">
        <v>6</v>
      </c>
      <c r="J383" s="18" t="s">
        <v>66</v>
      </c>
      <c r="K383" s="19">
        <v>0</v>
      </c>
      <c r="L383" s="22">
        <f t="shared" si="46"/>
        <v>6</v>
      </c>
    </row>
    <row r="384" spans="1:12">
      <c r="A384" s="32">
        <v>374</v>
      </c>
      <c r="B384" s="26" t="s">
        <v>347</v>
      </c>
      <c r="C384" s="26"/>
      <c r="D384" s="26" t="s">
        <v>361</v>
      </c>
      <c r="E384" s="26" t="s">
        <v>364</v>
      </c>
      <c r="F384" s="26"/>
      <c r="G384" s="26"/>
      <c r="H384" s="17" t="s">
        <v>369</v>
      </c>
      <c r="I384" s="22">
        <v>74</v>
      </c>
      <c r="J384" s="18" t="s">
        <v>66</v>
      </c>
      <c r="K384" s="19">
        <v>0</v>
      </c>
      <c r="L384" s="22">
        <f t="shared" si="46"/>
        <v>74</v>
      </c>
    </row>
    <row r="385" spans="1:12">
      <c r="A385" s="32">
        <v>375</v>
      </c>
      <c r="B385" s="26" t="s">
        <v>347</v>
      </c>
      <c r="C385" s="26"/>
      <c r="D385" s="26" t="s">
        <v>361</v>
      </c>
      <c r="E385" s="26" t="s">
        <v>364</v>
      </c>
      <c r="F385" s="26"/>
      <c r="G385" s="26"/>
      <c r="H385" s="17" t="s">
        <v>370</v>
      </c>
      <c r="I385" s="22">
        <v>3</v>
      </c>
      <c r="J385" s="18" t="s">
        <v>66</v>
      </c>
      <c r="K385" s="19">
        <v>0</v>
      </c>
      <c r="L385" s="22">
        <f t="shared" si="46"/>
        <v>3</v>
      </c>
    </row>
    <row r="386" spans="1:12">
      <c r="A386" s="32">
        <v>376</v>
      </c>
      <c r="B386" s="26" t="s">
        <v>347</v>
      </c>
      <c r="C386" s="26"/>
      <c r="D386" s="26" t="s">
        <v>361</v>
      </c>
      <c r="E386" s="26" t="s">
        <v>364</v>
      </c>
      <c r="F386" s="26"/>
      <c r="G386" s="26"/>
      <c r="H386" s="17" t="s">
        <v>371</v>
      </c>
      <c r="I386" s="22">
        <v>6</v>
      </c>
      <c r="J386" s="18" t="s">
        <v>66</v>
      </c>
      <c r="K386" s="19">
        <v>0</v>
      </c>
      <c r="L386" s="22">
        <f t="shared" si="46"/>
        <v>6</v>
      </c>
    </row>
    <row r="387" spans="1:12">
      <c r="A387" s="32">
        <v>377</v>
      </c>
      <c r="B387" s="26" t="s">
        <v>347</v>
      </c>
      <c r="C387" s="26"/>
      <c r="D387" s="26" t="s">
        <v>361</v>
      </c>
      <c r="E387" s="26" t="s">
        <v>364</v>
      </c>
      <c r="F387" s="26"/>
      <c r="G387" s="26"/>
      <c r="H387" s="17" t="s">
        <v>372</v>
      </c>
      <c r="I387" s="22">
        <v>4</v>
      </c>
      <c r="J387" s="18" t="s">
        <v>66</v>
      </c>
      <c r="K387" s="19">
        <v>0</v>
      </c>
      <c r="L387" s="22">
        <f t="shared" si="46"/>
        <v>4</v>
      </c>
    </row>
    <row r="388" spans="1:12">
      <c r="A388" s="32">
        <v>378</v>
      </c>
      <c r="B388" s="26" t="s">
        <v>347</v>
      </c>
      <c r="C388" s="26"/>
      <c r="D388" s="26" t="s">
        <v>361</v>
      </c>
      <c r="E388" s="26" t="s">
        <v>373</v>
      </c>
      <c r="F388" s="26"/>
      <c r="G388" s="26"/>
      <c r="H388" s="17" t="s">
        <v>374</v>
      </c>
      <c r="I388" s="22">
        <v>69</v>
      </c>
      <c r="J388" s="18" t="s">
        <v>66</v>
      </c>
      <c r="K388" s="19">
        <v>0</v>
      </c>
      <c r="L388" s="22">
        <f t="shared" ref="L388" si="47">(K388*I388)+I388</f>
        <v>69</v>
      </c>
    </row>
    <row r="389" spans="1:12">
      <c r="A389" s="32">
        <v>379</v>
      </c>
      <c r="B389" s="26" t="s">
        <v>347</v>
      </c>
      <c r="C389" s="26"/>
      <c r="D389" s="26" t="s">
        <v>361</v>
      </c>
      <c r="E389" s="26" t="s">
        <v>375</v>
      </c>
      <c r="F389" s="26"/>
      <c r="G389" s="26"/>
      <c r="H389" s="17" t="s">
        <v>376</v>
      </c>
      <c r="I389" s="22">
        <v>33</v>
      </c>
      <c r="J389" s="18" t="s">
        <v>66</v>
      </c>
      <c r="K389" s="19">
        <v>0</v>
      </c>
      <c r="L389" s="22">
        <f t="shared" ref="L389:L392" si="48">(K389*I389)+I389</f>
        <v>33</v>
      </c>
    </row>
    <row r="390" spans="1:12">
      <c r="A390" s="32">
        <v>380</v>
      </c>
      <c r="B390" s="26" t="s">
        <v>347</v>
      </c>
      <c r="C390" s="26"/>
      <c r="D390" s="26" t="s">
        <v>361</v>
      </c>
      <c r="E390" s="26" t="s">
        <v>375</v>
      </c>
      <c r="F390" s="26"/>
      <c r="G390" s="26"/>
      <c r="H390" s="17" t="s">
        <v>377</v>
      </c>
      <c r="I390" s="22">
        <v>57</v>
      </c>
      <c r="J390" s="18" t="s">
        <v>66</v>
      </c>
      <c r="K390" s="19">
        <v>0</v>
      </c>
      <c r="L390" s="22">
        <f t="shared" si="48"/>
        <v>57</v>
      </c>
    </row>
    <row r="391" spans="1:12">
      <c r="A391" s="32">
        <v>381</v>
      </c>
      <c r="B391" s="26" t="s">
        <v>347</v>
      </c>
      <c r="C391" s="26"/>
      <c r="D391" s="26" t="s">
        <v>361</v>
      </c>
      <c r="E391" s="26" t="s">
        <v>375</v>
      </c>
      <c r="F391" s="26"/>
      <c r="G391" s="26"/>
      <c r="H391" s="17" t="s">
        <v>378</v>
      </c>
      <c r="I391" s="22">
        <v>3</v>
      </c>
      <c r="J391" s="18" t="s">
        <v>66</v>
      </c>
      <c r="K391" s="19">
        <v>0</v>
      </c>
      <c r="L391" s="22">
        <f t="shared" si="48"/>
        <v>3</v>
      </c>
    </row>
    <row r="392" spans="1:12">
      <c r="A392" s="32">
        <v>382</v>
      </c>
      <c r="B392" s="26" t="s">
        <v>347</v>
      </c>
      <c r="C392" s="26"/>
      <c r="D392" s="26" t="s">
        <v>361</v>
      </c>
      <c r="E392" s="26" t="s">
        <v>375</v>
      </c>
      <c r="F392" s="26"/>
      <c r="G392" s="26"/>
      <c r="H392" s="17" t="s">
        <v>379</v>
      </c>
      <c r="I392" s="22">
        <v>3</v>
      </c>
      <c r="J392" s="18" t="s">
        <v>66</v>
      </c>
      <c r="K392" s="19">
        <v>0</v>
      </c>
      <c r="L392" s="22">
        <f t="shared" si="48"/>
        <v>3</v>
      </c>
    </row>
    <row r="393" spans="1:12">
      <c r="A393" s="32">
        <v>383</v>
      </c>
      <c r="B393" s="26" t="s">
        <v>347</v>
      </c>
      <c r="C393" s="26"/>
      <c r="D393" s="26" t="s">
        <v>380</v>
      </c>
      <c r="E393" s="26" t="s">
        <v>381</v>
      </c>
      <c r="F393" s="26"/>
      <c r="G393" s="26"/>
      <c r="H393" s="17" t="s">
        <v>382</v>
      </c>
      <c r="I393" s="22">
        <v>6</v>
      </c>
      <c r="J393" s="18" t="s">
        <v>66</v>
      </c>
      <c r="K393" s="19">
        <v>0</v>
      </c>
      <c r="L393" s="22">
        <f t="shared" ref="L393:L394" si="49">(K393*I393)+I393</f>
        <v>6</v>
      </c>
    </row>
    <row r="394" spans="1:12">
      <c r="A394" s="32">
        <v>384</v>
      </c>
      <c r="B394" s="26" t="s">
        <v>347</v>
      </c>
      <c r="C394" s="26"/>
      <c r="D394" s="26" t="s">
        <v>380</v>
      </c>
      <c r="E394" s="26" t="s">
        <v>381</v>
      </c>
      <c r="F394" s="26"/>
      <c r="G394" s="26"/>
      <c r="H394" s="17" t="s">
        <v>383</v>
      </c>
      <c r="I394" s="22">
        <v>3</v>
      </c>
      <c r="J394" s="18" t="s">
        <v>66</v>
      </c>
      <c r="K394" s="19">
        <v>0</v>
      </c>
      <c r="L394" s="22">
        <f t="shared" si="49"/>
        <v>3</v>
      </c>
    </row>
  </sheetData>
  <phoneticPr fontId="60" type="noConversion"/>
  <conditionalFormatting sqref="H34">
    <cfRule type="duplicateValues" dxfId="5" priority="4"/>
  </conditionalFormatting>
  <conditionalFormatting sqref="H29:H33">
    <cfRule type="duplicateValues" dxfId="4" priority="15"/>
  </conditionalFormatting>
  <conditionalFormatting sqref="H7">
    <cfRule type="duplicateValues" dxfId="3" priority="1"/>
  </conditionalFormatting>
  <conditionalFormatting sqref="H21:H24">
    <cfRule type="duplicateValues" dxfId="2" priority="16"/>
  </conditionalFormatting>
  <conditionalFormatting sqref="H25:H27">
    <cfRule type="duplicateValues" dxfId="1" priority="17"/>
  </conditionalFormatting>
  <conditionalFormatting sqref="H35:H36">
    <cfRule type="duplicateValues" dxfId="0" priority="18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C618EA5708C47841D8800D7692DF8" ma:contentTypeVersion="6" ma:contentTypeDescription="Create a new document." ma:contentTypeScope="" ma:versionID="1f3e94836c53c8f2fbc606534f5e0d76">
  <xsd:schema xmlns:xsd="http://www.w3.org/2001/XMLSchema" xmlns:xs="http://www.w3.org/2001/XMLSchema" xmlns:p="http://schemas.microsoft.com/office/2006/metadata/properties" xmlns:ns2="f11379ab-8cac-432c-b7fd-abfe9443226a" xmlns:ns3="8b3f7fac-3d82-4991-b591-a010ab646988" targetNamespace="http://schemas.microsoft.com/office/2006/metadata/properties" ma:root="true" ma:fieldsID="f21ec072c8d994d81060bee93d60c9b6" ns2:_="" ns3:_="">
    <xsd:import namespace="f11379ab-8cac-432c-b7fd-abfe9443226a"/>
    <xsd:import namespace="8b3f7fac-3d82-4991-b591-a010ab646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79ab-8cac-432c-b7fd-abfe94432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f7fac-3d82-4991-b591-a010ab646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76DFD-0D54-4223-91BF-8E6AACA26EA8}"/>
</file>

<file path=customXml/itemProps2.xml><?xml version="1.0" encoding="utf-8"?>
<ds:datastoreItem xmlns:ds="http://schemas.openxmlformats.org/officeDocument/2006/customXml" ds:itemID="{3C823511-0D3A-4156-AB53-0962EE39BD64}"/>
</file>

<file path=customXml/itemProps3.xml><?xml version="1.0" encoding="utf-8"?>
<ds:datastoreItem xmlns:ds="http://schemas.openxmlformats.org/officeDocument/2006/customXml" ds:itemID="{FAD61398-7647-4AE6-A173-1F5EF8758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2013-07-08T09:36:48Z</dcterms:created>
  <dcterms:modified xsi:type="dcterms:W3CDTF">2024-07-18T23:54:55Z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{2C976DFD-0D54-4223-91BF-8E6AACA26EA8}</vt:lpwstr>
  </property>
</Properties>
</file>