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tables/table17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tables/table1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tables/table19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tables/table20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ronaYT\Querdenken841\Sonstiges\Zahlen Daten Fakten\Test-Woche\"/>
    </mc:Choice>
  </mc:AlternateContent>
  <xr:revisionPtr revIDLastSave="0" documentId="13_ncr:1_{33CEF60B-DD4F-4EE5-962F-B43A407E8A03}" xr6:coauthVersionLast="45" xr6:coauthVersionMax="45" xr10:uidLastSave="{00000000-0000-0000-0000-000000000000}"/>
  <bookViews>
    <workbookView xWindow="1170" yWindow="1170" windowWidth="21600" windowHeight="11385" activeTab="1" xr2:uid="{347F619E-C6FF-464A-A8C3-D6AA3B62CFAA}"/>
  </bookViews>
  <sheets>
    <sheet name="Testzahlen" sheetId="8" r:id="rId1"/>
    <sheet name="KW-50" sheetId="30" r:id="rId2"/>
    <sheet name="KW-49" sheetId="29" r:id="rId3"/>
    <sheet name="KW-48" sheetId="26" r:id="rId4"/>
    <sheet name="KW-47" sheetId="25" r:id="rId5"/>
    <sheet name="KW-45" sheetId="23" r:id="rId6"/>
    <sheet name="KW-44" sheetId="22" r:id="rId7"/>
    <sheet name="KW-43" sheetId="21" r:id="rId8"/>
    <sheet name="KW-42" sheetId="19" r:id="rId9"/>
    <sheet name="KW-41" sheetId="18" r:id="rId10"/>
    <sheet name="KW-40" sheetId="17" r:id="rId11"/>
    <sheet name="KW-39" sheetId="16" r:id="rId12"/>
    <sheet name="KW-38" sheetId="15" r:id="rId13"/>
    <sheet name="KW-37" sheetId="14" r:id="rId14"/>
    <sheet name="KW-36" sheetId="13" r:id="rId15"/>
    <sheet name="KW-35" sheetId="12" r:id="rId16"/>
    <sheet name="KW-34" sheetId="10" r:id="rId17"/>
    <sheet name="KW-33" sheetId="3" r:id="rId18"/>
    <sheet name="KW-32" sheetId="5" r:id="rId19"/>
    <sheet name="KW-31" sheetId="6" r:id="rId20"/>
    <sheet name="KW-30" sheetId="7" r:id="rId21"/>
  </sheets>
  <definedNames>
    <definedName name="Zahlen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30" l="1"/>
  <c r="L45" i="30" s="1"/>
  <c r="K47" i="30"/>
  <c r="J47" i="30"/>
  <c r="M44" i="30"/>
  <c r="L44" i="30" s="1"/>
  <c r="M43" i="30"/>
  <c r="L43" i="30" s="1"/>
  <c r="M42" i="30"/>
  <c r="L42" i="30"/>
  <c r="M41" i="30"/>
  <c r="L41" i="30"/>
  <c r="M40" i="30"/>
  <c r="L40" i="30" s="1"/>
  <c r="M39" i="30"/>
  <c r="L39" i="30"/>
  <c r="M38" i="30"/>
  <c r="L38" i="30"/>
  <c r="M37" i="30"/>
  <c r="L37" i="30"/>
  <c r="M36" i="30"/>
  <c r="L36" i="30" s="1"/>
  <c r="M35" i="30"/>
  <c r="L35" i="30"/>
  <c r="M34" i="30"/>
  <c r="L34" i="30"/>
  <c r="M33" i="30"/>
  <c r="L33" i="30" s="1"/>
  <c r="M32" i="30"/>
  <c r="L32" i="30"/>
  <c r="M31" i="30"/>
  <c r="L31" i="30" s="1"/>
  <c r="M30" i="30"/>
  <c r="L30" i="30"/>
  <c r="M29" i="30"/>
  <c r="L29" i="30" s="1"/>
  <c r="M28" i="30"/>
  <c r="L28" i="30"/>
  <c r="M27" i="30"/>
  <c r="L27" i="30" s="1"/>
  <c r="M26" i="30"/>
  <c r="L26" i="30"/>
  <c r="M25" i="30"/>
  <c r="L25" i="30" s="1"/>
  <c r="M24" i="30"/>
  <c r="L24" i="30"/>
  <c r="M23" i="30"/>
  <c r="L23" i="30" s="1"/>
  <c r="M22" i="30"/>
  <c r="L22" i="30"/>
  <c r="M21" i="30"/>
  <c r="L21" i="30" s="1"/>
  <c r="M20" i="30"/>
  <c r="L20" i="30"/>
  <c r="M19" i="30"/>
  <c r="L19" i="30" s="1"/>
  <c r="M18" i="30"/>
  <c r="L18" i="30"/>
  <c r="M17" i="30"/>
  <c r="L17" i="30" s="1"/>
  <c r="M16" i="30"/>
  <c r="L16" i="30"/>
  <c r="M15" i="30"/>
  <c r="L15" i="30" s="1"/>
  <c r="M14" i="30"/>
  <c r="L14" i="30"/>
  <c r="M13" i="30"/>
  <c r="L13" i="30" s="1"/>
  <c r="M12" i="30"/>
  <c r="L12" i="30" s="1"/>
  <c r="C12" i="30"/>
  <c r="B12" i="30"/>
  <c r="M11" i="30"/>
  <c r="L11" i="30"/>
  <c r="M10" i="30"/>
  <c r="L10" i="30" s="1"/>
  <c r="M9" i="30"/>
  <c r="L9" i="30"/>
  <c r="M8" i="30"/>
  <c r="L8" i="30" s="1"/>
  <c r="M7" i="30"/>
  <c r="L7" i="30"/>
  <c r="M6" i="30"/>
  <c r="L6" i="30" s="1"/>
  <c r="M5" i="30"/>
  <c r="L5" i="30"/>
  <c r="M44" i="29" l="1"/>
  <c r="L44" i="29" s="1"/>
  <c r="K45" i="29"/>
  <c r="J45" i="29"/>
  <c r="M43" i="29"/>
  <c r="L43" i="29" s="1"/>
  <c r="M42" i="29"/>
  <c r="L42" i="29" s="1"/>
  <c r="M41" i="29"/>
  <c r="L41" i="29" s="1"/>
  <c r="M40" i="29"/>
  <c r="L40" i="29" s="1"/>
  <c r="M39" i="29"/>
  <c r="L39" i="29"/>
  <c r="M38" i="29"/>
  <c r="L38" i="29" s="1"/>
  <c r="M37" i="29"/>
  <c r="L37" i="29" s="1"/>
  <c r="M36" i="29"/>
  <c r="L36" i="29"/>
  <c r="M35" i="29"/>
  <c r="L35" i="29" s="1"/>
  <c r="M34" i="29"/>
  <c r="L34" i="29" s="1"/>
  <c r="M33" i="29"/>
  <c r="L33" i="29" s="1"/>
  <c r="M32" i="29"/>
  <c r="L32" i="29" s="1"/>
  <c r="M31" i="29"/>
  <c r="L31" i="29"/>
  <c r="M30" i="29"/>
  <c r="L30" i="29" s="1"/>
  <c r="M29" i="29"/>
  <c r="L29" i="29" s="1"/>
  <c r="M28" i="29"/>
  <c r="L28" i="29"/>
  <c r="M27" i="29"/>
  <c r="L27" i="29" s="1"/>
  <c r="M26" i="29"/>
  <c r="L26" i="29" s="1"/>
  <c r="M25" i="29"/>
  <c r="L25" i="29" s="1"/>
  <c r="M24" i="29"/>
  <c r="L24" i="29" s="1"/>
  <c r="M23" i="29"/>
  <c r="L23" i="29"/>
  <c r="M22" i="29"/>
  <c r="L22" i="29" s="1"/>
  <c r="M21" i="29"/>
  <c r="L21" i="29" s="1"/>
  <c r="M20" i="29"/>
  <c r="L20" i="29"/>
  <c r="M19" i="29"/>
  <c r="L19" i="29" s="1"/>
  <c r="M18" i="29"/>
  <c r="L18" i="29" s="1"/>
  <c r="M17" i="29"/>
  <c r="L17" i="29" s="1"/>
  <c r="M16" i="29"/>
  <c r="L16" i="29" s="1"/>
  <c r="M15" i="29"/>
  <c r="L15" i="29"/>
  <c r="M14" i="29"/>
  <c r="L14" i="29" s="1"/>
  <c r="M13" i="29"/>
  <c r="L13" i="29" s="1"/>
  <c r="M12" i="29"/>
  <c r="L12" i="29" s="1"/>
  <c r="C12" i="29"/>
  <c r="B12" i="29"/>
  <c r="M11" i="29"/>
  <c r="L11" i="29" s="1"/>
  <c r="M10" i="29"/>
  <c r="L10" i="29" s="1"/>
  <c r="M9" i="29"/>
  <c r="L9" i="29" s="1"/>
  <c r="M8" i="29"/>
  <c r="L8" i="29" s="1"/>
  <c r="M7" i="29"/>
  <c r="L7" i="29" s="1"/>
  <c r="M6" i="29"/>
  <c r="L6" i="29" s="1"/>
  <c r="M5" i="29"/>
  <c r="L5" i="29" s="1"/>
  <c r="M43" i="26" l="1"/>
  <c r="L43" i="26" s="1"/>
  <c r="K44" i="26" l="1"/>
  <c r="J44" i="26"/>
  <c r="M42" i="26"/>
  <c r="L42" i="26" s="1"/>
  <c r="M41" i="26"/>
  <c r="L41" i="26" s="1"/>
  <c r="M40" i="26"/>
  <c r="L40" i="26"/>
  <c r="M39" i="26"/>
  <c r="L39" i="26" s="1"/>
  <c r="M38" i="26"/>
  <c r="L38" i="26" s="1"/>
  <c r="M37" i="26"/>
  <c r="L37" i="26" s="1"/>
  <c r="M36" i="26"/>
  <c r="L36" i="26" s="1"/>
  <c r="M35" i="26"/>
  <c r="L35" i="26"/>
  <c r="M34" i="26"/>
  <c r="L34" i="26" s="1"/>
  <c r="M33" i="26"/>
  <c r="L33" i="26" s="1"/>
  <c r="M32" i="26"/>
  <c r="L32" i="26" s="1"/>
  <c r="M31" i="26"/>
  <c r="L31" i="26" s="1"/>
  <c r="M30" i="26"/>
  <c r="L30" i="26" s="1"/>
  <c r="M29" i="26"/>
  <c r="L29" i="26" s="1"/>
  <c r="M28" i="26"/>
  <c r="L28" i="26" s="1"/>
  <c r="M27" i="26"/>
  <c r="L27" i="26"/>
  <c r="M26" i="26"/>
  <c r="L26" i="26" s="1"/>
  <c r="M25" i="26"/>
  <c r="L25" i="26" s="1"/>
  <c r="M24" i="26"/>
  <c r="L24" i="26" s="1"/>
  <c r="M23" i="26"/>
  <c r="L23" i="26"/>
  <c r="M22" i="26"/>
  <c r="L22" i="26" s="1"/>
  <c r="M21" i="26"/>
  <c r="L21" i="26" s="1"/>
  <c r="M20" i="26"/>
  <c r="L20" i="26" s="1"/>
  <c r="M19" i="26"/>
  <c r="L19" i="26"/>
  <c r="M18" i="26"/>
  <c r="L18" i="26" s="1"/>
  <c r="M17" i="26"/>
  <c r="L17" i="26" s="1"/>
  <c r="M16" i="26"/>
  <c r="L16" i="26" s="1"/>
  <c r="M15" i="26"/>
  <c r="L15" i="26" s="1"/>
  <c r="M14" i="26"/>
  <c r="L14" i="26" s="1"/>
  <c r="M13" i="26"/>
  <c r="L13" i="26" s="1"/>
  <c r="M12" i="26"/>
  <c r="L12" i="26" s="1"/>
  <c r="C12" i="26"/>
  <c r="B12" i="26"/>
  <c r="M11" i="26"/>
  <c r="L11" i="26" s="1"/>
  <c r="M10" i="26"/>
  <c r="L10" i="26" s="1"/>
  <c r="M9" i="26"/>
  <c r="L9" i="26" s="1"/>
  <c r="M8" i="26"/>
  <c r="L8" i="26" s="1"/>
  <c r="M7" i="26"/>
  <c r="L7" i="26" s="1"/>
  <c r="M6" i="26"/>
  <c r="L6" i="26"/>
  <c r="M5" i="26"/>
  <c r="L5" i="26" s="1"/>
  <c r="M41" i="25" l="1"/>
  <c r="L41" i="25" s="1"/>
  <c r="M42" i="25"/>
  <c r="L42" i="25" s="1"/>
  <c r="K44" i="25"/>
  <c r="J44" i="25"/>
  <c r="M40" i="25"/>
  <c r="L40" i="25" s="1"/>
  <c r="M39" i="25"/>
  <c r="L39" i="25" s="1"/>
  <c r="M38" i="25"/>
  <c r="L38" i="25" s="1"/>
  <c r="M37" i="25"/>
  <c r="L37" i="25" s="1"/>
  <c r="M36" i="25"/>
  <c r="L36" i="25" s="1"/>
  <c r="M35" i="25"/>
  <c r="L35" i="25" s="1"/>
  <c r="M34" i="25"/>
  <c r="L34" i="25" s="1"/>
  <c r="M33" i="25"/>
  <c r="L33" i="25" s="1"/>
  <c r="M32" i="25"/>
  <c r="L32" i="25" s="1"/>
  <c r="M31" i="25"/>
  <c r="L31" i="25" s="1"/>
  <c r="M30" i="25"/>
  <c r="L30" i="25" s="1"/>
  <c r="M29" i="25"/>
  <c r="L29" i="25" s="1"/>
  <c r="M28" i="25"/>
  <c r="L28" i="25" s="1"/>
  <c r="M27" i="25"/>
  <c r="L27" i="25" s="1"/>
  <c r="M26" i="25"/>
  <c r="L26" i="25" s="1"/>
  <c r="M25" i="25"/>
  <c r="L25" i="25" s="1"/>
  <c r="M24" i="25"/>
  <c r="L24" i="25" s="1"/>
  <c r="M23" i="25"/>
  <c r="L23" i="25" s="1"/>
  <c r="M22" i="25"/>
  <c r="L22" i="25" s="1"/>
  <c r="M21" i="25"/>
  <c r="L21" i="25" s="1"/>
  <c r="M20" i="25"/>
  <c r="L20" i="25" s="1"/>
  <c r="M19" i="25"/>
  <c r="L19" i="25" s="1"/>
  <c r="M18" i="25"/>
  <c r="L18" i="25" s="1"/>
  <c r="M17" i="25"/>
  <c r="L17" i="25" s="1"/>
  <c r="M16" i="25"/>
  <c r="L16" i="25" s="1"/>
  <c r="M15" i="25"/>
  <c r="L15" i="25" s="1"/>
  <c r="M14" i="25"/>
  <c r="L14" i="25" s="1"/>
  <c r="M13" i="25"/>
  <c r="L13" i="25" s="1"/>
  <c r="M12" i="25"/>
  <c r="L12" i="25" s="1"/>
  <c r="M11" i="25"/>
  <c r="L11" i="25" s="1"/>
  <c r="M10" i="25"/>
  <c r="L10" i="25"/>
  <c r="M9" i="25"/>
  <c r="L9" i="25" s="1"/>
  <c r="M8" i="25"/>
  <c r="L8" i="25" s="1"/>
  <c r="M7" i="25"/>
  <c r="L7" i="25" s="1"/>
  <c r="M6" i="25"/>
  <c r="L6" i="25" s="1"/>
  <c r="M5" i="25"/>
  <c r="L5" i="25" s="1"/>
  <c r="C12" i="25"/>
  <c r="B12" i="25"/>
  <c r="T37" i="23" l="1"/>
  <c r="S37" i="23" s="1"/>
  <c r="R39" i="23" l="1"/>
  <c r="Q39" i="23"/>
  <c r="T36" i="23"/>
  <c r="S36" i="23" s="1"/>
  <c r="T35" i="23"/>
  <c r="S35" i="23" s="1"/>
  <c r="T34" i="23"/>
  <c r="S34" i="23" s="1"/>
  <c r="T33" i="23"/>
  <c r="S33" i="23" s="1"/>
  <c r="T32" i="23"/>
  <c r="S32" i="23" s="1"/>
  <c r="T31" i="23"/>
  <c r="S31" i="23" s="1"/>
  <c r="T30" i="23"/>
  <c r="S30" i="23" s="1"/>
  <c r="T29" i="23"/>
  <c r="S29" i="23" s="1"/>
  <c r="T28" i="23"/>
  <c r="S28" i="23" s="1"/>
  <c r="T27" i="23"/>
  <c r="S27" i="23" s="1"/>
  <c r="T26" i="23"/>
  <c r="S26" i="23"/>
  <c r="T25" i="23"/>
  <c r="S25" i="23" s="1"/>
  <c r="T24" i="23"/>
  <c r="S24" i="23" s="1"/>
  <c r="T23" i="23"/>
  <c r="S23" i="23" s="1"/>
  <c r="T22" i="23"/>
  <c r="S22" i="23" s="1"/>
  <c r="T21" i="23"/>
  <c r="S21" i="23" s="1"/>
  <c r="T20" i="23"/>
  <c r="S20" i="23" s="1"/>
  <c r="T19" i="23"/>
  <c r="S19" i="23" s="1"/>
  <c r="T18" i="23"/>
  <c r="S18" i="23" s="1"/>
  <c r="T17" i="23"/>
  <c r="S17" i="23" s="1"/>
  <c r="T16" i="23"/>
  <c r="S16" i="23" s="1"/>
  <c r="T15" i="23"/>
  <c r="S15" i="23" s="1"/>
  <c r="T14" i="23"/>
  <c r="S14" i="23" s="1"/>
  <c r="T13" i="23"/>
  <c r="S13" i="23" s="1"/>
  <c r="T12" i="23"/>
  <c r="S12" i="23" s="1"/>
  <c r="T11" i="23"/>
  <c r="S11" i="23" s="1"/>
  <c r="T10" i="23"/>
  <c r="S10" i="23" s="1"/>
  <c r="T9" i="23"/>
  <c r="S9" i="23" s="1"/>
  <c r="T8" i="23"/>
  <c r="S8" i="23" s="1"/>
  <c r="T7" i="23"/>
  <c r="S7" i="23" s="1"/>
  <c r="T6" i="23"/>
  <c r="S6" i="23" s="1"/>
  <c r="T5" i="23"/>
  <c r="S5" i="23" s="1"/>
  <c r="T4" i="23"/>
  <c r="S4" i="23" s="1"/>
  <c r="T3" i="23"/>
  <c r="S3" i="23"/>
  <c r="T2" i="23"/>
  <c r="S2" i="23" s="1"/>
  <c r="C2" i="23"/>
  <c r="B2" i="23"/>
  <c r="T37" i="22" l="1"/>
  <c r="S37" i="22" s="1"/>
  <c r="R39" i="22" l="1"/>
  <c r="Q39" i="22"/>
  <c r="T36" i="22"/>
  <c r="S36" i="22" s="1"/>
  <c r="T35" i="22"/>
  <c r="S35" i="22" s="1"/>
  <c r="T34" i="22"/>
  <c r="S34" i="22" s="1"/>
  <c r="T33" i="22"/>
  <c r="S33" i="22"/>
  <c r="T32" i="22"/>
  <c r="S32" i="22"/>
  <c r="T31" i="22"/>
  <c r="S31" i="22" s="1"/>
  <c r="T30" i="22"/>
  <c r="S30" i="22" s="1"/>
  <c r="T29" i="22"/>
  <c r="S29" i="22" s="1"/>
  <c r="T28" i="22"/>
  <c r="S28" i="22"/>
  <c r="T27" i="22"/>
  <c r="S27" i="22"/>
  <c r="T26" i="22"/>
  <c r="S26" i="22" s="1"/>
  <c r="T25" i="22"/>
  <c r="S25" i="22" s="1"/>
  <c r="T24" i="22"/>
  <c r="S24" i="22"/>
  <c r="T23" i="22"/>
  <c r="S23" i="22" s="1"/>
  <c r="T22" i="22"/>
  <c r="S22" i="22"/>
  <c r="T21" i="22"/>
  <c r="S21" i="22" s="1"/>
  <c r="T20" i="22"/>
  <c r="S20" i="22"/>
  <c r="T19" i="22"/>
  <c r="S19" i="22" s="1"/>
  <c r="T18" i="22"/>
  <c r="S18" i="22"/>
  <c r="T17" i="22"/>
  <c r="S17" i="22" s="1"/>
  <c r="T16" i="22"/>
  <c r="S16" i="22" s="1"/>
  <c r="T15" i="22"/>
  <c r="S15" i="22" s="1"/>
  <c r="T14" i="22"/>
  <c r="S14" i="22" s="1"/>
  <c r="T13" i="22"/>
  <c r="S13" i="22" s="1"/>
  <c r="T12" i="22"/>
  <c r="S12" i="22"/>
  <c r="T11" i="22"/>
  <c r="S11" i="22" s="1"/>
  <c r="T10" i="22"/>
  <c r="S10" i="22" s="1"/>
  <c r="T9" i="22"/>
  <c r="S9" i="22" s="1"/>
  <c r="T8" i="22"/>
  <c r="S8" i="22"/>
  <c r="T7" i="22"/>
  <c r="S7" i="22" s="1"/>
  <c r="T6" i="22"/>
  <c r="S6" i="22"/>
  <c r="T5" i="22"/>
  <c r="S5" i="22" s="1"/>
  <c r="T4" i="22"/>
  <c r="S4" i="22"/>
  <c r="T3" i="22"/>
  <c r="S3" i="22" s="1"/>
  <c r="C2" i="22"/>
  <c r="B2" i="22"/>
  <c r="T36" i="21" l="1"/>
  <c r="S36" i="21" s="1"/>
  <c r="R38" i="21"/>
  <c r="Q38" i="21"/>
  <c r="T35" i="21"/>
  <c r="S35" i="21" s="1"/>
  <c r="T34" i="21"/>
  <c r="S34" i="21" s="1"/>
  <c r="T33" i="21"/>
  <c r="S33" i="21" s="1"/>
  <c r="T32" i="21"/>
  <c r="S32" i="21"/>
  <c r="T31" i="21"/>
  <c r="S31" i="21" s="1"/>
  <c r="T30" i="21"/>
  <c r="S30" i="21"/>
  <c r="T29" i="21"/>
  <c r="S29" i="21"/>
  <c r="T28" i="21"/>
  <c r="S28" i="21"/>
  <c r="T27" i="21"/>
  <c r="S27" i="21" s="1"/>
  <c r="T26" i="21"/>
  <c r="S26" i="21" s="1"/>
  <c r="T25" i="21"/>
  <c r="S25" i="21" s="1"/>
  <c r="T24" i="21"/>
  <c r="S24" i="21" s="1"/>
  <c r="T23" i="21"/>
  <c r="S23" i="21"/>
  <c r="T22" i="21"/>
  <c r="S22" i="21" s="1"/>
  <c r="T21" i="21"/>
  <c r="S21" i="21"/>
  <c r="T20" i="21"/>
  <c r="S20" i="21"/>
  <c r="T19" i="21"/>
  <c r="S19" i="21"/>
  <c r="T18" i="21"/>
  <c r="S18" i="21" s="1"/>
  <c r="T17" i="21"/>
  <c r="S17" i="21"/>
  <c r="T16" i="21"/>
  <c r="S16" i="21"/>
  <c r="T15" i="21"/>
  <c r="S15" i="21"/>
  <c r="T14" i="21"/>
  <c r="S14" i="21" s="1"/>
  <c r="T13" i="21"/>
  <c r="S13" i="21"/>
  <c r="T12" i="21"/>
  <c r="S12" i="21"/>
  <c r="T11" i="21"/>
  <c r="S11" i="21"/>
  <c r="T10" i="21"/>
  <c r="S10" i="21" s="1"/>
  <c r="T9" i="21"/>
  <c r="S9" i="21"/>
  <c r="T8" i="21"/>
  <c r="S8" i="21"/>
  <c r="T7" i="21"/>
  <c r="S7" i="21"/>
  <c r="T6" i="21"/>
  <c r="S6" i="21" s="1"/>
  <c r="T5" i="21"/>
  <c r="S5" i="21"/>
  <c r="T4" i="21"/>
  <c r="S4" i="21"/>
  <c r="T3" i="21"/>
  <c r="S3" i="21"/>
  <c r="C2" i="21"/>
  <c r="B2" i="21"/>
  <c r="W20" i="18" l="1"/>
  <c r="T27" i="19"/>
  <c r="S27" i="19" s="1"/>
  <c r="T36" i="19"/>
  <c r="S36" i="19" s="1"/>
  <c r="R39" i="19"/>
  <c r="Q39" i="19"/>
  <c r="T35" i="19"/>
  <c r="S35" i="19" s="1"/>
  <c r="T34" i="19"/>
  <c r="S34" i="19" s="1"/>
  <c r="T33" i="19"/>
  <c r="S33" i="19" s="1"/>
  <c r="T32" i="19"/>
  <c r="S32" i="19" s="1"/>
  <c r="T31" i="19"/>
  <c r="S31" i="19" s="1"/>
  <c r="T30" i="19"/>
  <c r="S30" i="19" s="1"/>
  <c r="T29" i="19"/>
  <c r="S29" i="19" s="1"/>
  <c r="T28" i="19"/>
  <c r="S28" i="19" s="1"/>
  <c r="T26" i="19"/>
  <c r="S26" i="19" s="1"/>
  <c r="T25" i="19"/>
  <c r="S25" i="19" s="1"/>
  <c r="T24" i="19"/>
  <c r="S24" i="19" s="1"/>
  <c r="T23" i="19"/>
  <c r="S23" i="19" s="1"/>
  <c r="T22" i="19"/>
  <c r="S22" i="19" s="1"/>
  <c r="T21" i="19"/>
  <c r="S21" i="19" s="1"/>
  <c r="T20" i="19"/>
  <c r="S20" i="19" s="1"/>
  <c r="T19" i="19"/>
  <c r="S19" i="19" s="1"/>
  <c r="T18" i="19"/>
  <c r="S18" i="19" s="1"/>
  <c r="T17" i="19"/>
  <c r="S17" i="19" s="1"/>
  <c r="T16" i="19"/>
  <c r="S16" i="19"/>
  <c r="T15" i="19"/>
  <c r="S15" i="19" s="1"/>
  <c r="T14" i="19"/>
  <c r="S14" i="19" s="1"/>
  <c r="T13" i="19"/>
  <c r="S13" i="19" s="1"/>
  <c r="T12" i="19"/>
  <c r="S12" i="19" s="1"/>
  <c r="T11" i="19"/>
  <c r="S11" i="19" s="1"/>
  <c r="T10" i="19"/>
  <c r="S10" i="19" s="1"/>
  <c r="T9" i="19"/>
  <c r="S9" i="19" s="1"/>
  <c r="T8" i="19"/>
  <c r="S8" i="19" s="1"/>
  <c r="T7" i="19"/>
  <c r="S7" i="19" s="1"/>
  <c r="T6" i="19"/>
  <c r="S6" i="19" s="1"/>
  <c r="T5" i="19"/>
  <c r="S5" i="19" s="1"/>
  <c r="T4" i="19"/>
  <c r="S4" i="19" s="1"/>
  <c r="C2" i="19"/>
  <c r="B2" i="19"/>
  <c r="T35" i="18" l="1"/>
  <c r="S35" i="18" s="1"/>
  <c r="R37" i="18"/>
  <c r="Q37" i="18"/>
  <c r="T34" i="18"/>
  <c r="S34" i="18" s="1"/>
  <c r="T33" i="18"/>
  <c r="S33" i="18" s="1"/>
  <c r="T32" i="18"/>
  <c r="S32" i="18" s="1"/>
  <c r="T31" i="18"/>
  <c r="S31" i="18" s="1"/>
  <c r="T30" i="18"/>
  <c r="S30" i="18" s="1"/>
  <c r="T29" i="18"/>
  <c r="S29" i="18"/>
  <c r="T28" i="18"/>
  <c r="S28" i="18" s="1"/>
  <c r="T27" i="18"/>
  <c r="S27" i="18" s="1"/>
  <c r="T26" i="18"/>
  <c r="S26" i="18" s="1"/>
  <c r="T25" i="18"/>
  <c r="S25" i="18"/>
  <c r="T24" i="18"/>
  <c r="S24" i="18" s="1"/>
  <c r="T23" i="18"/>
  <c r="S23" i="18" s="1"/>
  <c r="T22" i="18"/>
  <c r="S22" i="18" s="1"/>
  <c r="T21" i="18"/>
  <c r="S21" i="18" s="1"/>
  <c r="T20" i="18"/>
  <c r="S20" i="18" s="1"/>
  <c r="T19" i="18"/>
  <c r="S19" i="18" s="1"/>
  <c r="T18" i="18"/>
  <c r="S18" i="18" s="1"/>
  <c r="T17" i="18"/>
  <c r="S17" i="18" s="1"/>
  <c r="T16" i="18"/>
  <c r="S16" i="18" s="1"/>
  <c r="T15" i="18"/>
  <c r="S15" i="18" s="1"/>
  <c r="T14" i="18"/>
  <c r="S14" i="18" s="1"/>
  <c r="T13" i="18"/>
  <c r="S13" i="18" s="1"/>
  <c r="T12" i="18"/>
  <c r="S12" i="18" s="1"/>
  <c r="T11" i="18"/>
  <c r="S11" i="18" s="1"/>
  <c r="T10" i="18"/>
  <c r="S10" i="18" s="1"/>
  <c r="T9" i="18"/>
  <c r="S9" i="18" s="1"/>
  <c r="T8" i="18"/>
  <c r="S8" i="18" s="1"/>
  <c r="T7" i="18"/>
  <c r="S7" i="18" s="1"/>
  <c r="T6" i="18"/>
  <c r="S6" i="18" s="1"/>
  <c r="T5" i="18"/>
  <c r="S5" i="18" s="1"/>
  <c r="T4" i="18"/>
  <c r="S4" i="18" s="1"/>
  <c r="C2" i="18"/>
  <c r="B2" i="18"/>
  <c r="T34" i="17" l="1"/>
  <c r="S34" i="17" s="1"/>
  <c r="R36" i="17"/>
  <c r="Q36" i="17"/>
  <c r="T33" i="17"/>
  <c r="S33" i="17" s="1"/>
  <c r="T32" i="17"/>
  <c r="S32" i="17" s="1"/>
  <c r="T31" i="17"/>
  <c r="S31" i="17"/>
  <c r="T30" i="17"/>
  <c r="S30" i="17"/>
  <c r="T29" i="17"/>
  <c r="S29" i="17" s="1"/>
  <c r="T28" i="17"/>
  <c r="S28" i="17" s="1"/>
  <c r="T27" i="17"/>
  <c r="S27" i="17"/>
  <c r="T26" i="17"/>
  <c r="S26" i="17" s="1"/>
  <c r="T25" i="17"/>
  <c r="S25" i="17" s="1"/>
  <c r="T24" i="17"/>
  <c r="S24" i="17" s="1"/>
  <c r="T23" i="17"/>
  <c r="S23" i="17"/>
  <c r="T22" i="17"/>
  <c r="S22" i="17" s="1"/>
  <c r="T21" i="17"/>
  <c r="S21" i="17" s="1"/>
  <c r="T20" i="17"/>
  <c r="S20" i="17" s="1"/>
  <c r="T19" i="17"/>
  <c r="S19" i="17" s="1"/>
  <c r="T18" i="17"/>
  <c r="S18" i="17"/>
  <c r="T17" i="17"/>
  <c r="S17" i="17" s="1"/>
  <c r="T16" i="17"/>
  <c r="S16" i="17"/>
  <c r="T15" i="17"/>
  <c r="S15" i="17" s="1"/>
  <c r="T14" i="17"/>
  <c r="S14" i="17"/>
  <c r="T13" i="17"/>
  <c r="S13" i="17"/>
  <c r="T12" i="17"/>
  <c r="S12" i="17"/>
  <c r="T11" i="17"/>
  <c r="S11" i="17"/>
  <c r="T10" i="17"/>
  <c r="S10" i="17"/>
  <c r="T9" i="17"/>
  <c r="S9" i="17"/>
  <c r="T8" i="17"/>
  <c r="S8" i="17"/>
  <c r="T7" i="17"/>
  <c r="S7" i="17" s="1"/>
  <c r="T6" i="17"/>
  <c r="S6" i="17"/>
  <c r="T5" i="17"/>
  <c r="S5" i="17"/>
  <c r="T4" i="17"/>
  <c r="S4" i="17"/>
  <c r="C2" i="17"/>
  <c r="B2" i="17"/>
  <c r="T33" i="16" l="1"/>
  <c r="S33" i="16" s="1"/>
  <c r="R35" i="16" l="1"/>
  <c r="Q35" i="16"/>
  <c r="T32" i="16"/>
  <c r="S32" i="16" s="1"/>
  <c r="T31" i="16"/>
  <c r="S31" i="16" s="1"/>
  <c r="T30" i="16"/>
  <c r="S30" i="16" s="1"/>
  <c r="T29" i="16"/>
  <c r="S29" i="16" s="1"/>
  <c r="T28" i="16"/>
  <c r="S28" i="16" s="1"/>
  <c r="T27" i="16"/>
  <c r="S27" i="16" s="1"/>
  <c r="T26" i="16"/>
  <c r="S26" i="16" s="1"/>
  <c r="T25" i="16"/>
  <c r="S25" i="16"/>
  <c r="T24" i="16"/>
  <c r="S24" i="16" s="1"/>
  <c r="T23" i="16"/>
  <c r="S23" i="16" s="1"/>
  <c r="T22" i="16"/>
  <c r="S22" i="16" s="1"/>
  <c r="T21" i="16"/>
  <c r="S21" i="16"/>
  <c r="T20" i="16"/>
  <c r="S20" i="16" s="1"/>
  <c r="T19" i="16"/>
  <c r="S19" i="16" s="1"/>
  <c r="T18" i="16"/>
  <c r="S18" i="16" s="1"/>
  <c r="T17" i="16"/>
  <c r="S17" i="16" s="1"/>
  <c r="T16" i="16"/>
  <c r="S16" i="16" s="1"/>
  <c r="T15" i="16"/>
  <c r="S15" i="16" s="1"/>
  <c r="T14" i="16"/>
  <c r="S14" i="16" s="1"/>
  <c r="T13" i="16"/>
  <c r="S13" i="16"/>
  <c r="T12" i="16"/>
  <c r="S12" i="16" s="1"/>
  <c r="T11" i="16"/>
  <c r="S11" i="16" s="1"/>
  <c r="T10" i="16"/>
  <c r="S10" i="16" s="1"/>
  <c r="T9" i="16"/>
  <c r="S9" i="16"/>
  <c r="T8" i="16"/>
  <c r="S8" i="16" s="1"/>
  <c r="T7" i="16"/>
  <c r="S7" i="16" s="1"/>
  <c r="T6" i="16"/>
  <c r="S6" i="16" s="1"/>
  <c r="T5" i="16"/>
  <c r="S5" i="16" s="1"/>
  <c r="T4" i="16"/>
  <c r="S4" i="16" s="1"/>
  <c r="C2" i="16"/>
  <c r="B2" i="16"/>
  <c r="T32" i="15" l="1"/>
  <c r="S32" i="15" s="1"/>
  <c r="R34" i="15"/>
  <c r="Q34" i="15"/>
  <c r="T31" i="15"/>
  <c r="S31" i="15"/>
  <c r="T30" i="15"/>
  <c r="S30" i="15" s="1"/>
  <c r="T29" i="15"/>
  <c r="S29" i="15" s="1"/>
  <c r="T28" i="15"/>
  <c r="S28" i="15"/>
  <c r="T27" i="15"/>
  <c r="S27" i="15" s="1"/>
  <c r="T26" i="15"/>
  <c r="S26" i="15" s="1"/>
  <c r="T25" i="15"/>
  <c r="S25" i="15" s="1"/>
  <c r="T24" i="15"/>
  <c r="S24" i="15" s="1"/>
  <c r="T23" i="15"/>
  <c r="S23" i="15"/>
  <c r="T22" i="15"/>
  <c r="S22" i="15" s="1"/>
  <c r="T21" i="15"/>
  <c r="S21" i="15" s="1"/>
  <c r="T20" i="15"/>
  <c r="S20" i="15" s="1"/>
  <c r="T19" i="15"/>
  <c r="S19" i="15"/>
  <c r="T18" i="15"/>
  <c r="S18" i="15" s="1"/>
  <c r="T17" i="15"/>
  <c r="S17" i="15" s="1"/>
  <c r="T16" i="15"/>
  <c r="S16" i="15"/>
  <c r="T15" i="15"/>
  <c r="S15" i="15" s="1"/>
  <c r="T14" i="15"/>
  <c r="S14" i="15" s="1"/>
  <c r="T13" i="15"/>
  <c r="S13" i="15" s="1"/>
  <c r="T12" i="15"/>
  <c r="S12" i="15"/>
  <c r="T11" i="15"/>
  <c r="S11" i="15"/>
  <c r="T10" i="15"/>
  <c r="S10" i="15" s="1"/>
  <c r="T9" i="15"/>
  <c r="S9" i="15" s="1"/>
  <c r="T8" i="15"/>
  <c r="S8" i="15"/>
  <c r="T7" i="15"/>
  <c r="S7" i="15"/>
  <c r="T6" i="15"/>
  <c r="S6" i="15" s="1"/>
  <c r="T5" i="15"/>
  <c r="S5" i="15" s="1"/>
  <c r="T4" i="15"/>
  <c r="S4" i="15" s="1"/>
  <c r="C2" i="15"/>
  <c r="B2" i="15"/>
  <c r="T4" i="14" l="1"/>
  <c r="S4" i="14" s="1"/>
  <c r="T31" i="14"/>
  <c r="S31" i="14" s="1"/>
  <c r="R33" i="14"/>
  <c r="Q33" i="14"/>
  <c r="T30" i="14"/>
  <c r="S30" i="14" s="1"/>
  <c r="T29" i="14"/>
  <c r="S29" i="14" s="1"/>
  <c r="T28" i="14"/>
  <c r="S28" i="14" s="1"/>
  <c r="T27" i="14"/>
  <c r="S27" i="14" s="1"/>
  <c r="T26" i="14"/>
  <c r="S26" i="14" s="1"/>
  <c r="T25" i="14"/>
  <c r="S25" i="14" s="1"/>
  <c r="T24" i="14"/>
  <c r="S24" i="14" s="1"/>
  <c r="T23" i="14"/>
  <c r="S23" i="14" s="1"/>
  <c r="T22" i="14"/>
  <c r="S22" i="14" s="1"/>
  <c r="T21" i="14"/>
  <c r="S21" i="14" s="1"/>
  <c r="T20" i="14"/>
  <c r="S20" i="14" s="1"/>
  <c r="T19" i="14"/>
  <c r="S19" i="14" s="1"/>
  <c r="T18" i="14"/>
  <c r="S18" i="14" s="1"/>
  <c r="T17" i="14"/>
  <c r="S17" i="14" s="1"/>
  <c r="T16" i="14"/>
  <c r="S16" i="14" s="1"/>
  <c r="T15" i="14"/>
  <c r="S15" i="14" s="1"/>
  <c r="T14" i="14"/>
  <c r="S14" i="14" s="1"/>
  <c r="T13" i="14"/>
  <c r="S13" i="14" s="1"/>
  <c r="T12" i="14"/>
  <c r="S12" i="14" s="1"/>
  <c r="T11" i="14"/>
  <c r="S11" i="14" s="1"/>
  <c r="T10" i="14"/>
  <c r="S10" i="14" s="1"/>
  <c r="T9" i="14"/>
  <c r="S9" i="14" s="1"/>
  <c r="T8" i="14"/>
  <c r="S8" i="14" s="1"/>
  <c r="T7" i="14"/>
  <c r="S7" i="14" s="1"/>
  <c r="T6" i="14"/>
  <c r="S6" i="14" s="1"/>
  <c r="T5" i="14"/>
  <c r="S5" i="14" s="1"/>
  <c r="C2" i="14"/>
  <c r="B2" i="14"/>
  <c r="T30" i="13" l="1"/>
  <c r="S30" i="13" s="1"/>
  <c r="R32" i="13"/>
  <c r="Q32" i="13"/>
  <c r="T29" i="13"/>
  <c r="S29" i="13" s="1"/>
  <c r="T28" i="13"/>
  <c r="S28" i="13" s="1"/>
  <c r="T27" i="13"/>
  <c r="S27" i="13" s="1"/>
  <c r="T26" i="13"/>
  <c r="S26" i="13"/>
  <c r="T25" i="13"/>
  <c r="S25" i="13" s="1"/>
  <c r="T24" i="13"/>
  <c r="S24" i="13" s="1"/>
  <c r="T23" i="13"/>
  <c r="S23" i="13" s="1"/>
  <c r="T22" i="13"/>
  <c r="S22" i="13"/>
  <c r="T21" i="13"/>
  <c r="S21" i="13" s="1"/>
  <c r="T20" i="13"/>
  <c r="S20" i="13" s="1"/>
  <c r="T19" i="13"/>
  <c r="S19" i="13" s="1"/>
  <c r="T18" i="13"/>
  <c r="S18" i="13" s="1"/>
  <c r="T17" i="13"/>
  <c r="S17" i="13" s="1"/>
  <c r="T16" i="13"/>
  <c r="S16" i="13" s="1"/>
  <c r="T15" i="13"/>
  <c r="S15" i="13" s="1"/>
  <c r="T14" i="13"/>
  <c r="S14" i="13" s="1"/>
  <c r="T13" i="13"/>
  <c r="S13" i="13" s="1"/>
  <c r="T12" i="13"/>
  <c r="S12" i="13" s="1"/>
  <c r="T11" i="13"/>
  <c r="S11" i="13" s="1"/>
  <c r="T10" i="13"/>
  <c r="S10" i="13"/>
  <c r="T9" i="13"/>
  <c r="S9" i="13" s="1"/>
  <c r="T8" i="13"/>
  <c r="S8" i="13" s="1"/>
  <c r="T7" i="13"/>
  <c r="S7" i="13" s="1"/>
  <c r="T6" i="13"/>
  <c r="S6" i="13"/>
  <c r="T5" i="13"/>
  <c r="S5" i="13" s="1"/>
  <c r="T4" i="13"/>
  <c r="S4" i="13" s="1"/>
  <c r="C2" i="13"/>
  <c r="B2" i="13"/>
  <c r="T29" i="12" l="1"/>
  <c r="S29" i="12" s="1"/>
  <c r="R31" i="12"/>
  <c r="Q31" i="12"/>
  <c r="T28" i="12"/>
  <c r="S28" i="12" s="1"/>
  <c r="T27" i="12"/>
  <c r="S27" i="12" s="1"/>
  <c r="T26" i="12"/>
  <c r="S26" i="12" s="1"/>
  <c r="T25" i="12"/>
  <c r="S25" i="12" s="1"/>
  <c r="T24" i="12"/>
  <c r="S24" i="12" s="1"/>
  <c r="T23" i="12"/>
  <c r="S23" i="12" s="1"/>
  <c r="T22" i="12"/>
  <c r="S22" i="12" s="1"/>
  <c r="T21" i="12"/>
  <c r="S21" i="12" s="1"/>
  <c r="T20" i="12"/>
  <c r="S20" i="12" s="1"/>
  <c r="T19" i="12"/>
  <c r="S19" i="12" s="1"/>
  <c r="T18" i="12"/>
  <c r="S18" i="12" s="1"/>
  <c r="T17" i="12"/>
  <c r="S17" i="12" s="1"/>
  <c r="T16" i="12"/>
  <c r="S16" i="12" s="1"/>
  <c r="T15" i="12"/>
  <c r="S15" i="12" s="1"/>
  <c r="T14" i="12"/>
  <c r="S14" i="12" s="1"/>
  <c r="T13" i="12"/>
  <c r="S13" i="12" s="1"/>
  <c r="T12" i="12"/>
  <c r="S12" i="12" s="1"/>
  <c r="T11" i="12"/>
  <c r="S11" i="12" s="1"/>
  <c r="T10" i="12"/>
  <c r="S10" i="12"/>
  <c r="T9" i="12"/>
  <c r="S9" i="12"/>
  <c r="T8" i="12"/>
  <c r="S8" i="12" s="1"/>
  <c r="T7" i="12"/>
  <c r="S7" i="12" s="1"/>
  <c r="T6" i="12"/>
  <c r="S6" i="12"/>
  <c r="T5" i="12"/>
  <c r="S5" i="12"/>
  <c r="T4" i="12"/>
  <c r="S4" i="12" s="1"/>
  <c r="C2" i="12"/>
  <c r="B2" i="12"/>
  <c r="C2" i="10" l="1"/>
  <c r="T28" i="10" l="1"/>
  <c r="S28" i="10" s="1"/>
  <c r="R30" i="10"/>
  <c r="Q30" i="10"/>
  <c r="T27" i="10"/>
  <c r="S27" i="10" s="1"/>
  <c r="T26" i="10"/>
  <c r="S26" i="10" s="1"/>
  <c r="T25" i="10"/>
  <c r="S25" i="10" s="1"/>
  <c r="T24" i="10"/>
  <c r="S24" i="10" s="1"/>
  <c r="T23" i="10"/>
  <c r="S23" i="10" s="1"/>
  <c r="T22" i="10"/>
  <c r="S22" i="10" s="1"/>
  <c r="T21" i="10"/>
  <c r="S21" i="10" s="1"/>
  <c r="T20" i="10"/>
  <c r="S20" i="10" s="1"/>
  <c r="T19" i="10"/>
  <c r="S19" i="10" s="1"/>
  <c r="T18" i="10"/>
  <c r="S18" i="10" s="1"/>
  <c r="T17" i="10"/>
  <c r="S17" i="10" s="1"/>
  <c r="T16" i="10"/>
  <c r="S16" i="10" s="1"/>
  <c r="T15" i="10"/>
  <c r="S15" i="10" s="1"/>
  <c r="T14" i="10"/>
  <c r="S14" i="10" s="1"/>
  <c r="T13" i="10"/>
  <c r="S13" i="10" s="1"/>
  <c r="T12" i="10"/>
  <c r="S12" i="10" s="1"/>
  <c r="T11" i="10"/>
  <c r="S11" i="10" s="1"/>
  <c r="T10" i="10"/>
  <c r="S10" i="10" s="1"/>
  <c r="T9" i="10"/>
  <c r="S9" i="10" s="1"/>
  <c r="T8" i="10"/>
  <c r="S8" i="10" s="1"/>
  <c r="T7" i="10"/>
  <c r="S7" i="10" s="1"/>
  <c r="T6" i="10"/>
  <c r="S6" i="10" s="1"/>
  <c r="T5" i="10"/>
  <c r="S5" i="10" s="1"/>
  <c r="T4" i="10"/>
  <c r="S4" i="10" s="1"/>
  <c r="B2" i="10"/>
  <c r="C2" i="7" l="1"/>
  <c r="B2" i="7"/>
  <c r="C2" i="6"/>
  <c r="B2" i="6"/>
  <c r="C2" i="5"/>
  <c r="B2" i="5"/>
  <c r="C2" i="3"/>
  <c r="B2" i="3"/>
  <c r="P28" i="5" l="1"/>
  <c r="Q28" i="5"/>
  <c r="P29" i="6" l="1"/>
  <c r="Q29" i="6"/>
  <c r="P27" i="7" l="1"/>
  <c r="Q27" i="7"/>
  <c r="S5" i="3" l="1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4" i="3"/>
  <c r="U27" i="3"/>
  <c r="U26" i="3" l="1"/>
  <c r="R29" i="3" l="1"/>
  <c r="Q29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</calcChain>
</file>

<file path=xl/sharedStrings.xml><?xml version="1.0" encoding="utf-8"?>
<sst xmlns="http://schemas.openxmlformats.org/spreadsheetml/2006/main" count="193" uniqueCount="16">
  <si>
    <t>KW</t>
  </si>
  <si>
    <t>Test</t>
  </si>
  <si>
    <t>Positiv</t>
  </si>
  <si>
    <t>Positiv Rate</t>
  </si>
  <si>
    <t>Anzahl
Labore</t>
  </si>
  <si>
    <t>Kontrolle
Positiv Rate</t>
  </si>
  <si>
    <t>Ges.</t>
  </si>
  <si>
    <t>https://www.rki.de/DE/Content/InfAZ/N/Neuartiges_Coronavirus/Testzahl.html</t>
  </si>
  <si>
    <t>Quelle:</t>
  </si>
  <si>
    <t>Stand:</t>
  </si>
  <si>
    <t>Positiv-Rate</t>
  </si>
  <si>
    <t>KW 1-10 wurden</t>
  </si>
  <si>
    <t xml:space="preserve"> zusammengefasst</t>
  </si>
  <si>
    <t>https://www.rki.de/DE/Content/InfAZ/N/Neuartiges_Coronavirus/Situationsberichte/Gesamt.html?nn=13490888</t>
  </si>
  <si>
    <t>Bis KW-32 gibt es Unstimmigkeiten mit den Situationsberichten des RKI</t>
  </si>
  <si>
    <t>Bis KW-33 gibt es Unstimmigkeiten mit den Situationsberichten des RKI. Die blauen Felder mußte ich anpassen.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</si>
</sst>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270">
        <stop position="0">
          <color rgb="FF7030A0"/>
        </stop>
        <stop position="1">
          <color rgb="FF002060"/>
        </stop>
      </gradientFill>
    </fill>
    <fill>
      <patternFill patternType="solid">
        <fgColor rgb="FF00B0F0"/>
        <bgColor auto="1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2" applyAlignment="1">
      <alignment vertical="center"/>
    </xf>
    <xf numFmtId="165" fontId="0" fillId="0" borderId="0" xfId="0" applyNumberFormat="1" applyAlignment="1">
      <alignment horizontal="center"/>
    </xf>
    <xf numFmtId="0" fontId="0" fillId="0" borderId="1" xfId="0" applyBorder="1"/>
    <xf numFmtId="3" fontId="0" fillId="0" borderId="2" xfId="0" applyNumberFormat="1" applyBorder="1"/>
    <xf numFmtId="3" fontId="0" fillId="0" borderId="3" xfId="0" applyNumberFormat="1" applyBorder="1"/>
    <xf numFmtId="165" fontId="0" fillId="0" borderId="4" xfId="0" applyNumberForma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14" fontId="6" fillId="0" borderId="0" xfId="2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9" fontId="4" fillId="2" borderId="4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9" fontId="4" fillId="2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0" fontId="4" fillId="2" borderId="0" xfId="1" applyNumberFormat="1" applyFont="1" applyFill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10" fontId="4" fillId="2" borderId="0" xfId="1" applyNumberFormat="1" applyFont="1" applyFill="1" applyBorder="1" applyAlignment="1">
      <alignment horizontal="center"/>
    </xf>
    <xf numFmtId="9" fontId="4" fillId="2" borderId="10" xfId="1" applyNumberFormat="1" applyFont="1" applyFill="1" applyBorder="1" applyAlignment="1">
      <alignment horizontal="center"/>
    </xf>
    <xf numFmtId="9" fontId="4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0" fontId="4" fillId="2" borderId="12" xfId="1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7" fillId="2" borderId="10" xfId="1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3" fillId="0" borderId="0" xfId="2"/>
    <xf numFmtId="0" fontId="0" fillId="0" borderId="9" xfId="0" applyBorder="1" applyAlignment="1">
      <alignment horizontal="center"/>
    </xf>
    <xf numFmtId="3" fontId="0" fillId="0" borderId="0" xfId="0" applyNumberFormat="1"/>
    <xf numFmtId="0" fontId="4" fillId="3" borderId="9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right" wrapText="1"/>
    </xf>
  </cellXfs>
  <cellStyles count="3">
    <cellStyle name="Link" xfId="2" builtinId="8"/>
    <cellStyle name="Prozent" xfId="1" builtinId="5"/>
    <cellStyle name="Standard" xfId="0" builtinId="0"/>
  </cellStyles>
  <dxfs count="157">
    <dxf>
      <font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.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layout>
        <c:manualLayout>
          <c:xMode val="edge"/>
          <c:yMode val="edge"/>
          <c:x val="0.382570606354659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'KW-50'!$J$4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'KW-50'!$I$5:$I$45</c:f>
              <c:numCache>
                <c:formatCode>General</c:formatCode>
                <c:ptCount val="4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</c:numCache>
            </c:numRef>
          </c:cat>
          <c:val>
            <c:numRef>
              <c:f>'KW-50'!$J$5:$J$45</c:f>
              <c:numCache>
                <c:formatCode>#,##0</c:formatCode>
                <c:ptCount val="41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432076</c:v>
                </c:pt>
                <c:pt idx="11">
                  <c:v>354260</c:v>
                </c:pt>
                <c:pt idx="12">
                  <c:v>401589</c:v>
                </c:pt>
                <c:pt idx="13">
                  <c:v>337217</c:v>
                </c:pt>
                <c:pt idx="14">
                  <c:v>327196</c:v>
                </c:pt>
                <c:pt idx="15">
                  <c:v>386316</c:v>
                </c:pt>
                <c:pt idx="16">
                  <c:v>464626</c:v>
                </c:pt>
                <c:pt idx="17">
                  <c:v>506459</c:v>
                </c:pt>
                <c:pt idx="18">
                  <c:v>510551</c:v>
                </c:pt>
                <c:pt idx="19">
                  <c:v>538701</c:v>
                </c:pt>
                <c:pt idx="20">
                  <c:v>553429</c:v>
                </c:pt>
                <c:pt idx="21">
                  <c:v>586620</c:v>
                </c:pt>
                <c:pt idx="22">
                  <c:v>716768</c:v>
                </c:pt>
                <c:pt idx="23">
                  <c:v>835384</c:v>
                </c:pt>
                <c:pt idx="24">
                  <c:v>1084446</c:v>
                </c:pt>
                <c:pt idx="25">
                  <c:v>1120883</c:v>
                </c:pt>
                <c:pt idx="26">
                  <c:v>1072316</c:v>
                </c:pt>
                <c:pt idx="27">
                  <c:v>1164932</c:v>
                </c:pt>
                <c:pt idx="28">
                  <c:v>1146565</c:v>
                </c:pt>
                <c:pt idx="29">
                  <c:v>1155995</c:v>
                </c:pt>
                <c:pt idx="30">
                  <c:v>1112967</c:v>
                </c:pt>
                <c:pt idx="31">
                  <c:v>1188338</c:v>
                </c:pt>
                <c:pt idx="32">
                  <c:v>1263716</c:v>
                </c:pt>
                <c:pt idx="33">
                  <c:v>1418726</c:v>
                </c:pt>
                <c:pt idx="34">
                  <c:v>1631343</c:v>
                </c:pt>
                <c:pt idx="35">
                  <c:v>1608125</c:v>
                </c:pt>
                <c:pt idx="36">
                  <c:v>1396088</c:v>
                </c:pt>
                <c:pt idx="37">
                  <c:v>1363701</c:v>
                </c:pt>
                <c:pt idx="38">
                  <c:v>1343157</c:v>
                </c:pt>
                <c:pt idx="39">
                  <c:v>1308629</c:v>
                </c:pt>
                <c:pt idx="40">
                  <c:v>1465732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A-4AD0-8E31-3BB1D3744306}"/>
            </c:ext>
          </c:extLst>
        </c:ser>
        <c:ser>
          <c:idx val="1"/>
          <c:order val="1"/>
          <c:tx>
            <c:strRef>
              <c:f>'KW-50'!$K$4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'KW-50'!$I$5:$I$45</c:f>
              <c:numCache>
                <c:formatCode>General</c:formatCode>
                <c:ptCount val="4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</c:numCache>
            </c:numRef>
          </c:cat>
          <c:val>
            <c:numRef>
              <c:f>'KW-50'!$K$5:$K$45</c:f>
              <c:numCache>
                <c:formatCode>#,##0</c:formatCode>
                <c:ptCount val="41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7080</c:v>
                </c:pt>
                <c:pt idx="11">
                  <c:v>5228</c:v>
                </c:pt>
                <c:pt idx="12">
                  <c:v>4267</c:v>
                </c:pt>
                <c:pt idx="13">
                  <c:v>3085</c:v>
                </c:pt>
                <c:pt idx="14">
                  <c:v>2816</c:v>
                </c:pt>
                <c:pt idx="15">
                  <c:v>5276</c:v>
                </c:pt>
                <c:pt idx="16">
                  <c:v>3682</c:v>
                </c:pt>
                <c:pt idx="17">
                  <c:v>3092</c:v>
                </c:pt>
                <c:pt idx="18">
                  <c:v>2992</c:v>
                </c:pt>
                <c:pt idx="19">
                  <c:v>3497</c:v>
                </c:pt>
                <c:pt idx="20">
                  <c:v>4458</c:v>
                </c:pt>
                <c:pt idx="21">
                  <c:v>5738</c:v>
                </c:pt>
                <c:pt idx="22">
                  <c:v>7263</c:v>
                </c:pt>
                <c:pt idx="23">
                  <c:v>8121</c:v>
                </c:pt>
                <c:pt idx="24">
                  <c:v>9143</c:v>
                </c:pt>
                <c:pt idx="25">
                  <c:v>8323</c:v>
                </c:pt>
                <c:pt idx="26">
                  <c:v>8294</c:v>
                </c:pt>
                <c:pt idx="27">
                  <c:v>10046</c:v>
                </c:pt>
                <c:pt idx="28">
                  <c:v>13261</c:v>
                </c:pt>
                <c:pt idx="29">
                  <c:v>14094</c:v>
                </c:pt>
                <c:pt idx="30">
                  <c:v>19407</c:v>
                </c:pt>
                <c:pt idx="31">
                  <c:v>29567</c:v>
                </c:pt>
                <c:pt idx="32">
                  <c:v>44759</c:v>
                </c:pt>
                <c:pt idx="33">
                  <c:v>78106</c:v>
                </c:pt>
                <c:pt idx="34">
                  <c:v>116673</c:v>
                </c:pt>
                <c:pt idx="35">
                  <c:v>126141</c:v>
                </c:pt>
                <c:pt idx="36">
                  <c:v>125200</c:v>
                </c:pt>
                <c:pt idx="37">
                  <c:v>127330</c:v>
                </c:pt>
                <c:pt idx="38">
                  <c:v>124687</c:v>
                </c:pt>
                <c:pt idx="39">
                  <c:v>133681</c:v>
                </c:pt>
                <c:pt idx="40">
                  <c:v>168483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A-4AD0-8E31-3BB1D3744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'KW-50'!$I$5:$I$45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2AA-4AD0-8E31-3BB1D374430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'KW-50'!$M$4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'KW-50'!$I$5:$I$45</c:f>
              <c:numCache>
                <c:formatCode>General</c:formatCode>
                <c:ptCount val="4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</c:numCache>
            </c:numRef>
          </c:cat>
          <c:val>
            <c:numRef>
              <c:f>'KW-50'!$M$5:$M$45</c:f>
              <c:numCache>
                <c:formatCode>0%</c:formatCode>
                <c:ptCount val="41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1.638600616558198E-2</c:v>
                </c:pt>
                <c:pt idx="11">
                  <c:v>1.4757522723423474E-2</c:v>
                </c:pt>
                <c:pt idx="12">
                  <c:v>1.0625291031377852E-2</c:v>
                </c:pt>
                <c:pt idx="13">
                  <c:v>9.1484118534949314E-3</c:v>
                </c:pt>
                <c:pt idx="14">
                  <c:v>8.6064621816892631E-3</c:v>
                </c:pt>
                <c:pt idx="15">
                  <c:v>1.3657213265823833E-2</c:v>
                </c:pt>
                <c:pt idx="16">
                  <c:v>7.9246533771248281E-3</c:v>
                </c:pt>
                <c:pt idx="17">
                  <c:v>6.1051338805312967E-3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8.0552338240316278E-3</c:v>
                </c:pt>
                <c:pt idx="21">
                  <c:v>9.7814598888547946E-3</c:v>
                </c:pt>
                <c:pt idx="22">
                  <c:v>1.013298584758248E-2</c:v>
                </c:pt>
                <c:pt idx="23">
                  <c:v>9.7212778793943858E-3</c:v>
                </c:pt>
                <c:pt idx="24">
                  <c:v>8.4310329882723526E-3</c:v>
                </c:pt>
                <c:pt idx="25">
                  <c:v>7.4253958709338975E-3</c:v>
                </c:pt>
                <c:pt idx="26">
                  <c:v>7.7346603053577486E-3</c:v>
                </c:pt>
                <c:pt idx="27">
                  <c:v>8.6236793220548502E-3</c:v>
                </c:pt>
                <c:pt idx="28">
                  <c:v>1.1565851042025529E-2</c:v>
                </c:pt>
                <c:pt idx="29">
                  <c:v>1.2192094256463048E-2</c:v>
                </c:pt>
                <c:pt idx="30">
                  <c:v>1.7437174687120104E-2</c:v>
                </c:pt>
                <c:pt idx="31">
                  <c:v>2.4880968209381505E-2</c:v>
                </c:pt>
                <c:pt idx="32">
                  <c:v>3.5418559233245446E-2</c:v>
                </c:pt>
                <c:pt idx="33">
                  <c:v>5.5053618528172456E-2</c:v>
                </c:pt>
                <c:pt idx="34">
                  <c:v>7.1519600721614035E-2</c:v>
                </c:pt>
                <c:pt idx="35">
                  <c:v>7.8439797901282554E-2</c:v>
                </c:pt>
                <c:pt idx="36">
                  <c:v>8.9679160625977736E-2</c:v>
                </c:pt>
                <c:pt idx="37">
                  <c:v>9.3370907552315349E-2</c:v>
                </c:pt>
                <c:pt idx="38">
                  <c:v>9.2831292246550484E-2</c:v>
                </c:pt>
                <c:pt idx="39">
                  <c:v>0.10215347512549393</c:v>
                </c:pt>
                <c:pt idx="40">
                  <c:v>0.11494802596927678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A-4AD0-8E31-3BB1D3744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'KW-50'!$I$5:$I$45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42AA-4AD0-8E31-3BB1D3744306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'KW-40'!$Q$3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'KW-40'!$P$4:$P$34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</c:numCache>
            </c:numRef>
          </c:cat>
          <c:val>
            <c:numRef>
              <c:f>'KW-40'!$Q$4:$Q$34</c:f>
              <c:numCache>
                <c:formatCode>#,##0</c:formatCode>
                <c:ptCount val="31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507663</c:v>
                </c:pt>
                <c:pt idx="18">
                  <c:v>510551</c:v>
                </c:pt>
                <c:pt idx="19">
                  <c:v>538701</c:v>
                </c:pt>
                <c:pt idx="20">
                  <c:v>574883</c:v>
                </c:pt>
                <c:pt idx="21">
                  <c:v>586620</c:v>
                </c:pt>
                <c:pt idx="22">
                  <c:v>736171</c:v>
                </c:pt>
                <c:pt idx="23">
                  <c:v>891988</c:v>
                </c:pt>
                <c:pt idx="24">
                  <c:v>1094506</c:v>
                </c:pt>
                <c:pt idx="25">
                  <c:v>1121214</c:v>
                </c:pt>
                <c:pt idx="26">
                  <c:v>1099560</c:v>
                </c:pt>
                <c:pt idx="27">
                  <c:v>1162133</c:v>
                </c:pt>
                <c:pt idx="28">
                  <c:v>1149171</c:v>
                </c:pt>
                <c:pt idx="29">
                  <c:v>1168390</c:v>
                </c:pt>
                <c:pt idx="30">
                  <c:v>1095858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E-4302-8CB0-F927D39F28FB}"/>
            </c:ext>
          </c:extLst>
        </c:ser>
        <c:ser>
          <c:idx val="1"/>
          <c:order val="1"/>
          <c:tx>
            <c:strRef>
              <c:f>'KW-40'!$R$3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'KW-40'!$P$4:$P$34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</c:numCache>
            </c:numRef>
          </c:cat>
          <c:val>
            <c:numRef>
              <c:f>'KW-40'!$R$4:$R$34</c:f>
              <c:numCache>
                <c:formatCode>#,##0</c:formatCode>
                <c:ptCount val="31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4539</c:v>
                </c:pt>
                <c:pt idx="21">
                  <c:v>5738</c:v>
                </c:pt>
                <c:pt idx="22">
                  <c:v>7335</c:v>
                </c:pt>
                <c:pt idx="23">
                  <c:v>8661</c:v>
                </c:pt>
                <c:pt idx="24">
                  <c:v>9233</c:v>
                </c:pt>
                <c:pt idx="25">
                  <c:v>8324</c:v>
                </c:pt>
                <c:pt idx="26">
                  <c:v>8175</c:v>
                </c:pt>
                <c:pt idx="27">
                  <c:v>10025</c:v>
                </c:pt>
                <c:pt idx="28">
                  <c:v>13275</c:v>
                </c:pt>
                <c:pt idx="29">
                  <c:v>14301</c:v>
                </c:pt>
                <c:pt idx="30">
                  <c:v>17964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E-4302-8CB0-F927D39F2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'KW-40'!$P$4:$P$34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F0E-4302-8CB0-F927D39F28F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'KW-40'!$T$3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'KW-40'!$P$4:$P$34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</c:numCache>
            </c:numRef>
          </c:cat>
          <c:val>
            <c:numRef>
              <c:f>'KW-40'!$T$4:$T$34</c:f>
              <c:numCache>
                <c:formatCode>0%</c:formatCode>
                <c:ptCount val="31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6.1142923553617265E-3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7.8955196100771816E-3</c:v>
                </c:pt>
                <c:pt idx="21">
                  <c:v>9.7814598888547946E-3</c:v>
                </c:pt>
                <c:pt idx="22">
                  <c:v>9.963717668856828E-3</c:v>
                </c:pt>
                <c:pt idx="23">
                  <c:v>9.7097718803391981E-3</c:v>
                </c:pt>
                <c:pt idx="24">
                  <c:v>8.4357691963314954E-3</c:v>
                </c:pt>
                <c:pt idx="25">
                  <c:v>7.4240956677315839E-3</c:v>
                </c:pt>
                <c:pt idx="26">
                  <c:v>7.4347920986576445E-3</c:v>
                </c:pt>
                <c:pt idx="27">
                  <c:v>8.6263792526328747E-3</c:v>
                </c:pt>
                <c:pt idx="28">
                  <c:v>1.1551805605954205E-2</c:v>
                </c:pt>
                <c:pt idx="29">
                  <c:v>1.2239919889762836E-2</c:v>
                </c:pt>
                <c:pt idx="30">
                  <c:v>1.639263481217457E-2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0E-4302-8CB0-F927D39F2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'KW-40'!$P$4:$P$34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F0E-4302-8CB0-F927D39F28FB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'KW-39'!$Q$3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'KW-39'!$P$4:$P$33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</c:numCache>
            </c:numRef>
          </c:cat>
          <c:val>
            <c:numRef>
              <c:f>'KW-39'!$Q$4:$Q$33</c:f>
              <c:numCache>
                <c:formatCode>#,##0</c:formatCode>
                <c:ptCount val="30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1092350</c:v>
                </c:pt>
                <c:pt idx="25">
                  <c:v>1115638</c:v>
                </c:pt>
                <c:pt idx="26">
                  <c:v>1099560</c:v>
                </c:pt>
                <c:pt idx="27">
                  <c:v>1162133</c:v>
                </c:pt>
                <c:pt idx="28">
                  <c:v>1148282</c:v>
                </c:pt>
                <c:pt idx="29">
                  <c:v>1153075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4-4001-861B-AB87F9818B70}"/>
            </c:ext>
          </c:extLst>
        </c:ser>
        <c:ser>
          <c:idx val="1"/>
          <c:order val="1"/>
          <c:tx>
            <c:strRef>
              <c:f>'KW-39'!$R$3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'KW-39'!$P$4:$P$33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</c:numCache>
            </c:numRef>
          </c:cat>
          <c:val>
            <c:numRef>
              <c:f>'KW-39'!$R$4:$R$33</c:f>
              <c:numCache>
                <c:formatCode>#,##0</c:formatCode>
                <c:ptCount val="30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9226</c:v>
                </c:pt>
                <c:pt idx="25">
                  <c:v>8309</c:v>
                </c:pt>
                <c:pt idx="26">
                  <c:v>8175</c:v>
                </c:pt>
                <c:pt idx="27">
                  <c:v>10025</c:v>
                </c:pt>
                <c:pt idx="28">
                  <c:v>13268</c:v>
                </c:pt>
                <c:pt idx="29">
                  <c:v>14044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34-4001-861B-AB87F981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'KW-39'!$P$4:$P$33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734-4001-861B-AB87F9818B7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'KW-39'!$T$3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'KW-39'!$P$4:$P$33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</c:numCache>
            </c:numRef>
          </c:cat>
          <c:val>
            <c:numRef>
              <c:f>'KW-39'!$T$4:$T$33</c:f>
              <c:numCache>
                <c:formatCode>0%</c:formatCode>
                <c:ptCount val="30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8.4460108939442488E-3</c:v>
                </c:pt>
                <c:pt idx="25">
                  <c:v>7.4477563510744523E-3</c:v>
                </c:pt>
                <c:pt idx="26">
                  <c:v>7.4347920986576445E-3</c:v>
                </c:pt>
                <c:pt idx="27">
                  <c:v>8.6263792526328747E-3</c:v>
                </c:pt>
                <c:pt idx="28">
                  <c:v>1.1554652951104345E-2</c:v>
                </c:pt>
                <c:pt idx="29">
                  <c:v>1.2179606703813715E-2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34-4001-861B-AB87F981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'KW-39'!$P$4:$P$33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734-4001-861B-AB87F9818B70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'KW-38'!$Q$3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'KW-38'!$P$4:$P$32</c:f>
              <c:numCache>
                <c:formatCode>General</c:formatCode>
                <c:ptCount val="2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numCache>
            </c:numRef>
          </c:cat>
          <c:val>
            <c:numRef>
              <c:f>'KW-38'!$Q$4:$Q$32</c:f>
              <c:numCache>
                <c:formatCode>#,##0</c:formatCode>
                <c:ptCount val="29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1055662</c:v>
                </c:pt>
                <c:pt idx="25">
                  <c:v>1101299</c:v>
                </c:pt>
                <c:pt idx="26">
                  <c:v>1051125</c:v>
                </c:pt>
                <c:pt idx="27">
                  <c:v>1120835</c:v>
                </c:pt>
                <c:pt idx="28">
                  <c:v>1085518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F-41AA-8507-91FB82F8AFE6}"/>
            </c:ext>
          </c:extLst>
        </c:ser>
        <c:ser>
          <c:idx val="1"/>
          <c:order val="1"/>
          <c:tx>
            <c:strRef>
              <c:f>'KW-38'!$R$3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'KW-38'!$P$4:$P$32</c:f>
              <c:numCache>
                <c:formatCode>General</c:formatCode>
                <c:ptCount val="2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numCache>
            </c:numRef>
          </c:cat>
          <c:val>
            <c:numRef>
              <c:f>'KW-38'!$R$4:$R$32</c:f>
              <c:numCache>
                <c:formatCode>#,##0</c:formatCode>
                <c:ptCount val="29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8921</c:v>
                </c:pt>
                <c:pt idx="25">
                  <c:v>8178</c:v>
                </c:pt>
                <c:pt idx="26">
                  <c:v>7754</c:v>
                </c:pt>
                <c:pt idx="27">
                  <c:v>9675</c:v>
                </c:pt>
                <c:pt idx="28">
                  <c:v>12917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F-41AA-8507-91FB82F8A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'KW-38'!$P$4:$P$32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72F-41AA-8507-91FB82F8AFE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'KW-38'!$T$3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'KW-38'!$P$4:$P$32</c:f>
              <c:numCache>
                <c:formatCode>General</c:formatCode>
                <c:ptCount val="2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numCache>
            </c:numRef>
          </c:cat>
          <c:val>
            <c:numRef>
              <c:f>'KW-38'!$T$4:$T$32</c:f>
              <c:numCache>
                <c:formatCode>0%</c:formatCode>
                <c:ptCount val="29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8.4506215057471041E-3</c:v>
                </c:pt>
                <c:pt idx="25">
                  <c:v>7.4257762878201109E-3</c:v>
                </c:pt>
                <c:pt idx="26">
                  <c:v>7.3768581281959808E-3</c:v>
                </c:pt>
                <c:pt idx="27">
                  <c:v>8.6319574245986245E-3</c:v>
                </c:pt>
                <c:pt idx="28">
                  <c:v>1.1899388126221768E-2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F-41AA-8507-91FB82F8A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'KW-38'!$P$4:$P$32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A72F-41AA-8507-91FB82F8AFE6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'KW-37'!$Q$3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'KW-37'!$P$4:$P$31</c:f>
              <c:numCache>
                <c:formatCode>General</c:formatCode>
                <c:ptCount val="2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</c:numCache>
            </c:numRef>
          </c:cat>
          <c:val>
            <c:numRef>
              <c:f>'KW-37'!$Q$4:$Q$31</c:f>
              <c:numCache>
                <c:formatCode>#,##0</c:formatCode>
                <c:ptCount val="28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1055662</c:v>
                </c:pt>
                <c:pt idx="25">
                  <c:v>1101299</c:v>
                </c:pt>
                <c:pt idx="26">
                  <c:v>1051125</c:v>
                </c:pt>
                <c:pt idx="27">
                  <c:v>1120835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2-45FE-AEF6-F7EFC61211DB}"/>
            </c:ext>
          </c:extLst>
        </c:ser>
        <c:ser>
          <c:idx val="1"/>
          <c:order val="1"/>
          <c:tx>
            <c:strRef>
              <c:f>'KW-37'!$R$3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'KW-37'!$P$4:$P$31</c:f>
              <c:numCache>
                <c:formatCode>General</c:formatCode>
                <c:ptCount val="2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</c:numCache>
            </c:numRef>
          </c:cat>
          <c:val>
            <c:numRef>
              <c:f>'KW-37'!$R$4:$R$31</c:f>
              <c:numCache>
                <c:formatCode>#,##0</c:formatCode>
                <c:ptCount val="28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8921</c:v>
                </c:pt>
                <c:pt idx="25">
                  <c:v>8178</c:v>
                </c:pt>
                <c:pt idx="26">
                  <c:v>7754</c:v>
                </c:pt>
                <c:pt idx="27">
                  <c:v>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2-45FE-AEF6-F7EFC612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'KW-37'!$P$4:$P$31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F2-45FE-AEF6-F7EFC61211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'KW-37'!$T$3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'KW-37'!$P$4:$P$31</c:f>
              <c:numCache>
                <c:formatCode>General</c:formatCode>
                <c:ptCount val="2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</c:numCache>
            </c:numRef>
          </c:cat>
          <c:val>
            <c:numRef>
              <c:f>'KW-37'!$T$4:$T$31</c:f>
              <c:numCache>
                <c:formatCode>0%</c:formatCode>
                <c:ptCount val="28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8.4506215057471041E-3</c:v>
                </c:pt>
                <c:pt idx="25">
                  <c:v>7.4257762878201109E-3</c:v>
                </c:pt>
                <c:pt idx="26">
                  <c:v>7.3768581281959808E-3</c:v>
                </c:pt>
                <c:pt idx="27">
                  <c:v>8.6319574245986245E-3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F2-45FE-AEF6-F7EFC612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'KW-37'!$P$4:$P$31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25F2-45FE-AEF6-F7EFC61211DB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'KW-36'!$Q$3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'KW-36'!$P$4:$P$30</c:f>
              <c:numCache>
                <c:formatCode>General</c:formatCode>
                <c:ptCount val="2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</c:numCache>
            </c:numRef>
          </c:cat>
          <c:val>
            <c:numRef>
              <c:f>'KW-36'!$Q$4:$Q$30</c:f>
              <c:numCache>
                <c:formatCode>#,##0</c:formatCode>
                <c:ptCount val="27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1055662</c:v>
                </c:pt>
                <c:pt idx="25">
                  <c:v>1101299</c:v>
                </c:pt>
                <c:pt idx="26">
                  <c:v>1051125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A-4CF7-A43A-C72B1D15B806}"/>
            </c:ext>
          </c:extLst>
        </c:ser>
        <c:ser>
          <c:idx val="1"/>
          <c:order val="1"/>
          <c:tx>
            <c:strRef>
              <c:f>'KW-36'!$R$3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'KW-36'!$P$4:$P$30</c:f>
              <c:numCache>
                <c:formatCode>General</c:formatCode>
                <c:ptCount val="2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</c:numCache>
            </c:numRef>
          </c:cat>
          <c:val>
            <c:numRef>
              <c:f>'KW-36'!$R$4:$R$30</c:f>
              <c:numCache>
                <c:formatCode>#,##0</c:formatCode>
                <c:ptCount val="27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8921</c:v>
                </c:pt>
                <c:pt idx="25">
                  <c:v>8178</c:v>
                </c:pt>
                <c:pt idx="26">
                  <c:v>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A-4CF7-A43A-C72B1D15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'KW-36'!$P$4:$P$30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68A-4CF7-A43A-C72B1D15B80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'KW-36'!$T$3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'KW-36'!$P$4:$P$30</c:f>
              <c:numCache>
                <c:formatCode>General</c:formatCode>
                <c:ptCount val="2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</c:numCache>
            </c:numRef>
          </c:cat>
          <c:val>
            <c:numRef>
              <c:f>'KW-36'!$T$4:$T$30</c:f>
              <c:numCache>
                <c:formatCode>0%</c:formatCode>
                <c:ptCount val="27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8.4506215057471041E-3</c:v>
                </c:pt>
                <c:pt idx="25">
                  <c:v>7.4257762878201109E-3</c:v>
                </c:pt>
                <c:pt idx="26">
                  <c:v>7.3768581281959808E-3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8A-4CF7-A43A-C72B1D15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'KW-36'!$P$4:$P$30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68A-4CF7-A43A-C72B1D15B806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'KW-35'!$Q$3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'KW-35'!$P$4:$P$29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numCache>
            </c:numRef>
          </c:cat>
          <c:val>
            <c:numRef>
              <c:f>'KW-35'!$Q$4:$Q$29</c:f>
              <c:numCache>
                <c:formatCode>#,##0</c:formatCode>
                <c:ptCount val="26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1053521</c:v>
                </c:pt>
                <c:pt idx="25">
                  <c:v>1101299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191-82B2-4D14D3F81475}"/>
            </c:ext>
          </c:extLst>
        </c:ser>
        <c:ser>
          <c:idx val="1"/>
          <c:order val="1"/>
          <c:tx>
            <c:strRef>
              <c:f>'KW-35'!$R$3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'KW-35'!$P$4:$P$29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numCache>
            </c:numRef>
          </c:cat>
          <c:val>
            <c:numRef>
              <c:f>'KW-35'!$R$4:$R$29</c:f>
              <c:numCache>
                <c:formatCode>#,##0</c:formatCode>
                <c:ptCount val="26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8903</c:v>
                </c:pt>
                <c:pt idx="25">
                  <c:v>8178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191-82B2-4D14D3F81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'KW-35'!$P$4:$P$29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DDB-4191-82B2-4D14D3F8147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'KW-35'!$T$3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'KW-35'!$P$4:$P$29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numCache>
            </c:numRef>
          </c:cat>
          <c:val>
            <c:numRef>
              <c:f>'KW-35'!$T$4:$T$29</c:f>
              <c:numCache>
                <c:formatCode>0%</c:formatCode>
                <c:ptCount val="26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8.4507095729463386E-3</c:v>
                </c:pt>
                <c:pt idx="25">
                  <c:v>7.4257762878201109E-3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B-4191-82B2-4D14D3F81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'KW-35'!$P$4:$P$29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1DDB-4191-82B2-4D14D3F81475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'KW-34'!$Q$3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'KW-34'!$P$4:$P$28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</c:numCache>
            </c:numRef>
          </c:cat>
          <c:val>
            <c:numRef>
              <c:f>'KW-34'!$Q$4:$Q$28</c:f>
              <c:numCache>
                <c:formatCode>#,##0</c:formatCode>
                <c:ptCount val="25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387484</c:v>
                </c:pt>
                <c:pt idx="16">
                  <c:v>466459</c:v>
                </c:pt>
                <c:pt idx="17">
                  <c:v>504082</c:v>
                </c:pt>
                <c:pt idx="18">
                  <c:v>510103</c:v>
                </c:pt>
                <c:pt idx="19">
                  <c:v>538229</c:v>
                </c:pt>
                <c:pt idx="20">
                  <c:v>572311</c:v>
                </c:pt>
                <c:pt idx="21">
                  <c:v>580064</c:v>
                </c:pt>
                <c:pt idx="22">
                  <c:v>733608</c:v>
                </c:pt>
                <c:pt idx="23">
                  <c:v>891988</c:v>
                </c:pt>
                <c:pt idx="24">
                  <c:v>987423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3-472D-B521-F6A7F8BF5FFA}"/>
            </c:ext>
          </c:extLst>
        </c:ser>
        <c:ser>
          <c:idx val="1"/>
          <c:order val="1"/>
          <c:tx>
            <c:strRef>
              <c:f>'KW-34'!$R$3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'KW-34'!$P$4:$P$28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</c:numCache>
            </c:numRef>
          </c:cat>
          <c:val>
            <c:numRef>
              <c:f>'KW-34'!$R$4:$R$28</c:f>
              <c:numCache>
                <c:formatCode>#,##0</c:formatCode>
                <c:ptCount val="25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5309</c:v>
                </c:pt>
                <c:pt idx="16">
                  <c:v>3670</c:v>
                </c:pt>
                <c:pt idx="17">
                  <c:v>3080</c:v>
                </c:pt>
                <c:pt idx="18">
                  <c:v>2990</c:v>
                </c:pt>
                <c:pt idx="19">
                  <c:v>3483</c:v>
                </c:pt>
                <c:pt idx="20">
                  <c:v>4506</c:v>
                </c:pt>
                <c:pt idx="21">
                  <c:v>5661</c:v>
                </c:pt>
                <c:pt idx="22">
                  <c:v>7318</c:v>
                </c:pt>
                <c:pt idx="23">
                  <c:v>8661</c:v>
                </c:pt>
                <c:pt idx="24">
                  <c:v>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3-472D-B521-F6A7F8BF5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'KW-34'!$P$4:$P$28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923-472D-B521-F6A7F8BF5FF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'KW-34'!$T$3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'KW-34'!$P$4:$P$28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</c:numCache>
            </c:numRef>
          </c:cat>
          <c:val>
            <c:numRef>
              <c:f>'KW-34'!$T$4:$T$28</c:f>
              <c:numCache>
                <c:formatCode>0%</c:formatCode>
                <c:ptCount val="25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8.6209799629567273E-3</c:v>
                </c:pt>
                <c:pt idx="15">
                  <c:v>1.3701210888707663E-2</c:v>
                </c:pt>
                <c:pt idx="16">
                  <c:v>7.8677868794470689E-3</c:v>
                </c:pt>
                <c:pt idx="17">
                  <c:v>6.1101170047730326E-3</c:v>
                </c:pt>
                <c:pt idx="18">
                  <c:v>5.8615612925232751E-3</c:v>
                </c:pt>
                <c:pt idx="19">
                  <c:v>6.4712232153971636E-3</c:v>
                </c:pt>
                <c:pt idx="20">
                  <c:v>7.8733415922461747E-3</c:v>
                </c:pt>
                <c:pt idx="21">
                  <c:v>9.7592679428476856E-3</c:v>
                </c:pt>
                <c:pt idx="22">
                  <c:v>9.9753546853360384E-3</c:v>
                </c:pt>
                <c:pt idx="23">
                  <c:v>9.7097718803391981E-3</c:v>
                </c:pt>
                <c:pt idx="24">
                  <c:v>8.7652404288739473E-3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3-472D-B521-F6A7F8BF5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'KW-34'!$P$4:$P$28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9923-472D-B521-F6A7F8BF5FFA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'KW-33'!$Q$3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'KW-33'!$P$4:$P$27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</c:numCache>
            </c:numRef>
          </c:cat>
          <c:val>
            <c:numRef>
              <c:f>'KW-33'!$Q$4:$Q$27</c:f>
              <c:numCache>
                <c:formatCode>#,##0</c:formatCode>
                <c:ptCount val="24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387484</c:v>
                </c:pt>
                <c:pt idx="16">
                  <c:v>466459</c:v>
                </c:pt>
                <c:pt idx="17">
                  <c:v>504082</c:v>
                </c:pt>
                <c:pt idx="18">
                  <c:v>510103</c:v>
                </c:pt>
                <c:pt idx="19">
                  <c:v>538229</c:v>
                </c:pt>
                <c:pt idx="20">
                  <c:v>570746</c:v>
                </c:pt>
                <c:pt idx="21">
                  <c:v>578099</c:v>
                </c:pt>
                <c:pt idx="22">
                  <c:v>730300</c:v>
                </c:pt>
                <c:pt idx="23">
                  <c:v>875524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9-41C1-92C0-BE6A54F9A253}"/>
            </c:ext>
          </c:extLst>
        </c:ser>
        <c:ser>
          <c:idx val="1"/>
          <c:order val="1"/>
          <c:tx>
            <c:strRef>
              <c:f>'KW-33'!$R$3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'KW-33'!$P$4:$P$27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</c:numCache>
            </c:numRef>
          </c:cat>
          <c:val>
            <c:numRef>
              <c:f>'KW-33'!$R$4:$R$27</c:f>
              <c:numCache>
                <c:formatCode>#,##0</c:formatCode>
                <c:ptCount val="24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5309</c:v>
                </c:pt>
                <c:pt idx="16">
                  <c:v>3670</c:v>
                </c:pt>
                <c:pt idx="17">
                  <c:v>3080</c:v>
                </c:pt>
                <c:pt idx="18">
                  <c:v>2990</c:v>
                </c:pt>
                <c:pt idx="19">
                  <c:v>3483</c:v>
                </c:pt>
                <c:pt idx="20">
                  <c:v>4464</c:v>
                </c:pt>
                <c:pt idx="21">
                  <c:v>5634</c:v>
                </c:pt>
                <c:pt idx="22">
                  <c:v>7256</c:v>
                </c:pt>
                <c:pt idx="23">
                  <c:v>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9-41C1-92C0-BE6A54F9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'KW-33'!$P$4:$P$27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009-41C1-92C0-BE6A54F9A25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'KW-33'!$S$3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'KW-33'!$P$4:$P$27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</c:numCache>
            </c:numRef>
          </c:cat>
          <c:val>
            <c:numRef>
              <c:f>'KW-33'!$S$4:$S$27</c:f>
              <c:numCache>
                <c:formatCode>0%</c:formatCode>
                <c:ptCount val="24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8.6209799629567273E-3</c:v>
                </c:pt>
                <c:pt idx="15">
                  <c:v>1.3701210888707663E-2</c:v>
                </c:pt>
                <c:pt idx="16">
                  <c:v>7.8677868794470689E-3</c:v>
                </c:pt>
                <c:pt idx="17">
                  <c:v>6.1101170047730326E-3</c:v>
                </c:pt>
                <c:pt idx="18">
                  <c:v>5.8615612925232751E-3</c:v>
                </c:pt>
                <c:pt idx="19">
                  <c:v>6.4712232153971636E-3</c:v>
                </c:pt>
                <c:pt idx="20">
                  <c:v>7.8213425937282092E-3</c:v>
                </c:pt>
                <c:pt idx="21">
                  <c:v>9.7457355920006778E-3</c:v>
                </c:pt>
                <c:pt idx="22">
                  <c:v>9.9356428864850067E-3</c:v>
                </c:pt>
                <c:pt idx="23">
                  <c:v>9.6022496242250347E-3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09-41C1-92C0-BE6A54F9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'KW-33'!$P$4:$P$27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B009-41C1-92C0-BE6A54F9A253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'KW-32'!$P$3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'KW-32'!$O$4:$O$26</c:f>
              <c:numCache>
                <c:formatCode>General</c:formatCode>
                <c:ptCount val="2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</c:numCache>
            </c:numRef>
          </c:cat>
          <c:val>
            <c:numRef>
              <c:f>'KW-32'!$P$4:$P$26</c:f>
              <c:numCache>
                <c:formatCode>#,##0</c:formatCode>
                <c:ptCount val="23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387484</c:v>
                </c:pt>
                <c:pt idx="16">
                  <c:v>467004</c:v>
                </c:pt>
                <c:pt idx="17">
                  <c:v>505518</c:v>
                </c:pt>
                <c:pt idx="18">
                  <c:v>510103</c:v>
                </c:pt>
                <c:pt idx="19">
                  <c:v>538144</c:v>
                </c:pt>
                <c:pt idx="20">
                  <c:v>570681</c:v>
                </c:pt>
                <c:pt idx="21">
                  <c:v>577916</c:v>
                </c:pt>
                <c:pt idx="22">
                  <c:v>672171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B-47A0-87F8-B6611B3819A1}"/>
            </c:ext>
          </c:extLst>
        </c:ser>
        <c:ser>
          <c:idx val="1"/>
          <c:order val="1"/>
          <c:tx>
            <c:strRef>
              <c:f>'KW-32'!$Q$3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'KW-32'!$O$4:$O$26</c:f>
              <c:numCache>
                <c:formatCode>General</c:formatCode>
                <c:ptCount val="2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</c:numCache>
            </c:numRef>
          </c:cat>
          <c:val>
            <c:numRef>
              <c:f>'KW-32'!$Q$4:$Q$26</c:f>
              <c:numCache>
                <c:formatCode>#,##0</c:formatCode>
                <c:ptCount val="23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5309</c:v>
                </c:pt>
                <c:pt idx="16">
                  <c:v>3674</c:v>
                </c:pt>
                <c:pt idx="17">
                  <c:v>3080</c:v>
                </c:pt>
                <c:pt idx="18">
                  <c:v>2990</c:v>
                </c:pt>
                <c:pt idx="19">
                  <c:v>3483</c:v>
                </c:pt>
                <c:pt idx="20">
                  <c:v>4464</c:v>
                </c:pt>
                <c:pt idx="21">
                  <c:v>5634</c:v>
                </c:pt>
                <c:pt idx="22">
                  <c:v>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B-47A0-87F8-B6611B381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'KW-32'!$O$4:$O$26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B6B-47A0-87F8-B6611B3819A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'KW-32'!$R$3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'KW-32'!$O$4:$O$26</c:f>
              <c:numCache>
                <c:formatCode>General</c:formatCode>
                <c:ptCount val="2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</c:numCache>
            </c:numRef>
          </c:cat>
          <c:val>
            <c:numRef>
              <c:f>'KW-32'!$R$4:$R$26</c:f>
              <c:numCache>
                <c:formatCode>0.0</c:formatCode>
                <c:ptCount val="23"/>
                <c:pt idx="0">
                  <c:v>3.1</c:v>
                </c:pt>
                <c:pt idx="1">
                  <c:v>5.9</c:v>
                </c:pt>
                <c:pt idx="2">
                  <c:v>6.8</c:v>
                </c:pt>
                <c:pt idx="3">
                  <c:v>8.6999999999999993</c:v>
                </c:pt>
                <c:pt idx="4">
                  <c:v>9</c:v>
                </c:pt>
                <c:pt idx="5">
                  <c:v>8.1</c:v>
                </c:pt>
                <c:pt idx="6">
                  <c:v>6.7</c:v>
                </c:pt>
                <c:pt idx="7">
                  <c:v>5</c:v>
                </c:pt>
                <c:pt idx="8">
                  <c:v>3.9</c:v>
                </c:pt>
                <c:pt idx="9">
                  <c:v>2.7</c:v>
                </c:pt>
                <c:pt idx="10">
                  <c:v>1.7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0.9</c:v>
                </c:pt>
                <c:pt idx="14">
                  <c:v>0.9</c:v>
                </c:pt>
                <c:pt idx="15">
                  <c:v>1.4</c:v>
                </c:pt>
                <c:pt idx="16">
                  <c:v>0.8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0.8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6B-47A0-87F8-B6611B381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'KW-32'!$O$4:$O$26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B6B-47A0-87F8-B6611B3819A1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'KW-31'!$P$5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'KW-31'!$O$6:$O$27</c:f>
              <c:numCache>
                <c:formatCode>General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</c:numCache>
            </c:numRef>
          </c:cat>
          <c:val>
            <c:numRef>
              <c:f>'KW-31'!$P$6:$P$27</c:f>
              <c:numCache>
                <c:formatCode>#,##0</c:formatCode>
                <c:ptCount val="22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387484</c:v>
                </c:pt>
                <c:pt idx="16">
                  <c:v>467004</c:v>
                </c:pt>
                <c:pt idx="17">
                  <c:v>505518</c:v>
                </c:pt>
                <c:pt idx="18">
                  <c:v>509298</c:v>
                </c:pt>
                <c:pt idx="19">
                  <c:v>537334</c:v>
                </c:pt>
                <c:pt idx="20">
                  <c:v>569868</c:v>
                </c:pt>
                <c:pt idx="21">
                  <c:v>573802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4-4A76-8E5C-90DB173570C0}"/>
            </c:ext>
          </c:extLst>
        </c:ser>
        <c:ser>
          <c:idx val="1"/>
          <c:order val="1"/>
          <c:tx>
            <c:strRef>
              <c:f>'KW-31'!$Q$5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'KW-31'!$O$6:$O$27</c:f>
              <c:numCache>
                <c:formatCode>General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</c:numCache>
            </c:numRef>
          </c:cat>
          <c:val>
            <c:numRef>
              <c:f>'KW-31'!$Q$6:$Q$27</c:f>
              <c:numCache>
                <c:formatCode>#,##0</c:formatCode>
                <c:ptCount val="22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5309</c:v>
                </c:pt>
                <c:pt idx="16">
                  <c:v>3674</c:v>
                </c:pt>
                <c:pt idx="17">
                  <c:v>3080</c:v>
                </c:pt>
                <c:pt idx="18">
                  <c:v>2989</c:v>
                </c:pt>
                <c:pt idx="19">
                  <c:v>3480</c:v>
                </c:pt>
                <c:pt idx="20">
                  <c:v>4462</c:v>
                </c:pt>
                <c:pt idx="21">
                  <c:v>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4-4A76-8E5C-90DB173570C0}"/>
            </c:ext>
          </c:extLst>
        </c:ser>
        <c:ser>
          <c:idx val="3"/>
          <c:order val="3"/>
          <c:tx>
            <c:strRef>
              <c:f>'KW-31'!$S$5</c:f>
              <c:strCache>
                <c:ptCount val="1"/>
                <c:pt idx="0">
                  <c:v>Anzahl
Labore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'KW-31'!$O$6:$O$27</c:f>
              <c:numCache>
                <c:formatCode>General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</c:numCache>
            </c:numRef>
          </c:cat>
          <c:val>
            <c:numRef>
              <c:f>'KW-31'!$S$6:$S$27</c:f>
              <c:numCache>
                <c:formatCode>General</c:formatCode>
                <c:ptCount val="22"/>
                <c:pt idx="0">
                  <c:v>90</c:v>
                </c:pt>
                <c:pt idx="1">
                  <c:v>114</c:v>
                </c:pt>
                <c:pt idx="2">
                  <c:v>152</c:v>
                </c:pt>
                <c:pt idx="3">
                  <c:v>151</c:v>
                </c:pt>
                <c:pt idx="4">
                  <c:v>154</c:v>
                </c:pt>
                <c:pt idx="5">
                  <c:v>164</c:v>
                </c:pt>
                <c:pt idx="6">
                  <c:v>168</c:v>
                </c:pt>
                <c:pt idx="7">
                  <c:v>178</c:v>
                </c:pt>
                <c:pt idx="8">
                  <c:v>175</c:v>
                </c:pt>
                <c:pt idx="9">
                  <c:v>182</c:v>
                </c:pt>
                <c:pt idx="10">
                  <c:v>183</c:v>
                </c:pt>
                <c:pt idx="11">
                  <c:v>179</c:v>
                </c:pt>
                <c:pt idx="12">
                  <c:v>178</c:v>
                </c:pt>
                <c:pt idx="13">
                  <c:v>176</c:v>
                </c:pt>
                <c:pt idx="14">
                  <c:v>172</c:v>
                </c:pt>
                <c:pt idx="15">
                  <c:v>174</c:v>
                </c:pt>
                <c:pt idx="16">
                  <c:v>179</c:v>
                </c:pt>
                <c:pt idx="17">
                  <c:v>150</c:v>
                </c:pt>
                <c:pt idx="18">
                  <c:v>177</c:v>
                </c:pt>
                <c:pt idx="19">
                  <c:v>173</c:v>
                </c:pt>
                <c:pt idx="20">
                  <c:v>171</c:v>
                </c:pt>
                <c:pt idx="21">
                  <c:v>161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84-4A76-8E5C-90DB1735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2"/>
          <c:order val="2"/>
          <c:tx>
            <c:strRef>
              <c:f>'KW-31'!$R$5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'KW-31'!$O$6:$O$27</c:f>
              <c:numCache>
                <c:formatCode>General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</c:numCache>
            </c:numRef>
          </c:cat>
          <c:val>
            <c:numRef>
              <c:f>'KW-31'!$R$6:$R$27</c:f>
              <c:numCache>
                <c:formatCode>0.0</c:formatCode>
                <c:ptCount val="22"/>
                <c:pt idx="0">
                  <c:v>3.1</c:v>
                </c:pt>
                <c:pt idx="1">
                  <c:v>5.9</c:v>
                </c:pt>
                <c:pt idx="2">
                  <c:v>6.8</c:v>
                </c:pt>
                <c:pt idx="3">
                  <c:v>8.6999999999999993</c:v>
                </c:pt>
                <c:pt idx="4">
                  <c:v>9</c:v>
                </c:pt>
                <c:pt idx="5">
                  <c:v>8.1</c:v>
                </c:pt>
                <c:pt idx="6">
                  <c:v>6.7</c:v>
                </c:pt>
                <c:pt idx="7">
                  <c:v>5</c:v>
                </c:pt>
                <c:pt idx="8">
                  <c:v>3.9</c:v>
                </c:pt>
                <c:pt idx="9">
                  <c:v>2.7</c:v>
                </c:pt>
                <c:pt idx="10">
                  <c:v>1.7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0.9</c:v>
                </c:pt>
                <c:pt idx="14">
                  <c:v>0.9</c:v>
                </c:pt>
                <c:pt idx="15">
                  <c:v>1.4</c:v>
                </c:pt>
                <c:pt idx="16">
                  <c:v>0.8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0.8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84-4A76-8E5C-90DB1735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layout>
        <c:manualLayout>
          <c:xMode val="edge"/>
          <c:yMode val="edge"/>
          <c:x val="0.382570606354659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'KW-49'!$J$4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'KW-49'!$I$5:$I$44</c:f>
              <c:numCache>
                <c:formatCode>General</c:formatCode>
                <c:ptCount val="4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</c:numCache>
            </c:numRef>
          </c:cat>
          <c:val>
            <c:numRef>
              <c:f>'KW-49'!$J$5:$J$44</c:f>
              <c:numCache>
                <c:formatCode>#,##0</c:formatCode>
                <c:ptCount val="40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432076</c:v>
                </c:pt>
                <c:pt idx="11">
                  <c:v>354260</c:v>
                </c:pt>
                <c:pt idx="12">
                  <c:v>401589</c:v>
                </c:pt>
                <c:pt idx="13">
                  <c:v>337217</c:v>
                </c:pt>
                <c:pt idx="14">
                  <c:v>327196</c:v>
                </c:pt>
                <c:pt idx="15">
                  <c:v>386316</c:v>
                </c:pt>
                <c:pt idx="16">
                  <c:v>464626</c:v>
                </c:pt>
                <c:pt idx="17">
                  <c:v>506459</c:v>
                </c:pt>
                <c:pt idx="18">
                  <c:v>510551</c:v>
                </c:pt>
                <c:pt idx="19">
                  <c:v>538701</c:v>
                </c:pt>
                <c:pt idx="20">
                  <c:v>553429</c:v>
                </c:pt>
                <c:pt idx="21">
                  <c:v>586620</c:v>
                </c:pt>
                <c:pt idx="22">
                  <c:v>716768</c:v>
                </c:pt>
                <c:pt idx="23">
                  <c:v>835384</c:v>
                </c:pt>
                <c:pt idx="24">
                  <c:v>1084446</c:v>
                </c:pt>
                <c:pt idx="25">
                  <c:v>1120883</c:v>
                </c:pt>
                <c:pt idx="26">
                  <c:v>1072316</c:v>
                </c:pt>
                <c:pt idx="27">
                  <c:v>1164932</c:v>
                </c:pt>
                <c:pt idx="28">
                  <c:v>1146565</c:v>
                </c:pt>
                <c:pt idx="29">
                  <c:v>1155995</c:v>
                </c:pt>
                <c:pt idx="30">
                  <c:v>1112967</c:v>
                </c:pt>
                <c:pt idx="31">
                  <c:v>1188338</c:v>
                </c:pt>
                <c:pt idx="32">
                  <c:v>1263716</c:v>
                </c:pt>
                <c:pt idx="33">
                  <c:v>1418726</c:v>
                </c:pt>
                <c:pt idx="34">
                  <c:v>1631343</c:v>
                </c:pt>
                <c:pt idx="35">
                  <c:v>1608125</c:v>
                </c:pt>
                <c:pt idx="36">
                  <c:v>1396088</c:v>
                </c:pt>
                <c:pt idx="37">
                  <c:v>1363701</c:v>
                </c:pt>
                <c:pt idx="38">
                  <c:v>1340093</c:v>
                </c:pt>
                <c:pt idx="39">
                  <c:v>1297303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0-401C-A533-B66FAF5913FD}"/>
            </c:ext>
          </c:extLst>
        </c:ser>
        <c:ser>
          <c:idx val="1"/>
          <c:order val="1"/>
          <c:tx>
            <c:strRef>
              <c:f>'KW-49'!$K$4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'KW-49'!$I$5:$I$44</c:f>
              <c:numCache>
                <c:formatCode>General</c:formatCode>
                <c:ptCount val="4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</c:numCache>
            </c:numRef>
          </c:cat>
          <c:val>
            <c:numRef>
              <c:f>'KW-49'!$K$5:$K$44</c:f>
              <c:numCache>
                <c:formatCode>#,##0</c:formatCode>
                <c:ptCount val="40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7080</c:v>
                </c:pt>
                <c:pt idx="11">
                  <c:v>5228</c:v>
                </c:pt>
                <c:pt idx="12">
                  <c:v>4267</c:v>
                </c:pt>
                <c:pt idx="13">
                  <c:v>3085</c:v>
                </c:pt>
                <c:pt idx="14">
                  <c:v>2816</c:v>
                </c:pt>
                <c:pt idx="15">
                  <c:v>5276</c:v>
                </c:pt>
                <c:pt idx="16">
                  <c:v>3682</c:v>
                </c:pt>
                <c:pt idx="17">
                  <c:v>3092</c:v>
                </c:pt>
                <c:pt idx="18">
                  <c:v>2992</c:v>
                </c:pt>
                <c:pt idx="19">
                  <c:v>3497</c:v>
                </c:pt>
                <c:pt idx="20">
                  <c:v>4458</c:v>
                </c:pt>
                <c:pt idx="21">
                  <c:v>5738</c:v>
                </c:pt>
                <c:pt idx="22">
                  <c:v>7263</c:v>
                </c:pt>
                <c:pt idx="23">
                  <c:v>8121</c:v>
                </c:pt>
                <c:pt idx="24">
                  <c:v>9143</c:v>
                </c:pt>
                <c:pt idx="25">
                  <c:v>8323</c:v>
                </c:pt>
                <c:pt idx="26">
                  <c:v>8294</c:v>
                </c:pt>
                <c:pt idx="27">
                  <c:v>10046</c:v>
                </c:pt>
                <c:pt idx="28">
                  <c:v>13261</c:v>
                </c:pt>
                <c:pt idx="29">
                  <c:v>14094</c:v>
                </c:pt>
                <c:pt idx="30">
                  <c:v>19407</c:v>
                </c:pt>
                <c:pt idx="31">
                  <c:v>29567</c:v>
                </c:pt>
                <c:pt idx="32">
                  <c:v>44759</c:v>
                </c:pt>
                <c:pt idx="33">
                  <c:v>78106</c:v>
                </c:pt>
                <c:pt idx="34">
                  <c:v>116673</c:v>
                </c:pt>
                <c:pt idx="35">
                  <c:v>126141</c:v>
                </c:pt>
                <c:pt idx="36">
                  <c:v>125200</c:v>
                </c:pt>
                <c:pt idx="37">
                  <c:v>127330</c:v>
                </c:pt>
                <c:pt idx="38">
                  <c:v>124511</c:v>
                </c:pt>
                <c:pt idx="39">
                  <c:v>132961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0-401C-A533-B66FAF591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'KW-49'!$I$5:$I$44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3F0-401C-A533-B66FAF5913F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'KW-49'!$M$4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'KW-49'!$I$5:$I$44</c:f>
              <c:numCache>
                <c:formatCode>General</c:formatCode>
                <c:ptCount val="4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</c:numCache>
            </c:numRef>
          </c:cat>
          <c:val>
            <c:numRef>
              <c:f>'KW-49'!$M$5:$M$44</c:f>
              <c:numCache>
                <c:formatCode>0%</c:formatCode>
                <c:ptCount val="40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1.638600616558198E-2</c:v>
                </c:pt>
                <c:pt idx="11">
                  <c:v>1.4757522723423474E-2</c:v>
                </c:pt>
                <c:pt idx="12">
                  <c:v>1.0625291031377852E-2</c:v>
                </c:pt>
                <c:pt idx="13">
                  <c:v>9.1484118534949314E-3</c:v>
                </c:pt>
                <c:pt idx="14">
                  <c:v>8.6064621816892631E-3</c:v>
                </c:pt>
                <c:pt idx="15">
                  <c:v>1.3657213265823833E-2</c:v>
                </c:pt>
                <c:pt idx="16">
                  <c:v>7.9246533771248281E-3</c:v>
                </c:pt>
                <c:pt idx="17">
                  <c:v>6.1051338805312967E-3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8.0552338240316278E-3</c:v>
                </c:pt>
                <c:pt idx="21">
                  <c:v>9.7814598888547946E-3</c:v>
                </c:pt>
                <c:pt idx="22">
                  <c:v>1.013298584758248E-2</c:v>
                </c:pt>
                <c:pt idx="23">
                  <c:v>9.7212778793943858E-3</c:v>
                </c:pt>
                <c:pt idx="24">
                  <c:v>8.4310329882723526E-3</c:v>
                </c:pt>
                <c:pt idx="25">
                  <c:v>7.4253958709338975E-3</c:v>
                </c:pt>
                <c:pt idx="26">
                  <c:v>7.7346603053577486E-3</c:v>
                </c:pt>
                <c:pt idx="27">
                  <c:v>8.6236793220548502E-3</c:v>
                </c:pt>
                <c:pt idx="28">
                  <c:v>1.1565851042025529E-2</c:v>
                </c:pt>
                <c:pt idx="29">
                  <c:v>1.2192094256463048E-2</c:v>
                </c:pt>
                <c:pt idx="30">
                  <c:v>1.7437174687120104E-2</c:v>
                </c:pt>
                <c:pt idx="31">
                  <c:v>2.4880968209381505E-2</c:v>
                </c:pt>
                <c:pt idx="32">
                  <c:v>3.5418559233245446E-2</c:v>
                </c:pt>
                <c:pt idx="33">
                  <c:v>5.5053618528172456E-2</c:v>
                </c:pt>
                <c:pt idx="34">
                  <c:v>7.1519600721614035E-2</c:v>
                </c:pt>
                <c:pt idx="35">
                  <c:v>7.8439797901282554E-2</c:v>
                </c:pt>
                <c:pt idx="36">
                  <c:v>8.9679160625977736E-2</c:v>
                </c:pt>
                <c:pt idx="37">
                  <c:v>9.3370907552315349E-2</c:v>
                </c:pt>
                <c:pt idx="38">
                  <c:v>9.2912208331809812E-2</c:v>
                </c:pt>
                <c:pt idx="39">
                  <c:v>0.10249032030296701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0-401C-A533-B66FAF591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'KW-49'!$I$5:$I$44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13F0-401C-A533-B66FAF5913FD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'KW-30'!$P$3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'KW-30'!$O$4:$O$24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'KW-30'!$P$4:$P$24</c:f>
              <c:numCache>
                <c:formatCode>#,##0</c:formatCode>
                <c:ptCount val="21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387249</c:v>
                </c:pt>
                <c:pt idx="16">
                  <c:v>466743</c:v>
                </c:pt>
                <c:pt idx="17">
                  <c:v>505518</c:v>
                </c:pt>
                <c:pt idx="18">
                  <c:v>509398</c:v>
                </c:pt>
                <c:pt idx="19">
                  <c:v>537334</c:v>
                </c:pt>
                <c:pt idx="20">
                  <c:v>563553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3-4816-8F60-B3C6A6326827}"/>
            </c:ext>
          </c:extLst>
        </c:ser>
        <c:ser>
          <c:idx val="1"/>
          <c:order val="1"/>
          <c:tx>
            <c:strRef>
              <c:f>'KW-30'!$Q$3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'KW-30'!$O$4:$O$24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'KW-30'!$Q$4:$Q$24</c:f>
              <c:numCache>
                <c:formatCode>#,##0</c:formatCode>
                <c:ptCount val="21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5307</c:v>
                </c:pt>
                <c:pt idx="16">
                  <c:v>3673</c:v>
                </c:pt>
                <c:pt idx="17">
                  <c:v>3080</c:v>
                </c:pt>
                <c:pt idx="18">
                  <c:v>2989</c:v>
                </c:pt>
                <c:pt idx="19">
                  <c:v>3480</c:v>
                </c:pt>
                <c:pt idx="20">
                  <c:v>4364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53-4816-8F60-B3C6A6326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'KW-30'!$S$3</c15:sqref>
                        </c15:formulaRef>
                      </c:ext>
                    </c:extLst>
                    <c:strCache>
                      <c:ptCount val="1"/>
                      <c:pt idx="0">
                        <c:v>Anzahl
Labore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'KW-30'!$O$4:$O$24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'KW-30'!$S$4:$S$24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90</c:v>
                      </c:pt>
                      <c:pt idx="1">
                        <c:v>114</c:v>
                      </c:pt>
                      <c:pt idx="2">
                        <c:v>152</c:v>
                      </c:pt>
                      <c:pt idx="3">
                        <c:v>151</c:v>
                      </c:pt>
                      <c:pt idx="4">
                        <c:v>154</c:v>
                      </c:pt>
                      <c:pt idx="5">
                        <c:v>164</c:v>
                      </c:pt>
                      <c:pt idx="6">
                        <c:v>168</c:v>
                      </c:pt>
                      <c:pt idx="7">
                        <c:v>178</c:v>
                      </c:pt>
                      <c:pt idx="8">
                        <c:v>175</c:v>
                      </c:pt>
                      <c:pt idx="9">
                        <c:v>182</c:v>
                      </c:pt>
                      <c:pt idx="10">
                        <c:v>183</c:v>
                      </c:pt>
                      <c:pt idx="11">
                        <c:v>179</c:v>
                      </c:pt>
                      <c:pt idx="12">
                        <c:v>178</c:v>
                      </c:pt>
                      <c:pt idx="13">
                        <c:v>176</c:v>
                      </c:pt>
                      <c:pt idx="14">
                        <c:v>172</c:v>
                      </c:pt>
                      <c:pt idx="15">
                        <c:v>174</c:v>
                      </c:pt>
                      <c:pt idx="16">
                        <c:v>179</c:v>
                      </c:pt>
                      <c:pt idx="17">
                        <c:v>150</c:v>
                      </c:pt>
                      <c:pt idx="18">
                        <c:v>177</c:v>
                      </c:pt>
                      <c:pt idx="19">
                        <c:v>173</c:v>
                      </c:pt>
                      <c:pt idx="20">
                        <c:v>171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053-4816-8F60-B3C6A632682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'KW-30'!$R$3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'KW-30'!$O$4:$O$24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'KW-30'!$R$4:$R$24</c:f>
              <c:numCache>
                <c:formatCode>0.0</c:formatCode>
                <c:ptCount val="21"/>
                <c:pt idx="0">
                  <c:v>3.1</c:v>
                </c:pt>
                <c:pt idx="1">
                  <c:v>5.9</c:v>
                </c:pt>
                <c:pt idx="2">
                  <c:v>6.8</c:v>
                </c:pt>
                <c:pt idx="3">
                  <c:v>8.6999999999999993</c:v>
                </c:pt>
                <c:pt idx="4">
                  <c:v>9</c:v>
                </c:pt>
                <c:pt idx="5">
                  <c:v>8.1</c:v>
                </c:pt>
                <c:pt idx="6">
                  <c:v>6.7</c:v>
                </c:pt>
                <c:pt idx="7">
                  <c:v>5</c:v>
                </c:pt>
                <c:pt idx="8">
                  <c:v>3.9</c:v>
                </c:pt>
                <c:pt idx="9">
                  <c:v>2.7</c:v>
                </c:pt>
                <c:pt idx="10">
                  <c:v>1.7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0.9</c:v>
                </c:pt>
                <c:pt idx="14">
                  <c:v>0.9</c:v>
                </c:pt>
                <c:pt idx="15">
                  <c:v>1.4</c:v>
                </c:pt>
                <c:pt idx="16">
                  <c:v>0.8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53-4816-8F60-B3C6A6326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layout>
        <c:manualLayout>
          <c:xMode val="edge"/>
          <c:yMode val="edge"/>
          <c:x val="0.382570606354659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'KW-48'!$J$4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'KW-48'!$I$5:$I$43</c:f>
              <c:numCache>
                <c:formatCode>General</c:formatCode>
                <c:ptCount val="3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</c:numCache>
            </c:numRef>
          </c:cat>
          <c:val>
            <c:numRef>
              <c:f>'KW-48'!$J$5:$J$43</c:f>
              <c:numCache>
                <c:formatCode>#,##0</c:formatCode>
                <c:ptCount val="39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432076</c:v>
                </c:pt>
                <c:pt idx="11">
                  <c:v>354260</c:v>
                </c:pt>
                <c:pt idx="12">
                  <c:v>401589</c:v>
                </c:pt>
                <c:pt idx="13">
                  <c:v>337217</c:v>
                </c:pt>
                <c:pt idx="14">
                  <c:v>327196</c:v>
                </c:pt>
                <c:pt idx="15">
                  <c:v>386316</c:v>
                </c:pt>
                <c:pt idx="16">
                  <c:v>464626</c:v>
                </c:pt>
                <c:pt idx="17">
                  <c:v>506459</c:v>
                </c:pt>
                <c:pt idx="18">
                  <c:v>510551</c:v>
                </c:pt>
                <c:pt idx="19">
                  <c:v>538701</c:v>
                </c:pt>
                <c:pt idx="20">
                  <c:v>553429</c:v>
                </c:pt>
                <c:pt idx="21">
                  <c:v>586620</c:v>
                </c:pt>
                <c:pt idx="22">
                  <c:v>716768</c:v>
                </c:pt>
                <c:pt idx="23">
                  <c:v>835384</c:v>
                </c:pt>
                <c:pt idx="24">
                  <c:v>1084446</c:v>
                </c:pt>
                <c:pt idx="25">
                  <c:v>1120883</c:v>
                </c:pt>
                <c:pt idx="26">
                  <c:v>1072316</c:v>
                </c:pt>
                <c:pt idx="27">
                  <c:v>1164932</c:v>
                </c:pt>
                <c:pt idx="28">
                  <c:v>1146565</c:v>
                </c:pt>
                <c:pt idx="29">
                  <c:v>1155995</c:v>
                </c:pt>
                <c:pt idx="30">
                  <c:v>1112967</c:v>
                </c:pt>
                <c:pt idx="31">
                  <c:v>1188338</c:v>
                </c:pt>
                <c:pt idx="32">
                  <c:v>1263716</c:v>
                </c:pt>
                <c:pt idx="33">
                  <c:v>1409437</c:v>
                </c:pt>
                <c:pt idx="34">
                  <c:v>1626132</c:v>
                </c:pt>
                <c:pt idx="35">
                  <c:v>1602839</c:v>
                </c:pt>
                <c:pt idx="36">
                  <c:v>1390324</c:v>
                </c:pt>
                <c:pt idx="37">
                  <c:v>1360981</c:v>
                </c:pt>
                <c:pt idx="38">
                  <c:v>1312802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5-4B3A-ADB6-AE11A1BCD05C}"/>
            </c:ext>
          </c:extLst>
        </c:ser>
        <c:ser>
          <c:idx val="1"/>
          <c:order val="1"/>
          <c:tx>
            <c:strRef>
              <c:f>'KW-48'!$K$4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'KW-48'!$I$5:$I$43</c:f>
              <c:numCache>
                <c:formatCode>General</c:formatCode>
                <c:ptCount val="3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</c:numCache>
            </c:numRef>
          </c:cat>
          <c:val>
            <c:numRef>
              <c:f>'KW-48'!$K$5:$K$43</c:f>
              <c:numCache>
                <c:formatCode>#,##0</c:formatCode>
                <c:ptCount val="39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7080</c:v>
                </c:pt>
                <c:pt idx="11">
                  <c:v>5228</c:v>
                </c:pt>
                <c:pt idx="12">
                  <c:v>4267</c:v>
                </c:pt>
                <c:pt idx="13">
                  <c:v>3085</c:v>
                </c:pt>
                <c:pt idx="14">
                  <c:v>2816</c:v>
                </c:pt>
                <c:pt idx="15">
                  <c:v>5276</c:v>
                </c:pt>
                <c:pt idx="16">
                  <c:v>3682</c:v>
                </c:pt>
                <c:pt idx="17">
                  <c:v>3092</c:v>
                </c:pt>
                <c:pt idx="18">
                  <c:v>2992</c:v>
                </c:pt>
                <c:pt idx="19">
                  <c:v>3497</c:v>
                </c:pt>
                <c:pt idx="20">
                  <c:v>4458</c:v>
                </c:pt>
                <c:pt idx="21">
                  <c:v>5738</c:v>
                </c:pt>
                <c:pt idx="22">
                  <c:v>7263</c:v>
                </c:pt>
                <c:pt idx="23">
                  <c:v>8121</c:v>
                </c:pt>
                <c:pt idx="24">
                  <c:v>9143</c:v>
                </c:pt>
                <c:pt idx="25">
                  <c:v>8323</c:v>
                </c:pt>
                <c:pt idx="26">
                  <c:v>8294</c:v>
                </c:pt>
                <c:pt idx="27">
                  <c:v>10046</c:v>
                </c:pt>
                <c:pt idx="28">
                  <c:v>13261</c:v>
                </c:pt>
                <c:pt idx="29">
                  <c:v>14094</c:v>
                </c:pt>
                <c:pt idx="30">
                  <c:v>19407</c:v>
                </c:pt>
                <c:pt idx="31">
                  <c:v>29567</c:v>
                </c:pt>
                <c:pt idx="32">
                  <c:v>44759</c:v>
                </c:pt>
                <c:pt idx="33">
                  <c:v>77575</c:v>
                </c:pt>
                <c:pt idx="34">
                  <c:v>116411</c:v>
                </c:pt>
                <c:pt idx="35">
                  <c:v>125867</c:v>
                </c:pt>
                <c:pt idx="36">
                  <c:v>124966</c:v>
                </c:pt>
                <c:pt idx="37">
                  <c:v>127178</c:v>
                </c:pt>
                <c:pt idx="38">
                  <c:v>121830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4B3A-ADB6-AE11A1BCD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'KW-48'!$I$5:$I$43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25-4B3A-ADB6-AE11A1BCD05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'KW-48'!$M$4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'KW-48'!$I$5:$I$43</c:f>
              <c:numCache>
                <c:formatCode>General</c:formatCode>
                <c:ptCount val="3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</c:numCache>
            </c:numRef>
          </c:cat>
          <c:val>
            <c:numRef>
              <c:f>'KW-48'!$M$5:$M$43</c:f>
              <c:numCache>
                <c:formatCode>0%</c:formatCode>
                <c:ptCount val="39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1.638600616558198E-2</c:v>
                </c:pt>
                <c:pt idx="11">
                  <c:v>1.4757522723423474E-2</c:v>
                </c:pt>
                <c:pt idx="12">
                  <c:v>1.0625291031377852E-2</c:v>
                </c:pt>
                <c:pt idx="13">
                  <c:v>9.1484118534949314E-3</c:v>
                </c:pt>
                <c:pt idx="14">
                  <c:v>8.6064621816892631E-3</c:v>
                </c:pt>
                <c:pt idx="15">
                  <c:v>1.3657213265823833E-2</c:v>
                </c:pt>
                <c:pt idx="16">
                  <c:v>7.9246533771248281E-3</c:v>
                </c:pt>
                <c:pt idx="17">
                  <c:v>6.1051338805312967E-3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8.0552338240316278E-3</c:v>
                </c:pt>
                <c:pt idx="21">
                  <c:v>9.7814598888547946E-3</c:v>
                </c:pt>
                <c:pt idx="22">
                  <c:v>1.013298584758248E-2</c:v>
                </c:pt>
                <c:pt idx="23">
                  <c:v>9.7212778793943858E-3</c:v>
                </c:pt>
                <c:pt idx="24">
                  <c:v>8.4310329882723526E-3</c:v>
                </c:pt>
                <c:pt idx="25">
                  <c:v>7.4253958709338975E-3</c:v>
                </c:pt>
                <c:pt idx="26">
                  <c:v>7.7346603053577486E-3</c:v>
                </c:pt>
                <c:pt idx="27">
                  <c:v>8.6236793220548502E-3</c:v>
                </c:pt>
                <c:pt idx="28">
                  <c:v>1.1565851042025529E-2</c:v>
                </c:pt>
                <c:pt idx="29">
                  <c:v>1.2192094256463048E-2</c:v>
                </c:pt>
                <c:pt idx="30">
                  <c:v>1.7437174687120104E-2</c:v>
                </c:pt>
                <c:pt idx="31">
                  <c:v>2.4880968209381505E-2</c:v>
                </c:pt>
                <c:pt idx="32">
                  <c:v>3.5418559233245446E-2</c:v>
                </c:pt>
                <c:pt idx="33">
                  <c:v>5.5039707344138121E-2</c:v>
                </c:pt>
                <c:pt idx="34">
                  <c:v>7.158766938969284E-2</c:v>
                </c:pt>
                <c:pt idx="35">
                  <c:v>7.852753770029304E-2</c:v>
                </c:pt>
                <c:pt idx="36">
                  <c:v>8.9882646059479668E-2</c:v>
                </c:pt>
                <c:pt idx="37">
                  <c:v>9.3445830617767622E-2</c:v>
                </c:pt>
                <c:pt idx="38">
                  <c:v>9.2801503958708162E-2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25-4B3A-ADB6-AE11A1BCD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'KW-48'!$I$5:$I$43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2B25-4B3A-ADB6-AE11A1BCD05C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layout>
        <c:manualLayout>
          <c:xMode val="edge"/>
          <c:yMode val="edge"/>
          <c:x val="0.382570606354659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'KW-47'!$J$4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'KW-47'!$I$5:$I$42</c:f>
              <c:numCache>
                <c:formatCode>General</c:formatCode>
                <c:ptCount val="3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</c:numCache>
            </c:numRef>
          </c:cat>
          <c:val>
            <c:numRef>
              <c:f>'KW-47'!$J$5:$J$42</c:f>
              <c:numCache>
                <c:formatCode>#,##0</c:formatCode>
                <c:ptCount val="38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432076</c:v>
                </c:pt>
                <c:pt idx="11">
                  <c:v>354260</c:v>
                </c:pt>
                <c:pt idx="12">
                  <c:v>401589</c:v>
                </c:pt>
                <c:pt idx="13">
                  <c:v>337217</c:v>
                </c:pt>
                <c:pt idx="14">
                  <c:v>327196</c:v>
                </c:pt>
                <c:pt idx="15">
                  <c:v>386316</c:v>
                </c:pt>
                <c:pt idx="16">
                  <c:v>464626</c:v>
                </c:pt>
                <c:pt idx="17">
                  <c:v>506459</c:v>
                </c:pt>
                <c:pt idx="18">
                  <c:v>510551</c:v>
                </c:pt>
                <c:pt idx="19">
                  <c:v>538701</c:v>
                </c:pt>
                <c:pt idx="20">
                  <c:v>595955</c:v>
                </c:pt>
                <c:pt idx="21">
                  <c:v>586620</c:v>
                </c:pt>
                <c:pt idx="22">
                  <c:v>716768</c:v>
                </c:pt>
                <c:pt idx="23">
                  <c:v>835384</c:v>
                </c:pt>
                <c:pt idx="24">
                  <c:v>1084446</c:v>
                </c:pt>
                <c:pt idx="25">
                  <c:v>1120883</c:v>
                </c:pt>
                <c:pt idx="26">
                  <c:v>1072316</c:v>
                </c:pt>
                <c:pt idx="27">
                  <c:v>1164932</c:v>
                </c:pt>
                <c:pt idx="28">
                  <c:v>1146565</c:v>
                </c:pt>
                <c:pt idx="29">
                  <c:v>1155995</c:v>
                </c:pt>
                <c:pt idx="30">
                  <c:v>1112967</c:v>
                </c:pt>
                <c:pt idx="31">
                  <c:v>1188338</c:v>
                </c:pt>
                <c:pt idx="32">
                  <c:v>1263716</c:v>
                </c:pt>
                <c:pt idx="33">
                  <c:v>1409437</c:v>
                </c:pt>
                <c:pt idx="34">
                  <c:v>1626132</c:v>
                </c:pt>
                <c:pt idx="35">
                  <c:v>1602839</c:v>
                </c:pt>
                <c:pt idx="36">
                  <c:v>1389381</c:v>
                </c:pt>
                <c:pt idx="37">
                  <c:v>1350270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2-4AF5-9C28-97A3D6BE0149}"/>
            </c:ext>
          </c:extLst>
        </c:ser>
        <c:ser>
          <c:idx val="1"/>
          <c:order val="1"/>
          <c:tx>
            <c:strRef>
              <c:f>'KW-47'!$K$4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'KW-47'!$I$5:$I$42</c:f>
              <c:numCache>
                <c:formatCode>General</c:formatCode>
                <c:ptCount val="3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</c:numCache>
            </c:numRef>
          </c:cat>
          <c:val>
            <c:numRef>
              <c:f>'KW-47'!$K$5:$K$42</c:f>
              <c:numCache>
                <c:formatCode>#,##0</c:formatCode>
                <c:ptCount val="38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7080</c:v>
                </c:pt>
                <c:pt idx="11">
                  <c:v>5228</c:v>
                </c:pt>
                <c:pt idx="12">
                  <c:v>4267</c:v>
                </c:pt>
                <c:pt idx="13">
                  <c:v>3085</c:v>
                </c:pt>
                <c:pt idx="14">
                  <c:v>2816</c:v>
                </c:pt>
                <c:pt idx="15">
                  <c:v>5276</c:v>
                </c:pt>
                <c:pt idx="16">
                  <c:v>3682</c:v>
                </c:pt>
                <c:pt idx="17">
                  <c:v>3092</c:v>
                </c:pt>
                <c:pt idx="18">
                  <c:v>2992</c:v>
                </c:pt>
                <c:pt idx="19">
                  <c:v>3497</c:v>
                </c:pt>
                <c:pt idx="20">
                  <c:v>4565</c:v>
                </c:pt>
                <c:pt idx="21">
                  <c:v>5738</c:v>
                </c:pt>
                <c:pt idx="22">
                  <c:v>7263</c:v>
                </c:pt>
                <c:pt idx="23">
                  <c:v>8121</c:v>
                </c:pt>
                <c:pt idx="24">
                  <c:v>9143</c:v>
                </c:pt>
                <c:pt idx="25">
                  <c:v>8323</c:v>
                </c:pt>
                <c:pt idx="26">
                  <c:v>8294</c:v>
                </c:pt>
                <c:pt idx="27">
                  <c:v>10046</c:v>
                </c:pt>
                <c:pt idx="28">
                  <c:v>13261</c:v>
                </c:pt>
                <c:pt idx="29">
                  <c:v>14094</c:v>
                </c:pt>
                <c:pt idx="30">
                  <c:v>19407</c:v>
                </c:pt>
                <c:pt idx="31">
                  <c:v>29567</c:v>
                </c:pt>
                <c:pt idx="32">
                  <c:v>44759</c:v>
                </c:pt>
                <c:pt idx="33">
                  <c:v>77575</c:v>
                </c:pt>
                <c:pt idx="34">
                  <c:v>116411</c:v>
                </c:pt>
                <c:pt idx="35">
                  <c:v>125867</c:v>
                </c:pt>
                <c:pt idx="36">
                  <c:v>124915</c:v>
                </c:pt>
                <c:pt idx="37">
                  <c:v>126852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2-4AF5-9C28-97A3D6BE0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'KW-47'!$I$5:$I$42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BB2-4AF5-9C28-97A3D6BE014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'KW-47'!$M$4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'KW-47'!$I$5:$I$42</c:f>
              <c:numCache>
                <c:formatCode>General</c:formatCode>
                <c:ptCount val="3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</c:numCache>
            </c:numRef>
          </c:cat>
          <c:val>
            <c:numRef>
              <c:f>'KW-47'!$M$5:$M$42</c:f>
              <c:numCache>
                <c:formatCode>0%</c:formatCode>
                <c:ptCount val="38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1.638600616558198E-2</c:v>
                </c:pt>
                <c:pt idx="11">
                  <c:v>1.4757522723423474E-2</c:v>
                </c:pt>
                <c:pt idx="12">
                  <c:v>1.0625291031377852E-2</c:v>
                </c:pt>
                <c:pt idx="13">
                  <c:v>9.1484118534949314E-3</c:v>
                </c:pt>
                <c:pt idx="14">
                  <c:v>8.6064621816892631E-3</c:v>
                </c:pt>
                <c:pt idx="15">
                  <c:v>1.3657213265823833E-2</c:v>
                </c:pt>
                <c:pt idx="16">
                  <c:v>7.9246533771248281E-3</c:v>
                </c:pt>
                <c:pt idx="17">
                  <c:v>6.1051338805312967E-3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7.6599743269206572E-3</c:v>
                </c:pt>
                <c:pt idx="21">
                  <c:v>9.7814598888547946E-3</c:v>
                </c:pt>
                <c:pt idx="22">
                  <c:v>1.013298584758248E-2</c:v>
                </c:pt>
                <c:pt idx="23">
                  <c:v>9.7212778793943858E-3</c:v>
                </c:pt>
                <c:pt idx="24">
                  <c:v>8.4310329882723526E-3</c:v>
                </c:pt>
                <c:pt idx="25">
                  <c:v>7.4253958709338975E-3</c:v>
                </c:pt>
                <c:pt idx="26">
                  <c:v>7.7346603053577486E-3</c:v>
                </c:pt>
                <c:pt idx="27">
                  <c:v>8.6236793220548502E-3</c:v>
                </c:pt>
                <c:pt idx="28">
                  <c:v>1.1565851042025529E-2</c:v>
                </c:pt>
                <c:pt idx="29">
                  <c:v>1.2192094256463048E-2</c:v>
                </c:pt>
                <c:pt idx="30">
                  <c:v>1.7437174687120104E-2</c:v>
                </c:pt>
                <c:pt idx="31">
                  <c:v>2.4880968209381505E-2</c:v>
                </c:pt>
                <c:pt idx="32">
                  <c:v>3.5418559233245446E-2</c:v>
                </c:pt>
                <c:pt idx="33">
                  <c:v>5.5039707344138121E-2</c:v>
                </c:pt>
                <c:pt idx="34">
                  <c:v>7.158766938969284E-2</c:v>
                </c:pt>
                <c:pt idx="35">
                  <c:v>7.852753770029304E-2</c:v>
                </c:pt>
                <c:pt idx="36">
                  <c:v>8.9906944171541145E-2</c:v>
                </c:pt>
                <c:pt idx="37">
                  <c:v>9.3945655313381768E-2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2-4AF5-9C28-97A3D6BE0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'KW-47'!$I$5:$I$42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BB2-4AF5-9C28-97A3D6BE0149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'KW-45'!$Q$1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'KW-45'!$P$2:$P$37</c:f>
              <c:numCache>
                <c:formatCode>General</c:formatCode>
                <c:ptCount val="3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</c:numCache>
            </c:numRef>
          </c:cat>
          <c:val>
            <c:numRef>
              <c:f>'KW-45'!$Q$2:$Q$37</c:f>
              <c:numCache>
                <c:formatCode>#,##0</c:formatCode>
                <c:ptCount val="36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432076</c:v>
                </c:pt>
                <c:pt idx="11">
                  <c:v>354260</c:v>
                </c:pt>
                <c:pt idx="12">
                  <c:v>401589</c:v>
                </c:pt>
                <c:pt idx="13">
                  <c:v>337217</c:v>
                </c:pt>
                <c:pt idx="14">
                  <c:v>327196</c:v>
                </c:pt>
                <c:pt idx="15">
                  <c:v>386316</c:v>
                </c:pt>
                <c:pt idx="16">
                  <c:v>464626</c:v>
                </c:pt>
                <c:pt idx="17">
                  <c:v>506459</c:v>
                </c:pt>
                <c:pt idx="18">
                  <c:v>510551</c:v>
                </c:pt>
                <c:pt idx="19">
                  <c:v>538701</c:v>
                </c:pt>
                <c:pt idx="20">
                  <c:v>553429</c:v>
                </c:pt>
                <c:pt idx="21">
                  <c:v>586620</c:v>
                </c:pt>
                <c:pt idx="22">
                  <c:v>716768</c:v>
                </c:pt>
                <c:pt idx="23">
                  <c:v>835384</c:v>
                </c:pt>
                <c:pt idx="24">
                  <c:v>1084446</c:v>
                </c:pt>
                <c:pt idx="25">
                  <c:v>1120883</c:v>
                </c:pt>
                <c:pt idx="26">
                  <c:v>1072316</c:v>
                </c:pt>
                <c:pt idx="27">
                  <c:v>1164932</c:v>
                </c:pt>
                <c:pt idx="28">
                  <c:v>1146565</c:v>
                </c:pt>
                <c:pt idx="29">
                  <c:v>1155995</c:v>
                </c:pt>
                <c:pt idx="30">
                  <c:v>1101413</c:v>
                </c:pt>
                <c:pt idx="31">
                  <c:v>1188338</c:v>
                </c:pt>
                <c:pt idx="32">
                  <c:v>1261398</c:v>
                </c:pt>
                <c:pt idx="33">
                  <c:v>1405543</c:v>
                </c:pt>
                <c:pt idx="34">
                  <c:v>1614670</c:v>
                </c:pt>
                <c:pt idx="35">
                  <c:v>1565418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8-42C2-8413-D31F5A61329A}"/>
            </c:ext>
          </c:extLst>
        </c:ser>
        <c:ser>
          <c:idx val="1"/>
          <c:order val="1"/>
          <c:tx>
            <c:strRef>
              <c:f>'KW-45'!$R$1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'KW-45'!$P$2:$P$37</c:f>
              <c:numCache>
                <c:formatCode>General</c:formatCode>
                <c:ptCount val="3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</c:numCache>
            </c:numRef>
          </c:cat>
          <c:val>
            <c:numRef>
              <c:f>'KW-45'!$R$2:$R$37</c:f>
              <c:numCache>
                <c:formatCode>#,##0</c:formatCode>
                <c:ptCount val="36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7080</c:v>
                </c:pt>
                <c:pt idx="11">
                  <c:v>5228</c:v>
                </c:pt>
                <c:pt idx="12">
                  <c:v>4267</c:v>
                </c:pt>
                <c:pt idx="13">
                  <c:v>3085</c:v>
                </c:pt>
                <c:pt idx="14">
                  <c:v>2816</c:v>
                </c:pt>
                <c:pt idx="15">
                  <c:v>5276</c:v>
                </c:pt>
                <c:pt idx="16">
                  <c:v>3682</c:v>
                </c:pt>
                <c:pt idx="17">
                  <c:v>3092</c:v>
                </c:pt>
                <c:pt idx="18">
                  <c:v>2992</c:v>
                </c:pt>
                <c:pt idx="19">
                  <c:v>3497</c:v>
                </c:pt>
                <c:pt idx="20">
                  <c:v>4458</c:v>
                </c:pt>
                <c:pt idx="21">
                  <c:v>5738</c:v>
                </c:pt>
                <c:pt idx="22">
                  <c:v>7263</c:v>
                </c:pt>
                <c:pt idx="23">
                  <c:v>8121</c:v>
                </c:pt>
                <c:pt idx="24">
                  <c:v>9143</c:v>
                </c:pt>
                <c:pt idx="25">
                  <c:v>8323</c:v>
                </c:pt>
                <c:pt idx="26">
                  <c:v>8294</c:v>
                </c:pt>
                <c:pt idx="27">
                  <c:v>10046</c:v>
                </c:pt>
                <c:pt idx="28">
                  <c:v>13261</c:v>
                </c:pt>
                <c:pt idx="29">
                  <c:v>14094</c:v>
                </c:pt>
                <c:pt idx="30">
                  <c:v>18290</c:v>
                </c:pt>
                <c:pt idx="31">
                  <c:v>29567</c:v>
                </c:pt>
                <c:pt idx="32">
                  <c:v>44733</c:v>
                </c:pt>
                <c:pt idx="33">
                  <c:v>77393</c:v>
                </c:pt>
                <c:pt idx="34">
                  <c:v>115758</c:v>
                </c:pt>
                <c:pt idx="35">
                  <c:v>123383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8-42C2-8413-D31F5A613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'KW-45'!$P$2:$P$37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378-42C2-8413-D31F5A61329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'KW-45'!$T$1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'KW-45'!$P$2:$P$37</c:f>
              <c:numCache>
                <c:formatCode>General</c:formatCode>
                <c:ptCount val="3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</c:numCache>
            </c:numRef>
          </c:cat>
          <c:val>
            <c:numRef>
              <c:f>'KW-45'!$T$2:$T$37</c:f>
              <c:numCache>
                <c:formatCode>0%</c:formatCode>
                <c:ptCount val="36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1.638600616558198E-2</c:v>
                </c:pt>
                <c:pt idx="11">
                  <c:v>1.4757522723423474E-2</c:v>
                </c:pt>
                <c:pt idx="12">
                  <c:v>1.0625291031377852E-2</c:v>
                </c:pt>
                <c:pt idx="13">
                  <c:v>9.1484118534949314E-3</c:v>
                </c:pt>
                <c:pt idx="14">
                  <c:v>8.6064621816892631E-3</c:v>
                </c:pt>
                <c:pt idx="15">
                  <c:v>1.3657213265823833E-2</c:v>
                </c:pt>
                <c:pt idx="16">
                  <c:v>7.9246533771248281E-3</c:v>
                </c:pt>
                <c:pt idx="17">
                  <c:v>6.1051338805312967E-3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8.0552338240316278E-3</c:v>
                </c:pt>
                <c:pt idx="21">
                  <c:v>9.7814598888547946E-3</c:v>
                </c:pt>
                <c:pt idx="22">
                  <c:v>1.013298584758248E-2</c:v>
                </c:pt>
                <c:pt idx="23">
                  <c:v>9.7212778793943858E-3</c:v>
                </c:pt>
                <c:pt idx="24">
                  <c:v>8.4310329882723526E-3</c:v>
                </c:pt>
                <c:pt idx="25">
                  <c:v>7.4253958709338975E-3</c:v>
                </c:pt>
                <c:pt idx="26">
                  <c:v>7.7346603053577486E-3</c:v>
                </c:pt>
                <c:pt idx="27">
                  <c:v>8.6236793220548502E-3</c:v>
                </c:pt>
                <c:pt idx="28">
                  <c:v>1.1565851042025529E-2</c:v>
                </c:pt>
                <c:pt idx="29">
                  <c:v>1.2192094256463048E-2</c:v>
                </c:pt>
                <c:pt idx="30">
                  <c:v>1.6605941640420077E-2</c:v>
                </c:pt>
                <c:pt idx="31">
                  <c:v>2.4880968209381505E-2</c:v>
                </c:pt>
                <c:pt idx="32">
                  <c:v>3.5463033871942086E-2</c:v>
                </c:pt>
                <c:pt idx="33">
                  <c:v>5.506270530321733E-2</c:v>
                </c:pt>
                <c:pt idx="34">
                  <c:v>7.1691429208445068E-2</c:v>
                </c:pt>
                <c:pt idx="35">
                  <c:v>7.8817925946935583E-2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78-42C2-8413-D31F5A613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'KW-45'!$P$2:$P$37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B378-42C2-8413-D31F5A61329A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'KW-44'!$Q$2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'KW-44'!$P$3:$P$37</c:f>
              <c:numCache>
                <c:formatCode>General</c:formatCode>
                <c:ptCount val="3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</c:numCache>
            </c:numRef>
          </c:cat>
          <c:val>
            <c:numRef>
              <c:f>'KW-44'!$Q$3:$Q$37</c:f>
              <c:numCache>
                <c:formatCode>#,##0</c:formatCode>
                <c:ptCount val="35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432076</c:v>
                </c:pt>
                <c:pt idx="11">
                  <c:v>354260</c:v>
                </c:pt>
                <c:pt idx="12">
                  <c:v>401589</c:v>
                </c:pt>
                <c:pt idx="13">
                  <c:v>337217</c:v>
                </c:pt>
                <c:pt idx="14">
                  <c:v>327196</c:v>
                </c:pt>
                <c:pt idx="15">
                  <c:v>386316</c:v>
                </c:pt>
                <c:pt idx="16">
                  <c:v>464626</c:v>
                </c:pt>
                <c:pt idx="17">
                  <c:v>506459</c:v>
                </c:pt>
                <c:pt idx="18">
                  <c:v>510551</c:v>
                </c:pt>
                <c:pt idx="19">
                  <c:v>538701</c:v>
                </c:pt>
                <c:pt idx="20">
                  <c:v>553429</c:v>
                </c:pt>
                <c:pt idx="21">
                  <c:v>586620</c:v>
                </c:pt>
                <c:pt idx="22">
                  <c:v>716768</c:v>
                </c:pt>
                <c:pt idx="23">
                  <c:v>835384</c:v>
                </c:pt>
                <c:pt idx="24">
                  <c:v>1084446</c:v>
                </c:pt>
                <c:pt idx="25">
                  <c:v>1120883</c:v>
                </c:pt>
                <c:pt idx="26">
                  <c:v>1072316</c:v>
                </c:pt>
                <c:pt idx="27">
                  <c:v>1164932</c:v>
                </c:pt>
                <c:pt idx="28">
                  <c:v>1146565</c:v>
                </c:pt>
                <c:pt idx="29">
                  <c:v>1155995</c:v>
                </c:pt>
                <c:pt idx="30">
                  <c:v>1101413</c:v>
                </c:pt>
                <c:pt idx="31">
                  <c:v>1188338</c:v>
                </c:pt>
                <c:pt idx="32">
                  <c:v>1261398</c:v>
                </c:pt>
                <c:pt idx="33">
                  <c:v>1401443</c:v>
                </c:pt>
                <c:pt idx="34">
                  <c:v>1567083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C-436E-9334-E5A467EC2BCE}"/>
            </c:ext>
          </c:extLst>
        </c:ser>
        <c:ser>
          <c:idx val="1"/>
          <c:order val="1"/>
          <c:tx>
            <c:strRef>
              <c:f>'KW-44'!$R$2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'KW-44'!$P$3:$P$37</c:f>
              <c:numCache>
                <c:formatCode>General</c:formatCode>
                <c:ptCount val="3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</c:numCache>
            </c:numRef>
          </c:cat>
          <c:val>
            <c:numRef>
              <c:f>'KW-44'!$R$3:$R$37</c:f>
              <c:numCache>
                <c:formatCode>#,##0</c:formatCode>
                <c:ptCount val="35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7080</c:v>
                </c:pt>
                <c:pt idx="11">
                  <c:v>5228</c:v>
                </c:pt>
                <c:pt idx="12">
                  <c:v>4267</c:v>
                </c:pt>
                <c:pt idx="13">
                  <c:v>3085</c:v>
                </c:pt>
                <c:pt idx="14">
                  <c:v>2816</c:v>
                </c:pt>
                <c:pt idx="15">
                  <c:v>5276</c:v>
                </c:pt>
                <c:pt idx="16">
                  <c:v>3682</c:v>
                </c:pt>
                <c:pt idx="17">
                  <c:v>3092</c:v>
                </c:pt>
                <c:pt idx="18">
                  <c:v>2992</c:v>
                </c:pt>
                <c:pt idx="19">
                  <c:v>3497</c:v>
                </c:pt>
                <c:pt idx="20">
                  <c:v>4458</c:v>
                </c:pt>
                <c:pt idx="21">
                  <c:v>5738</c:v>
                </c:pt>
                <c:pt idx="22">
                  <c:v>7263</c:v>
                </c:pt>
                <c:pt idx="23">
                  <c:v>8121</c:v>
                </c:pt>
                <c:pt idx="24">
                  <c:v>9143</c:v>
                </c:pt>
                <c:pt idx="25">
                  <c:v>8323</c:v>
                </c:pt>
                <c:pt idx="26">
                  <c:v>8294</c:v>
                </c:pt>
                <c:pt idx="27">
                  <c:v>10046</c:v>
                </c:pt>
                <c:pt idx="28">
                  <c:v>13261</c:v>
                </c:pt>
                <c:pt idx="29">
                  <c:v>14094</c:v>
                </c:pt>
                <c:pt idx="30">
                  <c:v>18290</c:v>
                </c:pt>
                <c:pt idx="31">
                  <c:v>29567</c:v>
                </c:pt>
                <c:pt idx="32">
                  <c:v>44733</c:v>
                </c:pt>
                <c:pt idx="33">
                  <c:v>77168</c:v>
                </c:pt>
                <c:pt idx="34">
                  <c:v>113822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C-436E-9334-E5A467EC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'KW-44'!$P$3:$P$37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31C-436E-9334-E5A467EC2BC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'KW-44'!$T$2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'KW-44'!$P$3:$P$37</c:f>
              <c:numCache>
                <c:formatCode>General</c:formatCode>
                <c:ptCount val="3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</c:numCache>
            </c:numRef>
          </c:cat>
          <c:val>
            <c:numRef>
              <c:f>'KW-44'!$T$3:$T$37</c:f>
              <c:numCache>
                <c:formatCode>0%</c:formatCode>
                <c:ptCount val="35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1.638600616558198E-2</c:v>
                </c:pt>
                <c:pt idx="11">
                  <c:v>1.4757522723423474E-2</c:v>
                </c:pt>
                <c:pt idx="12">
                  <c:v>1.0625291031377852E-2</c:v>
                </c:pt>
                <c:pt idx="13">
                  <c:v>9.1484118534949314E-3</c:v>
                </c:pt>
                <c:pt idx="14">
                  <c:v>8.6064621816892631E-3</c:v>
                </c:pt>
                <c:pt idx="15">
                  <c:v>1.3657213265823833E-2</c:v>
                </c:pt>
                <c:pt idx="16">
                  <c:v>7.9246533771248281E-3</c:v>
                </c:pt>
                <c:pt idx="17">
                  <c:v>6.1051338805312967E-3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8.0552338240316278E-3</c:v>
                </c:pt>
                <c:pt idx="21">
                  <c:v>9.7814598888547946E-3</c:v>
                </c:pt>
                <c:pt idx="22">
                  <c:v>1.013298584758248E-2</c:v>
                </c:pt>
                <c:pt idx="23">
                  <c:v>9.7212778793943858E-3</c:v>
                </c:pt>
                <c:pt idx="24">
                  <c:v>8.4310329882723526E-3</c:v>
                </c:pt>
                <c:pt idx="25">
                  <c:v>7.4253958709338975E-3</c:v>
                </c:pt>
                <c:pt idx="26">
                  <c:v>7.7346603053577486E-3</c:v>
                </c:pt>
                <c:pt idx="27">
                  <c:v>8.6236793220548502E-3</c:v>
                </c:pt>
                <c:pt idx="28">
                  <c:v>1.1565851042025529E-2</c:v>
                </c:pt>
                <c:pt idx="29">
                  <c:v>1.2192094256463048E-2</c:v>
                </c:pt>
                <c:pt idx="30">
                  <c:v>1.6605941640420077E-2</c:v>
                </c:pt>
                <c:pt idx="31">
                  <c:v>2.4880968209381505E-2</c:v>
                </c:pt>
                <c:pt idx="32">
                  <c:v>3.5463033871942086E-2</c:v>
                </c:pt>
                <c:pt idx="33">
                  <c:v>5.5063245526218337E-2</c:v>
                </c:pt>
                <c:pt idx="34">
                  <c:v>7.2633038581874726E-2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1C-436E-9334-E5A467EC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'KW-44'!$P$3:$P$37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31C-436E-9334-E5A467EC2BCE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'KW-43'!$Q$2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'KW-43'!$P$3:$P$36</c:f>
              <c:numCache>
                <c:formatCode>General</c:formatCode>
                <c:ptCount val="3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</c:numCache>
            </c:numRef>
          </c:cat>
          <c:val>
            <c:numRef>
              <c:f>'KW-43'!$Q$3:$Q$36</c:f>
              <c:numCache>
                <c:formatCode>#,##0</c:formatCode>
                <c:ptCount val="34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507663</c:v>
                </c:pt>
                <c:pt idx="18">
                  <c:v>510551</c:v>
                </c:pt>
                <c:pt idx="19">
                  <c:v>538701</c:v>
                </c:pt>
                <c:pt idx="20">
                  <c:v>574883</c:v>
                </c:pt>
                <c:pt idx="21">
                  <c:v>586620</c:v>
                </c:pt>
                <c:pt idx="22">
                  <c:v>716768</c:v>
                </c:pt>
                <c:pt idx="23">
                  <c:v>877164</c:v>
                </c:pt>
                <c:pt idx="24">
                  <c:v>1092013</c:v>
                </c:pt>
                <c:pt idx="25">
                  <c:v>1121214</c:v>
                </c:pt>
                <c:pt idx="26">
                  <c:v>1099608</c:v>
                </c:pt>
                <c:pt idx="27">
                  <c:v>1165275</c:v>
                </c:pt>
                <c:pt idx="28">
                  <c:v>1146193</c:v>
                </c:pt>
                <c:pt idx="29">
                  <c:v>1168016</c:v>
                </c:pt>
                <c:pt idx="30">
                  <c:v>1101080</c:v>
                </c:pt>
                <c:pt idx="31">
                  <c:v>1213658</c:v>
                </c:pt>
                <c:pt idx="32">
                  <c:v>1212363</c:v>
                </c:pt>
                <c:pt idx="33">
                  <c:v>1358706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4-44AF-9C92-66AEC28FC2CD}"/>
            </c:ext>
          </c:extLst>
        </c:ser>
        <c:ser>
          <c:idx val="1"/>
          <c:order val="1"/>
          <c:tx>
            <c:strRef>
              <c:f>'KW-43'!$R$2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'KW-43'!$P$3:$P$36</c:f>
              <c:numCache>
                <c:formatCode>General</c:formatCode>
                <c:ptCount val="3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</c:numCache>
            </c:numRef>
          </c:cat>
          <c:val>
            <c:numRef>
              <c:f>'KW-43'!$R$3:$R$36</c:f>
              <c:numCache>
                <c:formatCode>#,##0</c:formatCode>
                <c:ptCount val="34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4539</c:v>
                </c:pt>
                <c:pt idx="21">
                  <c:v>5738</c:v>
                </c:pt>
                <c:pt idx="22">
                  <c:v>7263</c:v>
                </c:pt>
                <c:pt idx="23">
                  <c:v>8423</c:v>
                </c:pt>
                <c:pt idx="24">
                  <c:v>9206</c:v>
                </c:pt>
                <c:pt idx="25">
                  <c:v>8324</c:v>
                </c:pt>
                <c:pt idx="26">
                  <c:v>8175</c:v>
                </c:pt>
                <c:pt idx="27">
                  <c:v>10047</c:v>
                </c:pt>
                <c:pt idx="28">
                  <c:v>13253</c:v>
                </c:pt>
                <c:pt idx="29">
                  <c:v>14295</c:v>
                </c:pt>
                <c:pt idx="30">
                  <c:v>18279</c:v>
                </c:pt>
                <c:pt idx="31">
                  <c:v>30519</c:v>
                </c:pt>
                <c:pt idx="32">
                  <c:v>43927</c:v>
                </c:pt>
                <c:pt idx="33">
                  <c:v>76373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4-44AF-9C92-66AEC28FC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'KW-43'!$P$3:$P$36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AE4-44AF-9C92-66AEC28FC2C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'KW-43'!$T$2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'KW-43'!$P$3:$P$36</c:f>
              <c:numCache>
                <c:formatCode>General</c:formatCode>
                <c:ptCount val="3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</c:numCache>
            </c:numRef>
          </c:cat>
          <c:val>
            <c:numRef>
              <c:f>'KW-43'!$T$3:$T$36</c:f>
              <c:numCache>
                <c:formatCode>0%</c:formatCode>
                <c:ptCount val="34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6.1142923553617265E-3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7.8955196100771816E-3</c:v>
                </c:pt>
                <c:pt idx="21">
                  <c:v>9.7814598888547946E-3</c:v>
                </c:pt>
                <c:pt idx="22">
                  <c:v>1.013298584758248E-2</c:v>
                </c:pt>
                <c:pt idx="23">
                  <c:v>9.6025372678313296E-3</c:v>
                </c:pt>
                <c:pt idx="24">
                  <c:v>8.430302569658054E-3</c:v>
                </c:pt>
                <c:pt idx="25">
                  <c:v>7.4240956677315839E-3</c:v>
                </c:pt>
                <c:pt idx="26">
                  <c:v>7.4344675557107623E-3</c:v>
                </c:pt>
                <c:pt idx="27">
                  <c:v>8.6219990989251458E-3</c:v>
                </c:pt>
                <c:pt idx="28">
                  <c:v>1.1562625142537078E-2</c:v>
                </c:pt>
                <c:pt idx="29">
                  <c:v>1.2238702209558774E-2</c:v>
                </c:pt>
                <c:pt idx="30">
                  <c:v>1.6600973589566609E-2</c:v>
                </c:pt>
                <c:pt idx="31">
                  <c:v>2.5146293272074998E-2</c:v>
                </c:pt>
                <c:pt idx="32">
                  <c:v>3.623254751258493E-2</c:v>
                </c:pt>
                <c:pt idx="33">
                  <c:v>5.6210099903879131E-2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4-44AF-9C92-66AEC28FC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'KW-43'!$P$3:$P$36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FAE4-44AF-9C92-66AEC28FC2CD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'KW-42'!$Q$3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'KW-42'!$P$4:$P$37</c:f>
              <c:numCache>
                <c:formatCode>General</c:formatCode>
                <c:ptCount val="3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</c:numCache>
            </c:numRef>
          </c:cat>
          <c:val>
            <c:numRef>
              <c:f>'KW-42'!$Q$4:$Q$37</c:f>
              <c:numCache>
                <c:formatCode>#,##0</c:formatCode>
                <c:ptCount val="34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507663</c:v>
                </c:pt>
                <c:pt idx="18">
                  <c:v>510551</c:v>
                </c:pt>
                <c:pt idx="19">
                  <c:v>538701</c:v>
                </c:pt>
                <c:pt idx="20">
                  <c:v>574883</c:v>
                </c:pt>
                <c:pt idx="21">
                  <c:v>586620</c:v>
                </c:pt>
                <c:pt idx="22">
                  <c:v>716768</c:v>
                </c:pt>
                <c:pt idx="23">
                  <c:v>835384</c:v>
                </c:pt>
                <c:pt idx="24">
                  <c:v>1084446</c:v>
                </c:pt>
                <c:pt idx="25">
                  <c:v>1120883</c:v>
                </c:pt>
                <c:pt idx="26">
                  <c:v>1062581</c:v>
                </c:pt>
                <c:pt idx="27">
                  <c:v>1164932</c:v>
                </c:pt>
                <c:pt idx="28">
                  <c:v>1146193</c:v>
                </c:pt>
                <c:pt idx="29">
                  <c:v>1155333</c:v>
                </c:pt>
                <c:pt idx="30">
                  <c:v>1101080</c:v>
                </c:pt>
                <c:pt idx="31">
                  <c:v>1186206</c:v>
                </c:pt>
                <c:pt idx="32">
                  <c:v>1195661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B-4AA7-91C7-D1469059E715}"/>
            </c:ext>
          </c:extLst>
        </c:ser>
        <c:ser>
          <c:idx val="1"/>
          <c:order val="1"/>
          <c:tx>
            <c:strRef>
              <c:f>'KW-42'!$R$3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'KW-42'!$P$4:$P$37</c:f>
              <c:numCache>
                <c:formatCode>General</c:formatCode>
                <c:ptCount val="3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</c:numCache>
            </c:numRef>
          </c:cat>
          <c:val>
            <c:numRef>
              <c:f>'KW-42'!$R$4:$R$37</c:f>
              <c:numCache>
                <c:formatCode>#,##0</c:formatCode>
                <c:ptCount val="34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4539</c:v>
                </c:pt>
                <c:pt idx="21">
                  <c:v>5738</c:v>
                </c:pt>
                <c:pt idx="22">
                  <c:v>7263</c:v>
                </c:pt>
                <c:pt idx="23">
                  <c:v>8121</c:v>
                </c:pt>
                <c:pt idx="24">
                  <c:v>9143</c:v>
                </c:pt>
                <c:pt idx="25">
                  <c:v>8323</c:v>
                </c:pt>
                <c:pt idx="26">
                  <c:v>7941</c:v>
                </c:pt>
                <c:pt idx="27">
                  <c:v>10046</c:v>
                </c:pt>
                <c:pt idx="28">
                  <c:v>13253</c:v>
                </c:pt>
                <c:pt idx="29">
                  <c:v>14082</c:v>
                </c:pt>
                <c:pt idx="30">
                  <c:v>18279</c:v>
                </c:pt>
                <c:pt idx="31">
                  <c:v>29540</c:v>
                </c:pt>
                <c:pt idx="32">
                  <c:v>43308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B-4AA7-91C7-D1469059E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'KW-42'!$P$4:$P$37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BEB-4AA7-91C7-D1469059E71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'KW-42'!$T$3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'KW-42'!$P$4:$P$37</c:f>
              <c:numCache>
                <c:formatCode>General</c:formatCode>
                <c:ptCount val="3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</c:numCache>
            </c:numRef>
          </c:cat>
          <c:val>
            <c:numRef>
              <c:f>'KW-42'!$T$4:$T$37</c:f>
              <c:numCache>
                <c:formatCode>0%</c:formatCode>
                <c:ptCount val="34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6.1142923553617265E-3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7.8955196100771816E-3</c:v>
                </c:pt>
                <c:pt idx="21">
                  <c:v>9.7814598888547946E-3</c:v>
                </c:pt>
                <c:pt idx="22">
                  <c:v>1.013298584758248E-2</c:v>
                </c:pt>
                <c:pt idx="23">
                  <c:v>9.7212778793943858E-3</c:v>
                </c:pt>
                <c:pt idx="24">
                  <c:v>8.4310329882723526E-3</c:v>
                </c:pt>
                <c:pt idx="25">
                  <c:v>7.4253958709338975E-3</c:v>
                </c:pt>
                <c:pt idx="26">
                  <c:v>7.4733126227553475E-3</c:v>
                </c:pt>
                <c:pt idx="27">
                  <c:v>8.6236793220548502E-3</c:v>
                </c:pt>
                <c:pt idx="28">
                  <c:v>1.1562625142537078E-2</c:v>
                </c:pt>
                <c:pt idx="29">
                  <c:v>1.218869364936343E-2</c:v>
                </c:pt>
                <c:pt idx="30">
                  <c:v>1.6600973589566609E-2</c:v>
                </c:pt>
                <c:pt idx="31">
                  <c:v>2.4902925798722986E-2</c:v>
                </c:pt>
                <c:pt idx="32">
                  <c:v>3.622096898702893E-2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EB-4AA7-91C7-D1469059E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'KW-42'!$P$4:$P$37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BEB-4AA7-91C7-D1469059E715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'KW-41'!$Q$3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'KW-41'!$P$4:$P$36</c:f>
              <c:numCache>
                <c:formatCode>General</c:formatCode>
                <c:ptCount val="3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</c:numCache>
            </c:numRef>
          </c:cat>
          <c:val>
            <c:numRef>
              <c:f>'KW-41'!$Q$4:$Q$36</c:f>
              <c:numCache>
                <c:formatCode>#,##0</c:formatCode>
                <c:ptCount val="33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507663</c:v>
                </c:pt>
                <c:pt idx="18">
                  <c:v>510551</c:v>
                </c:pt>
                <c:pt idx="19">
                  <c:v>538701</c:v>
                </c:pt>
                <c:pt idx="20">
                  <c:v>574883</c:v>
                </c:pt>
                <c:pt idx="21">
                  <c:v>586620</c:v>
                </c:pt>
                <c:pt idx="22">
                  <c:v>736171</c:v>
                </c:pt>
                <c:pt idx="23">
                  <c:v>864004</c:v>
                </c:pt>
                <c:pt idx="24">
                  <c:v>1094506</c:v>
                </c:pt>
                <c:pt idx="25">
                  <c:v>1121214</c:v>
                </c:pt>
                <c:pt idx="26">
                  <c:v>1099560</c:v>
                </c:pt>
                <c:pt idx="27">
                  <c:v>1162133</c:v>
                </c:pt>
                <c:pt idx="28">
                  <c:v>1149257</c:v>
                </c:pt>
                <c:pt idx="29">
                  <c:v>1167870</c:v>
                </c:pt>
                <c:pt idx="30">
                  <c:v>1103455</c:v>
                </c:pt>
                <c:pt idx="31">
                  <c:v>1167428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4-4879-9DDE-2F4E2E2AF6B6}"/>
            </c:ext>
          </c:extLst>
        </c:ser>
        <c:ser>
          <c:idx val="1"/>
          <c:order val="1"/>
          <c:tx>
            <c:strRef>
              <c:f>'KW-41'!$R$3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'KW-41'!$P$4:$P$36</c:f>
              <c:numCache>
                <c:formatCode>General</c:formatCode>
                <c:ptCount val="3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</c:numCache>
            </c:numRef>
          </c:cat>
          <c:val>
            <c:numRef>
              <c:f>'KW-41'!$R$4:$R$36</c:f>
              <c:numCache>
                <c:formatCode>#,##0</c:formatCode>
                <c:ptCount val="33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4539</c:v>
                </c:pt>
                <c:pt idx="21">
                  <c:v>5738</c:v>
                </c:pt>
                <c:pt idx="22">
                  <c:v>7335</c:v>
                </c:pt>
                <c:pt idx="23">
                  <c:v>8398</c:v>
                </c:pt>
                <c:pt idx="24">
                  <c:v>9233</c:v>
                </c:pt>
                <c:pt idx="25">
                  <c:v>8324</c:v>
                </c:pt>
                <c:pt idx="26">
                  <c:v>8175</c:v>
                </c:pt>
                <c:pt idx="27">
                  <c:v>10025</c:v>
                </c:pt>
                <c:pt idx="28">
                  <c:v>13279</c:v>
                </c:pt>
                <c:pt idx="29">
                  <c:v>14295</c:v>
                </c:pt>
                <c:pt idx="30">
                  <c:v>18356</c:v>
                </c:pt>
                <c:pt idx="31">
                  <c:v>29003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4-4879-9DDE-2F4E2E2AF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'KW-41'!$P$4:$P$36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274-4879-9DDE-2F4E2E2AF6B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'KW-41'!$T$3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'KW-41'!$P$4:$P$36</c:f>
              <c:numCache>
                <c:formatCode>General</c:formatCode>
                <c:ptCount val="3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</c:numCache>
            </c:numRef>
          </c:cat>
          <c:val>
            <c:numRef>
              <c:f>'KW-41'!$T$4:$T$36</c:f>
              <c:numCache>
                <c:formatCode>0%</c:formatCode>
                <c:ptCount val="33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6.1142923553617265E-3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7.8955196100771816E-3</c:v>
                </c:pt>
                <c:pt idx="21">
                  <c:v>9.7814598888547946E-3</c:v>
                </c:pt>
                <c:pt idx="22">
                  <c:v>9.963717668856828E-3</c:v>
                </c:pt>
                <c:pt idx="23">
                  <c:v>9.7198624080444065E-3</c:v>
                </c:pt>
                <c:pt idx="24">
                  <c:v>8.4357691963314954E-3</c:v>
                </c:pt>
                <c:pt idx="25">
                  <c:v>7.4240956677315839E-3</c:v>
                </c:pt>
                <c:pt idx="26">
                  <c:v>7.4347920986576445E-3</c:v>
                </c:pt>
                <c:pt idx="27">
                  <c:v>8.6263792526328747E-3</c:v>
                </c:pt>
                <c:pt idx="28">
                  <c:v>1.1554421682878591E-2</c:v>
                </c:pt>
                <c:pt idx="29">
                  <c:v>1.2240232217626962E-2</c:v>
                </c:pt>
                <c:pt idx="30">
                  <c:v>1.6635023630324753E-2</c:v>
                </c:pt>
                <c:pt idx="31">
                  <c:v>2.4843502126041177E-2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74-4879-9DDE-2F4E2E2AF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'KW-41'!$P$4:$P$36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274-4879-9DDE-2F4E2E2AF6B6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9526</xdr:rowOff>
    </xdr:from>
    <xdr:to>
      <xdr:col>9</xdr:col>
      <xdr:colOff>733426</xdr:colOff>
      <xdr:row>25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3B38882-A34D-44DD-B6F4-C0EFF8378374}"/>
            </a:ext>
          </a:extLst>
        </xdr:cNvPr>
        <xdr:cNvSpPr txBox="1"/>
      </xdr:nvSpPr>
      <xdr:spPr>
        <a:xfrm>
          <a:off x="809626" y="200026"/>
          <a:ext cx="6781800" cy="4638674"/>
        </a:xfrm>
        <a:prstGeom prst="rect">
          <a:avLst/>
        </a:prstGeom>
        <a:gradFill>
          <a:gsLst>
            <a:gs pos="0">
              <a:srgbClr val="002060"/>
            </a:gs>
            <a:gs pos="30000">
              <a:srgbClr val="002060"/>
            </a:gs>
            <a:gs pos="79000">
              <a:srgbClr val="7030A0"/>
            </a:gs>
            <a:gs pos="100000">
              <a:srgbClr val="7030A0"/>
            </a:gs>
          </a:gsLst>
          <a:lin ang="5400000" scaled="1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4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Testzahlen pro Woche</a:t>
          </a:r>
        </a:p>
        <a:p>
          <a:pPr algn="ctr"/>
          <a:endParaRPr lang="de-DE" sz="2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Da jede Woche die Testzahlen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der vergangen Wochen </a:t>
          </a:r>
          <a:b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nach oben korrigiert werden,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habe ich hier die einzelnen </a:t>
          </a:r>
          <a:b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Datenstände ab KW-30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abgespeichert.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Grafiken und Tabellen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dürfen gerne verbreitet </a:t>
          </a:r>
          <a:b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und weiter verwendet werden.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637BFD2-E7CB-4F7F-A584-3A6951AA3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9E21E5-8DF7-4B20-A6AB-7C50BC1BC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3F00D4C-C646-40DD-9727-3B29E4730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1938A58-17B7-44EA-AA4A-B0522A2B5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9400B3E-62EA-480C-B533-3E455909C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75383FA-31E5-4D4E-A4B5-2C958C04E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2979483-89DC-4382-AEEB-97EE1025B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3904E37-FBFD-422A-A982-EE61C6710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19A30D1-8080-4D0F-A0A5-D9DA3C2FE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415017</xdr:colOff>
      <xdr:row>2</xdr:row>
      <xdr:rowOff>167369</xdr:rowOff>
    </xdr:from>
    <xdr:to>
      <xdr:col>9</xdr:col>
      <xdr:colOff>595992</xdr:colOff>
      <xdr:row>31</xdr:row>
      <xdr:rowOff>14969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E1BEC7F-D6E8-49CA-9B37-2A602E488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</xdr:colOff>
      <xdr:row>12</xdr:row>
      <xdr:rowOff>72645</xdr:rowOff>
    </xdr:from>
    <xdr:to>
      <xdr:col>6</xdr:col>
      <xdr:colOff>2173939</xdr:colOff>
      <xdr:row>35</xdr:row>
      <xdr:rowOff>33618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4A0F33C-6750-4E75-A119-1FBF7DE67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424543</xdr:colOff>
      <xdr:row>2</xdr:row>
      <xdr:rowOff>73478</xdr:rowOff>
    </xdr:from>
    <xdr:to>
      <xdr:col>10</xdr:col>
      <xdr:colOff>443593</xdr:colOff>
      <xdr:row>30</xdr:row>
      <xdr:rowOff>176893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3C4F1EB-5672-4E1D-97B1-6C56368A4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23133</xdr:colOff>
      <xdr:row>2</xdr:row>
      <xdr:rowOff>108857</xdr:rowOff>
    </xdr:from>
    <xdr:to>
      <xdr:col>9</xdr:col>
      <xdr:colOff>575583</xdr:colOff>
      <xdr:row>30</xdr:row>
      <xdr:rowOff>115660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0E54346-54BE-4A0A-A38F-45C40652D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</xdr:colOff>
      <xdr:row>12</xdr:row>
      <xdr:rowOff>72645</xdr:rowOff>
    </xdr:from>
    <xdr:to>
      <xdr:col>6</xdr:col>
      <xdr:colOff>2173939</xdr:colOff>
      <xdr:row>35</xdr:row>
      <xdr:rowOff>33618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3B2B3DA-A298-4E7D-8F1C-2B9C00E57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</xdr:colOff>
      <xdr:row>12</xdr:row>
      <xdr:rowOff>72645</xdr:rowOff>
    </xdr:from>
    <xdr:to>
      <xdr:col>6</xdr:col>
      <xdr:colOff>2173939</xdr:colOff>
      <xdr:row>35</xdr:row>
      <xdr:rowOff>33618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D012EE7-5315-4127-AD7D-F4360E47D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</xdr:colOff>
      <xdr:row>12</xdr:row>
      <xdr:rowOff>72645</xdr:rowOff>
    </xdr:from>
    <xdr:to>
      <xdr:col>6</xdr:col>
      <xdr:colOff>2173939</xdr:colOff>
      <xdr:row>35</xdr:row>
      <xdr:rowOff>33618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6C3CEAF-E191-4321-A9B0-87FE0CADF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35C55AF-901F-4221-AE79-E541F8885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1376D98-F6BA-45AC-BFBC-7C8B7ADC4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F15C713-22C9-4292-9DBD-6CB5C6625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817F7E9-01B7-4B5F-A57A-732D3E075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1A62047-AFB6-4EE1-A11D-8DD85DED92C0}" name="Tabelle142537101112131416151719182220" displayName="Tabelle142537101112131416151719182220" ref="I4:N45" totalsRowShown="0" headerRowDxfId="7" dataDxfId="6">
  <autoFilter ref="I4:N45" xr:uid="{3CAFDE92-E2E3-4AB4-8D89-52C0AEBEEAA1}"/>
  <tableColumns count="6">
    <tableColumn id="1" xr3:uid="{AD505CB9-76F8-4CCF-9CC2-CCBB787F2CBE}" name="KW" dataDxfId="5"/>
    <tableColumn id="2" xr3:uid="{6F37F6AB-F0B0-4634-83B3-977CCAF813FC}" name="Test" dataDxfId="4"/>
    <tableColumn id="3" xr3:uid="{EBC7AEA1-D349-4619-B845-58BD970A3861}" name="Positiv" dataDxfId="3"/>
    <tableColumn id="7" xr3:uid="{662AC7E4-F88C-4D75-84AA-95D69C2EC369}" name="Positiv-Rate" dataDxfId="2" dataCellStyle="Prozent">
      <calculatedColumnFormula>Tabelle142537101112131416151719182220[[#This Row],[Positiv Rate]]</calculatedColumnFormula>
    </tableColumn>
    <tableColumn id="4" xr3:uid="{949D098B-32E2-4D19-881F-9E1DC7B379D2}" name="Positiv Rate" dataDxfId="1">
      <calculatedColumnFormula>Tabelle142537101112131416151719182220[[#This Row],[Positiv]]/Tabelle142537101112131416151719182220[[#This Row],[Test]]</calculatedColumnFormula>
    </tableColumn>
    <tableColumn id="5" xr3:uid="{8E0EB042-BA42-4F71-AB41-2A122AC087C4}" name="Anzahl_x000a_Labore" dataDxfId="0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E5F85E9-A68E-4C14-94ED-01F9983BC761}" name="Tabelle142537101112" displayName="Tabelle142537101112" ref="P3:U34" totalsRowShown="0" headerRowDxfId="92" dataDxfId="91">
  <autoFilter ref="P3:U34" xr:uid="{3CAFDE92-E2E3-4AB4-8D89-52C0AEBEEAA1}"/>
  <tableColumns count="6">
    <tableColumn id="1" xr3:uid="{F4998035-6DAB-436B-B7ED-13637C609167}" name="KW" dataDxfId="90"/>
    <tableColumn id="2" xr3:uid="{5B19418F-73FB-4DD5-9999-8E15B6EB4043}" name="Test" dataDxfId="89"/>
    <tableColumn id="3" xr3:uid="{1F1A7D85-576A-44A9-B658-4C1FB9D06CC5}" name="Positiv" dataDxfId="88"/>
    <tableColumn id="7" xr3:uid="{9E4BB382-7F5F-4D84-9F00-C7C2ACDDFF97}" name="Positiv-Rate" dataDxfId="87" dataCellStyle="Prozent">
      <calculatedColumnFormula>Tabelle142537101112[[#This Row],[Positiv Rate]]</calculatedColumnFormula>
    </tableColumn>
    <tableColumn id="4" xr3:uid="{2768D5E3-9324-49EC-B167-CBC3F94B6EEE}" name="Positiv Rate" dataDxfId="86">
      <calculatedColumnFormula>Tabelle142537101112[[#This Row],[Positiv]]/Tabelle142537101112[[#This Row],[Test]]</calculatedColumnFormula>
    </tableColumn>
    <tableColumn id="5" xr3:uid="{63CA5A6A-DFEA-431C-B254-CCA416BB6E1D}" name="Anzahl_x000a_Labore" dataDxfId="85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26222AD-63AF-4796-8584-597679FCA347}" name="Tabelle1425371011" displayName="Tabelle1425371011" ref="P3:U33" totalsRowShown="0" headerRowDxfId="84" dataDxfId="83">
  <autoFilter ref="P3:U33" xr:uid="{3CAFDE92-E2E3-4AB4-8D89-52C0AEBEEAA1}"/>
  <tableColumns count="6">
    <tableColumn id="1" xr3:uid="{688095F7-FB05-4372-884C-4FCDEEA2100D}" name="KW" dataDxfId="82"/>
    <tableColumn id="2" xr3:uid="{0398E5D7-0558-4ADE-8F2F-BD104B9CB009}" name="Test" dataDxfId="81"/>
    <tableColumn id="3" xr3:uid="{FAF67EAD-91BE-471B-A89E-3F37E2DA3FAF}" name="Positiv" dataDxfId="80"/>
    <tableColumn id="7" xr3:uid="{79B12463-DF80-4D3A-BB46-FB0CC5D6BEA9}" name="Positiv-Rate" dataDxfId="79" dataCellStyle="Prozent">
      <calculatedColumnFormula>Tabelle1425371011[[#This Row],[Positiv Rate]]</calculatedColumnFormula>
    </tableColumn>
    <tableColumn id="4" xr3:uid="{5F86A682-014E-4255-88AF-743718193561}" name="Positiv Rate" dataDxfId="78">
      <calculatedColumnFormula>Tabelle1425371011[[#This Row],[Positiv]]/Tabelle1425371011[[#This Row],[Test]]</calculatedColumnFormula>
    </tableColumn>
    <tableColumn id="5" xr3:uid="{2AE88FD0-23BB-4CA4-ABBF-D587555FA417}" name="Anzahl_x000a_Labore" dataDxfId="77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790842-7F59-43B0-89E4-C2F4124E48AE}" name="Tabelle14253710" displayName="Tabelle14253710" ref="P3:U32" totalsRowShown="0" headerRowDxfId="76" dataDxfId="75">
  <autoFilter ref="P3:U32" xr:uid="{3CAFDE92-E2E3-4AB4-8D89-52C0AEBEEAA1}"/>
  <tableColumns count="6">
    <tableColumn id="1" xr3:uid="{C8A6C53C-29BC-48D3-A6A6-4AD0E45CD6E2}" name="KW" dataDxfId="74"/>
    <tableColumn id="2" xr3:uid="{14D70558-9935-444E-866C-A6120C9F6E33}" name="Test" dataDxfId="73"/>
    <tableColumn id="3" xr3:uid="{EB8540CF-1EEB-46C8-B734-6BAD4D169D9F}" name="Positiv" dataDxfId="72"/>
    <tableColumn id="7" xr3:uid="{50FED4CA-876B-4324-86E3-B59E997A16F6}" name="Positiv-Rate" dataDxfId="71" dataCellStyle="Prozent">
      <calculatedColumnFormula>Tabelle14253710[[#This Row],[Positiv Rate]]</calculatedColumnFormula>
    </tableColumn>
    <tableColumn id="4" xr3:uid="{BCB68E6B-AEA9-4187-B95E-F1D6826CEE98}" name="Positiv Rate" dataDxfId="70">
      <calculatedColumnFormula>Tabelle14253710[[#This Row],[Positiv]]/Tabelle14253710[[#This Row],[Test]]</calculatedColumnFormula>
    </tableColumn>
    <tableColumn id="5" xr3:uid="{B333BA2E-3EEE-4F3E-AF2F-16155460B640}" name="Anzahl_x000a_Labore" dataDxfId="69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3B29A76-7DAB-4DA2-B7D2-FFE203C4D0F6}" name="Tabelle142537" displayName="Tabelle142537" ref="P3:U31" totalsRowShown="0" headerRowDxfId="68" dataDxfId="67">
  <autoFilter ref="P3:U31" xr:uid="{3CAFDE92-E2E3-4AB4-8D89-52C0AEBEEAA1}"/>
  <tableColumns count="6">
    <tableColumn id="1" xr3:uid="{54665660-0952-44F9-9C28-BFB5A2168D53}" name="KW" dataDxfId="66"/>
    <tableColumn id="2" xr3:uid="{526529E3-3119-4CD0-9BDC-8697BA2B260E}" name="Test" dataDxfId="65"/>
    <tableColumn id="3" xr3:uid="{9741F3F3-7D93-4638-967B-6A6B04EFE03F}" name="Positiv" dataDxfId="64"/>
    <tableColumn id="7" xr3:uid="{39F63750-3F48-4677-9EF7-FE6492A5729E}" name="Positiv-Rate" dataDxfId="63" dataCellStyle="Prozent"/>
    <tableColumn id="4" xr3:uid="{B9243EFA-2E62-41B5-A59D-20919E73AD15}" name="Positiv Rate" dataDxfId="62"/>
    <tableColumn id="5" xr3:uid="{EC4C0411-1B59-4608-8310-DC35CD44DA74}" name="Anzahl_x000a_Labore" dataDxfId="61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84AC7C-34A4-4E2F-AE32-9734054628B1}" name="Tabelle14253" displayName="Tabelle14253" ref="P3:U30" totalsRowShown="0" headerRowDxfId="60" dataDxfId="59">
  <autoFilter ref="P3:U30" xr:uid="{3CAFDE92-E2E3-4AB4-8D89-52C0AEBEEAA1}"/>
  <tableColumns count="6">
    <tableColumn id="1" xr3:uid="{99EFFA44-15FF-4538-A86C-16F4EC75EB5F}" name="KW" dataDxfId="58"/>
    <tableColumn id="2" xr3:uid="{1D04BC21-98A9-4900-AB17-B3409DA408FE}" name="Test" dataDxfId="57"/>
    <tableColumn id="3" xr3:uid="{366B96FC-FA3A-4230-8C13-730A554B7CCA}" name="Positiv" dataDxfId="56"/>
    <tableColumn id="7" xr3:uid="{53A5AE8A-0667-49A4-9450-67149FD885DB}" name="Positiv-Rate" dataDxfId="55" dataCellStyle="Prozent">
      <calculatedColumnFormula>Tabelle14253[[#This Row],[Positiv Rate]]</calculatedColumnFormula>
    </tableColumn>
    <tableColumn id="4" xr3:uid="{ADE6C337-34F8-4312-8AB9-C85E614DA8EC}" name="Positiv Rate" dataDxfId="54">
      <calculatedColumnFormula>Tabelle14253[[#This Row],[Positiv]]/Tabelle14253[[#This Row],[Test]]</calculatedColumnFormula>
    </tableColumn>
    <tableColumn id="5" xr3:uid="{CA26035E-9B07-4AAD-A1C3-B66A28ABFCC0}" name="Anzahl_x000a_Labore" dataDxfId="53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E19E1B-0313-4141-8740-2F1A1F8DAA29}" name="Tabelle1425" displayName="Tabelle1425" ref="P3:U29" totalsRowShown="0" headerRowDxfId="52" dataDxfId="51">
  <autoFilter ref="P3:U29" xr:uid="{3CAFDE92-E2E3-4AB4-8D89-52C0AEBEEAA1}"/>
  <tableColumns count="6">
    <tableColumn id="1" xr3:uid="{49472350-0156-4B59-8720-A27B5154FC0A}" name="KW" dataDxfId="50"/>
    <tableColumn id="2" xr3:uid="{FA019AD3-74C0-463D-BEA2-C9AA5D310F74}" name="Test" dataDxfId="49"/>
    <tableColumn id="3" xr3:uid="{D0F482BF-BB83-4631-8163-260F4DF9B5BE}" name="Positiv" dataDxfId="48"/>
    <tableColumn id="7" xr3:uid="{24273B45-1B5B-4B6A-86AB-AE26A3B5751A}" name="Positiv-Rate" dataDxfId="47" dataCellStyle="Prozent">
      <calculatedColumnFormula>Tabelle1425[[#This Row],[Positiv Rate]]</calculatedColumnFormula>
    </tableColumn>
    <tableColumn id="4" xr3:uid="{BFAC999F-D0D5-42E0-8912-FE17ABBB0F82}" name="Positiv Rate" dataDxfId="46">
      <calculatedColumnFormula>Tabelle1425[[#This Row],[Positiv]]/Tabelle1425[[#This Row],[Test]]</calculatedColumnFormula>
    </tableColumn>
    <tableColumn id="5" xr3:uid="{C4830E47-2204-4FD8-8BFF-A0073D4B3A1A}" name="Anzahl_x000a_Labore" dataDxfId="45"/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60FAC-2CF4-4093-A44C-3466F4EC6572}" name="Tabelle142" displayName="Tabelle142" ref="P3:U28" totalsRowShown="0" headerRowDxfId="44" dataDxfId="43">
  <autoFilter ref="P3:U28" xr:uid="{3CAFDE92-E2E3-4AB4-8D89-52C0AEBEEAA1}"/>
  <tableColumns count="6">
    <tableColumn id="1" xr3:uid="{CC4917B3-1C53-48DC-A306-F6D572F1A1E8}" name="KW" dataDxfId="42"/>
    <tableColumn id="2" xr3:uid="{603DDA48-F510-4DD2-ABC7-29AAD656D02B}" name="Test" dataDxfId="41"/>
    <tableColumn id="3" xr3:uid="{D7C9F276-41AF-413B-ACC3-3C50896D3753}" name="Positiv" dataDxfId="40"/>
    <tableColumn id="7" xr3:uid="{383B50CD-2EDE-4094-9FF9-741AC9239185}" name="Positiv-Rate" dataDxfId="39" dataCellStyle="Prozent">
      <calculatedColumnFormula>Tabelle142[[#This Row],[Positiv Rate]]</calculatedColumnFormula>
    </tableColumn>
    <tableColumn id="4" xr3:uid="{5EE42803-C705-4DC1-9969-8CC084078B0D}" name="Positiv Rate" dataDxfId="38">
      <calculatedColumnFormula>Tabelle142[[#This Row],[Positiv]]/Tabelle142[[#This Row],[Test]]</calculatedColumnFormula>
    </tableColumn>
    <tableColumn id="5" xr3:uid="{FF873091-521B-4286-9916-44EF65E78248}" name="Anzahl_x000a_Labore" dataDxfId="37"/>
  </tableColumns>
  <tableStyleInfo name="TableStyleLight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A639DF-1F0E-45C9-BE31-A390F3516B0E}" name="Tabelle14" displayName="Tabelle14" ref="P3:U27" totalsRowShown="0" headerRowDxfId="36" dataDxfId="35">
  <autoFilter ref="P3:U27" xr:uid="{3CAFDE92-E2E3-4AB4-8D89-52C0AEBEEAA1}"/>
  <tableColumns count="6">
    <tableColumn id="1" xr3:uid="{4C777DFA-8AF3-400C-AA8A-15EC6B94AEA7}" name="KW" dataDxfId="34"/>
    <tableColumn id="2" xr3:uid="{2603C8EE-9B31-41CA-8083-43EA2BDC3C8C}" name="Test" dataDxfId="33"/>
    <tableColumn id="3" xr3:uid="{BCE58998-631C-4696-83AC-C9EAD09F79B8}" name="Positiv" dataDxfId="32"/>
    <tableColumn id="4" xr3:uid="{FD9AEB86-8C00-4C36-B101-F137191F8C7C}" name="Positiv Rate" dataDxfId="31">
      <calculatedColumnFormula>Tabelle14[[#This Row],[Positiv]]/Tabelle14[[#This Row],[Test]]</calculatedColumnFormula>
    </tableColumn>
    <tableColumn id="5" xr3:uid="{1BCF55BE-9884-4390-B008-7E820F116C13}" name="Anzahl_x000a_Labore" dataDxfId="30"/>
    <tableColumn id="6" xr3:uid="{A3095AF6-66C0-41B0-BE1C-90EA0D538992}" name="Kontrolle_x000a_Positiv Rate" dataDxfId="29" dataCellStyle="Prozent">
      <calculatedColumnFormula>Tabelle14[[#This Row],[Positiv]]/Tabelle14[[#This Row],[Test]]</calculatedColumnFormula>
    </tableColumn>
  </tableColumns>
  <tableStyleInfo name="TableStyleLight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15E4364-EDEF-4388-A0B5-C67743B6EBAB}" name="Tabelle149" displayName="Tabelle149" ref="O3:S26" totalsRowShown="0" headerRowDxfId="28" dataDxfId="27">
  <autoFilter ref="O3:S26" xr:uid="{3CAFDE92-E2E3-4AB4-8D89-52C0AEBEEAA1}"/>
  <tableColumns count="5">
    <tableColumn id="1" xr3:uid="{4C777DFA-8AF3-400C-AA8A-15EC6B94AEA7}" name="KW" dataDxfId="26"/>
    <tableColumn id="2" xr3:uid="{2603C8EE-9B31-41CA-8083-43EA2BDC3C8C}" name="Test" dataDxfId="25"/>
    <tableColumn id="3" xr3:uid="{BCE58998-631C-4696-83AC-C9EAD09F79B8}" name="Positiv" dataDxfId="24"/>
    <tableColumn id="4" xr3:uid="{FD9AEB86-8C00-4C36-B101-F137191F8C7C}" name="Positiv Rate" dataDxfId="23"/>
    <tableColumn id="5" xr3:uid="{1BCF55BE-9884-4390-B008-7E820F116C13}" name="Anzahl_x000a_Labore" dataDxfId="22"/>
  </tableColumns>
  <tableStyleInfo name="TableStyleLight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1A4666-26E9-4368-898B-7633593B18E4}" name="Tabelle18" displayName="Tabelle18" ref="O5:S27" totalsRowShown="0" headerRowDxfId="21" dataDxfId="20">
  <autoFilter ref="O5:S27" xr:uid="{E7D0B97B-B2CD-4C41-9047-94ABEDF2D989}"/>
  <tableColumns count="5">
    <tableColumn id="1" xr3:uid="{0161201A-6B63-47E8-BE14-216B3839A34D}" name="KW" dataDxfId="19"/>
    <tableColumn id="2" xr3:uid="{7B21C051-3B1D-4501-A482-B4C1359C8314}" name="Test" dataDxfId="18"/>
    <tableColumn id="3" xr3:uid="{5C04A4DE-0F83-419C-B7D2-24E80B2A491F}" name="Positiv" dataDxfId="17"/>
    <tableColumn id="4" xr3:uid="{FA269BFA-8225-4F0F-B91B-1FD2266C1999}" name="Positiv Rate" dataDxfId="16"/>
    <tableColumn id="5" xr3:uid="{C01F01DD-16CA-4B76-AD7B-A2DEE1F5E915}" name="Anzahl_x000a_Labore" dataDxfId="1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7C8B503-24E7-4151-88E6-896E8CA7C723}" name="Tabelle1425371011121314161517191822" displayName="Tabelle1425371011121314161517191822" ref="I4:N44" totalsRowShown="0" headerRowDxfId="156" dataDxfId="155">
  <autoFilter ref="I4:N44" xr:uid="{3CAFDE92-E2E3-4AB4-8D89-52C0AEBEEAA1}"/>
  <tableColumns count="6">
    <tableColumn id="1" xr3:uid="{BF082673-40A5-4E2D-ADA6-1A078430100E}" name="KW" dataDxfId="154"/>
    <tableColumn id="2" xr3:uid="{0EA02BE7-7AAF-4214-8A6D-F3679674C72C}" name="Test" dataDxfId="153"/>
    <tableColumn id="3" xr3:uid="{AD4ACD45-2180-4002-99CB-9937806399AF}" name="Positiv" dataDxfId="152"/>
    <tableColumn id="7" xr3:uid="{1880A39A-AB78-4BFA-BB2B-7F8C215E7C36}" name="Positiv-Rate" dataDxfId="151" dataCellStyle="Prozent">
      <calculatedColumnFormula>Tabelle1425371011121314161517191822[[#This Row],[Positiv Rate]]</calculatedColumnFormula>
    </tableColumn>
    <tableColumn id="4" xr3:uid="{E9DFFA6E-7426-40FC-8144-D0328A2E42DC}" name="Positiv Rate" dataDxfId="150">
      <calculatedColumnFormula>Tabelle1425371011121314161517191822[[#This Row],[Positiv]]/Tabelle1425371011121314161517191822[[#This Row],[Test]]</calculatedColumnFormula>
    </tableColumn>
    <tableColumn id="5" xr3:uid="{2F783565-0E5A-4824-B836-5A512D8BDA78}" name="Anzahl_x000a_Labore" dataDxfId="149"/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61AA84-7E96-4CAB-8FD3-3AD717238781}" name="Tabelle1" displayName="Tabelle1" ref="O3:S24" totalsRowShown="0" headerRowDxfId="14" dataDxfId="13">
  <autoFilter ref="O3:S24" xr:uid="{E7D0B97B-B2CD-4C41-9047-94ABEDF2D989}"/>
  <tableColumns count="5">
    <tableColumn id="1" xr3:uid="{0161201A-6B63-47E8-BE14-216B3839A34D}" name="KW" dataDxfId="12"/>
    <tableColumn id="2" xr3:uid="{7B21C051-3B1D-4501-A482-B4C1359C8314}" name="Test" dataDxfId="11"/>
    <tableColumn id="3" xr3:uid="{5C04A4DE-0F83-419C-B7D2-24E80B2A491F}" name="Positiv" dataDxfId="10"/>
    <tableColumn id="4" xr3:uid="{FA269BFA-8225-4F0F-B91B-1FD2266C1999}" name="Positiv Rate" dataDxfId="9"/>
    <tableColumn id="5" xr3:uid="{C01F01DD-16CA-4B76-AD7B-A2DEE1F5E915}" name="Anzahl_x000a_Labore" dataDxfId="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EFE3E63-7C03-4A96-B669-7AEBEB433BBB}" name="Tabelle14253710111213141615171918" displayName="Tabelle14253710111213141615171918" ref="I4:N43" totalsRowShown="0" headerRowDxfId="148" dataDxfId="147">
  <autoFilter ref="I4:N43" xr:uid="{3CAFDE92-E2E3-4AB4-8D89-52C0AEBEEAA1}"/>
  <tableColumns count="6">
    <tableColumn id="1" xr3:uid="{FC843296-1FF9-4C18-9B60-BEF4349F0D90}" name="KW" dataDxfId="146"/>
    <tableColumn id="2" xr3:uid="{53480DDD-760A-48FF-A74B-F34439C98EE6}" name="Test" dataDxfId="145"/>
    <tableColumn id="3" xr3:uid="{F8D28BDA-4F66-4716-8AC1-EC8039381256}" name="Positiv" dataDxfId="144"/>
    <tableColumn id="7" xr3:uid="{6D44A4C9-439B-4913-9D7D-FDAA9970A9FD}" name="Positiv-Rate" dataDxfId="143" dataCellStyle="Prozent">
      <calculatedColumnFormula>Tabelle14253710111213141615171918[[#This Row],[Positiv Rate]]</calculatedColumnFormula>
    </tableColumn>
    <tableColumn id="4" xr3:uid="{0F945C75-7B27-4E83-9B74-34099B4C98F6}" name="Positiv Rate" dataDxfId="142">
      <calculatedColumnFormula>Tabelle14253710111213141615171918[[#This Row],[Positiv]]/Tabelle14253710111213141615171918[[#This Row],[Test]]</calculatedColumnFormula>
    </tableColumn>
    <tableColumn id="5" xr3:uid="{D8455ECA-430F-416F-8382-1B86CEBE2ADE}" name="Anzahl_x000a_Labore" dataDxfId="14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DF3AD5E-9165-4E41-B2C1-9B841910AB8F}" name="Tabelle142537101112131416151719" displayName="Tabelle142537101112131416151719" ref="I4:N42" totalsRowShown="0" headerRowDxfId="140" dataDxfId="139">
  <autoFilter ref="I4:N42" xr:uid="{3CAFDE92-E2E3-4AB4-8D89-52C0AEBEEAA1}"/>
  <tableColumns count="6">
    <tableColumn id="1" xr3:uid="{1209C12F-4C69-4FE8-94D0-D0A9AC62A62C}" name="KW" dataDxfId="138"/>
    <tableColumn id="2" xr3:uid="{92A46347-561D-4183-A269-E6075413FB5B}" name="Test" dataDxfId="137"/>
    <tableColumn id="3" xr3:uid="{8D43DA22-7FCC-4F30-A9A3-F512C25AC2E1}" name="Positiv" dataDxfId="136"/>
    <tableColumn id="7" xr3:uid="{9B4B6E0F-BD35-41F3-85EE-BBF8A7750C93}" name="Positiv-Rate" dataDxfId="135" dataCellStyle="Prozent">
      <calculatedColumnFormula>Tabelle142537101112131416151719[[#This Row],[Positiv Rate]]</calculatedColumnFormula>
    </tableColumn>
    <tableColumn id="4" xr3:uid="{1FECEC83-8B92-4F4F-AD52-D64AEF756B1D}" name="Positiv Rate" dataDxfId="134">
      <calculatedColumnFormula>Tabelle142537101112131416151719[[#This Row],[Positiv]]/Tabelle142537101112131416151719[[#This Row],[Test]]</calculatedColumnFormula>
    </tableColumn>
    <tableColumn id="5" xr3:uid="{36026B3C-53B5-41C4-A6FF-EE76B246FF10}" name="Anzahl_x000a_Labore" dataDxfId="133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F42F0E3-8E2D-4A4B-9481-51223E6430CB}" name="Tabelle1425371011121314161517" displayName="Tabelle1425371011121314161517" ref="P1:U37" totalsRowShown="0" headerRowDxfId="132" dataDxfId="131">
  <autoFilter ref="P1:U37" xr:uid="{3CAFDE92-E2E3-4AB4-8D89-52C0AEBEEAA1}"/>
  <tableColumns count="6">
    <tableColumn id="1" xr3:uid="{162E56DC-82A3-4D52-9C10-4BE4D6C09249}" name="KW" dataDxfId="130"/>
    <tableColumn id="2" xr3:uid="{4AE9C1EB-BBD5-455A-BB5D-18E91DE4990B}" name="Test" dataDxfId="129"/>
    <tableColumn id="3" xr3:uid="{2BFB0BBE-C9D0-4BF4-87E8-E50C31686E8A}" name="Positiv" dataDxfId="128"/>
    <tableColumn id="7" xr3:uid="{EB61930F-B5F2-48C5-90A3-A6665CC637B8}" name="Positiv-Rate" dataDxfId="127" dataCellStyle="Prozent">
      <calculatedColumnFormula>Tabelle1425371011121314161517[[#This Row],[Positiv Rate]]</calculatedColumnFormula>
    </tableColumn>
    <tableColumn id="4" xr3:uid="{20929C0B-3207-4135-B793-ED05D7B42ECF}" name="Positiv Rate" dataDxfId="126">
      <calculatedColumnFormula>Tabelle1425371011121314161517[[#This Row],[Positiv]]/Tabelle1425371011121314161517[[#This Row],[Test]]</calculatedColumnFormula>
    </tableColumn>
    <tableColumn id="5" xr3:uid="{324D3680-2540-4236-84B8-73B0C636A525}" name="Anzahl_x000a_Labore" dataDxfId="125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07B1BEC-652B-4F94-81F1-88C3C2A88BA5}" name="Tabelle14253710111213141615" displayName="Tabelle14253710111213141615" ref="P2:U37" totalsRowShown="0" headerRowDxfId="124" dataDxfId="123">
  <autoFilter ref="P2:U37" xr:uid="{3CAFDE92-E2E3-4AB4-8D89-52C0AEBEEAA1}"/>
  <tableColumns count="6">
    <tableColumn id="1" xr3:uid="{D64AC1BD-EA8A-465F-90DB-34663CCFBA58}" name="KW" dataDxfId="122"/>
    <tableColumn id="2" xr3:uid="{0987A22F-FC2B-4D99-9E34-5DE96D805C4A}" name="Test" dataDxfId="121"/>
    <tableColumn id="3" xr3:uid="{999C255A-81D6-47E5-A55A-B49BE1910867}" name="Positiv" dataDxfId="120"/>
    <tableColumn id="7" xr3:uid="{B9456A54-4F22-477E-9E2D-2CE7D19AE186}" name="Positiv-Rate" dataDxfId="119" dataCellStyle="Prozent">
      <calculatedColumnFormula>Tabelle14253710111213141615[[#This Row],[Positiv Rate]]</calculatedColumnFormula>
    </tableColumn>
    <tableColumn id="4" xr3:uid="{BED108AE-BAB4-491F-ABB6-BC377A2ADC87}" name="Positiv Rate" dataDxfId="118">
      <calculatedColumnFormula>Tabelle14253710111213141615[[#This Row],[Positiv]]/Tabelle14253710111213141615[[#This Row],[Test]]</calculatedColumnFormula>
    </tableColumn>
    <tableColumn id="5" xr3:uid="{1DB40FB2-3D73-47A1-861C-8E11006E4462}" name="Anzahl_x000a_Labore" dataDxfId="117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77409D2-2F15-47CF-AC8F-8A20DB3E78CC}" name="Tabelle142537101112131416" displayName="Tabelle142537101112131416" ref="P2:U36" totalsRowShown="0" headerRowDxfId="116" dataDxfId="115">
  <autoFilter ref="P2:U36" xr:uid="{3CAFDE92-E2E3-4AB4-8D89-52C0AEBEEAA1}"/>
  <tableColumns count="6">
    <tableColumn id="1" xr3:uid="{F3326937-8800-401B-8D3A-25BA8E3EBD25}" name="KW" dataDxfId="114"/>
    <tableColumn id="2" xr3:uid="{02E15ED5-721C-4440-8F90-52F6249E1D1B}" name="Test" dataDxfId="113"/>
    <tableColumn id="3" xr3:uid="{C74372C8-ED35-409A-B98C-2FB59F18F29E}" name="Positiv" dataDxfId="112"/>
    <tableColumn id="7" xr3:uid="{B025AA15-00BE-4BBC-A4AC-B56268A97410}" name="Positiv-Rate" dataDxfId="111" dataCellStyle="Prozent">
      <calculatedColumnFormula>Tabelle142537101112131416[[#This Row],[Positiv Rate]]</calculatedColumnFormula>
    </tableColumn>
    <tableColumn id="4" xr3:uid="{E0527777-3968-4DF9-A15B-7E964E68A6A1}" name="Positiv Rate" dataDxfId="110">
      <calculatedColumnFormula>Tabelle142537101112131416[[#This Row],[Positiv]]/Tabelle142537101112131416[[#This Row],[Test]]</calculatedColumnFormula>
    </tableColumn>
    <tableColumn id="5" xr3:uid="{5FDFE81A-4184-4E4B-9C0E-DA6D2E9989DD}" name="Anzahl_x000a_Labore" dataDxfId="109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E2F4C35-A182-4154-947A-A95DCA58100B}" name="Tabelle1425371011121314" displayName="Tabelle1425371011121314" ref="P3:U36" totalsRowShown="0" headerRowDxfId="108" dataDxfId="107">
  <autoFilter ref="P3:U36" xr:uid="{3CAFDE92-E2E3-4AB4-8D89-52C0AEBEEAA1}"/>
  <tableColumns count="6">
    <tableColumn id="1" xr3:uid="{285199C1-2E87-4D84-A1BF-633C9A8F98EF}" name="KW" dataDxfId="106"/>
    <tableColumn id="2" xr3:uid="{2873C339-4CB3-4C33-92B2-B87DFB8E1035}" name="Test" dataDxfId="105"/>
    <tableColumn id="3" xr3:uid="{458032D7-3428-4ED8-8EFC-973F75660C49}" name="Positiv" dataDxfId="104"/>
    <tableColumn id="7" xr3:uid="{52106654-7138-41BA-A465-D1E09FFED284}" name="Positiv-Rate" dataDxfId="103" dataCellStyle="Prozent">
      <calculatedColumnFormula>Tabelle1425371011121314[[#This Row],[Positiv Rate]]</calculatedColumnFormula>
    </tableColumn>
    <tableColumn id="4" xr3:uid="{80B51633-2A50-470F-89B3-55FE862FC5D1}" name="Positiv Rate" dataDxfId="102">
      <calculatedColumnFormula>Tabelle1425371011121314[[#This Row],[Positiv]]/Tabelle1425371011121314[[#This Row],[Test]]</calculatedColumnFormula>
    </tableColumn>
    <tableColumn id="5" xr3:uid="{55A40F38-5380-407D-92A7-7424150DE155}" name="Anzahl_x000a_Labore" dataDxfId="101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0828F8E-7BD5-4D88-896D-F8BF0BC76AE4}" name="Tabelle14253710111213" displayName="Tabelle14253710111213" ref="P3:U35" totalsRowShown="0" headerRowDxfId="100" dataDxfId="99">
  <autoFilter ref="P3:U35" xr:uid="{3CAFDE92-E2E3-4AB4-8D89-52C0AEBEEAA1}"/>
  <tableColumns count="6">
    <tableColumn id="1" xr3:uid="{AD620F77-1163-4F7B-A91B-B78C92D4162E}" name="KW" dataDxfId="98"/>
    <tableColumn id="2" xr3:uid="{E40F8DB8-0389-4E18-A756-BE2986F8C562}" name="Test" dataDxfId="97"/>
    <tableColumn id="3" xr3:uid="{7F8D35B8-CF58-4C7B-9043-026F9944F963}" name="Positiv" dataDxfId="96"/>
    <tableColumn id="7" xr3:uid="{F382D684-3D32-4F5B-97FC-7A536CBFE1A4}" name="Positiv-Rate" dataDxfId="95" dataCellStyle="Prozent">
      <calculatedColumnFormula>Tabelle14253710111213[[#This Row],[Positiv Rate]]</calculatedColumnFormula>
    </tableColumn>
    <tableColumn id="4" xr3:uid="{3F3BAA18-F1E3-47F6-BF88-4B8986655997}" name="Positiv Rate" dataDxfId="94">
      <calculatedColumnFormula>Tabelle14253710111213[[#This Row],[Positiv]]/Tabelle14253710111213[[#This Row],[Test]]</calculatedColumnFormula>
    </tableColumn>
    <tableColumn id="5" xr3:uid="{89630099-A60A-40F0-AE17-83D6949DFEF1}" name="Anzahl_x000a_Labore" dataDxfId="9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ki.de/DE/Content/InfAZ/N/Neuartiges_Coronavirus/Situationsberichte/Gesamt.html?nn=13490888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92BF-0580-438E-8359-E0DA14C5AB34}">
  <dimension ref="B28:C28"/>
  <sheetViews>
    <sheetView showGridLines="0" topLeftCell="A10" workbookViewId="0">
      <selection activeCell="C28" sqref="C28"/>
    </sheetView>
  </sheetViews>
  <sheetFormatPr baseColWidth="10" defaultRowHeight="15" x14ac:dyDescent="0.25"/>
  <sheetData>
    <row r="28" spans="2:3" x14ac:dyDescent="0.25">
      <c r="B28" s="1" t="s">
        <v>8</v>
      </c>
      <c r="C28" s="53" t="s">
        <v>13</v>
      </c>
    </row>
  </sheetData>
  <hyperlinks>
    <hyperlink ref="C28" r:id="rId1" xr:uid="{551FFD17-68B3-4454-ADB6-E18E31D85653}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7EE89-42DE-49F5-A92E-B23E822EAD05}">
  <dimension ref="B2:W37"/>
  <sheetViews>
    <sheetView showGridLines="0" topLeftCell="L1" zoomScale="85" zoomScaleNormal="85" workbookViewId="0">
      <selection activeCell="Q4" sqref="Q4:Q27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6.5703125" customWidth="1"/>
    <col min="20" max="20" width="0.7109375" customWidth="1"/>
    <col min="21" max="21" width="6.5703125" hidden="1" customWidth="1"/>
    <col min="22" max="22" width="6.5703125" customWidth="1"/>
  </cols>
  <sheetData>
    <row r="2" spans="2:21" ht="15.75" thickBot="1" x14ac:dyDescent="0.3">
      <c r="B2" s="23" t="str">
        <f>O2</f>
        <v>Stand:</v>
      </c>
      <c r="C2" s="22">
        <f>P2</f>
        <v>44118</v>
      </c>
      <c r="O2" s="23" t="s">
        <v>9</v>
      </c>
      <c r="P2" s="22">
        <v>44118</v>
      </c>
    </row>
    <row r="3" spans="2:21" ht="15.75" customHeight="1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52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Tabelle14253710111213[[#This Row],[Positiv Rate]]</f>
        <v>3.1206902081529233E-2</v>
      </c>
      <c r="T4" s="50">
        <f>Tabelle14253710111213[[#This Row],[Positiv]]/Tabelle14253710111213[[#This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Tabelle14253710111213[[#This Row],[Positiv Rate]]</f>
        <v>5.9486728857575499E-2</v>
      </c>
      <c r="T5" s="50">
        <f>Tabelle14253710111213[[#This Row],[Positiv]]/Tabelle14253710111213[[#This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Tabelle14253710111213[[#This Row],[Positiv Rate]]</f>
        <v>6.8326740653836995E-2</v>
      </c>
      <c r="T6" s="50">
        <f>Tabelle14253710111213[[#This Row],[Positiv]]/Tabelle14253710111213[[#This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Tabelle14253710111213[[#This Row],[Positiv Rate]]</f>
        <v>8.6895426192550793E-2</v>
      </c>
      <c r="T7" s="50">
        <f>Tabelle14253710111213[[#This Row],[Positiv]]/Tabelle14253710111213[[#This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Tabelle14253710111213[[#This Row],[Positiv Rate]]</f>
        <v>9.0327367833318642E-2</v>
      </c>
      <c r="T8" s="50">
        <f>Tabelle14253710111213[[#This Row],[Positiv]]/Tabelle14253710111213[[#This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Tabelle14253710111213[[#This Row],[Positiv Rate]]</f>
        <v>8.0986962022320003E-2</v>
      </c>
      <c r="T9" s="50">
        <f>Tabelle14253710111213[[#This Row],[Positiv]]/Tabelle14253710111213[[#This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Tabelle14253710111213[[#This Row],[Positiv Rate]]</f>
        <v>6.65316870642539E-2</v>
      </c>
      <c r="T10" s="50">
        <f>Tabelle14253710111213[[#This Row],[Positiv]]/Tabelle14253710111213[[#This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Tabelle14253710111213[[#This Row],[Positiv Rate]]</f>
        <v>4.9693588721866501E-2</v>
      </c>
      <c r="T11" s="50">
        <f>Tabelle14253710111213[[#This Row],[Positiv]]/Tabelle14253710111213[[#This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Tabelle14253710111213[[#This Row],[Positiv Rate]]</f>
        <v>3.8581588063209174E-2</v>
      </c>
      <c r="T12" s="50">
        <f>Tabelle14253710111213[[#This Row],[Positiv]]/Tabelle14253710111213[[#This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Tabelle14253710111213[[#This Row],[Positiv Rate]]</f>
        <v>2.6629526462395543E-2</v>
      </c>
      <c r="T13" s="50">
        <f>Tabelle14253710111213[[#This Row],[Positiv]]/Tabelle14253710111213[[#This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Tabelle14253710111213[[#This Row],[Positiv Rate]]</f>
        <v>1.6717283077477777E-2</v>
      </c>
      <c r="T14" s="50">
        <f>Tabelle14253710111213[[#This Row],[Positiv]]/Tabelle14253710111213[[#This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Tabelle14253710111213[[#This Row],[Positiv Rate]]</f>
        <v>1.4762339907261498E-2</v>
      </c>
      <c r="T15" s="50">
        <f>Tabelle14253710111213[[#This Row],[Positiv]]/Tabelle14253710111213[[#This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Tabelle14253710111213[[#This Row],[Positiv Rate]]</f>
        <v>1.0634911626598629E-2</v>
      </c>
      <c r="T16" s="50">
        <f>Tabelle14253710111213[[#This Row],[Positiv]]/Tabelle14253710111213[[#This Row],[Test]]</f>
        <v>1.0634911626598629E-2</v>
      </c>
      <c r="U16" s="1">
        <v>178</v>
      </c>
    </row>
    <row r="17" spans="16:23" x14ac:dyDescent="0.25">
      <c r="P17" s="41">
        <v>23</v>
      </c>
      <c r="Q17" s="42">
        <v>340986</v>
      </c>
      <c r="R17" s="42">
        <v>3208</v>
      </c>
      <c r="S17" s="43">
        <f>Tabelle14253710111213[[#This Row],[Positiv Rate]]</f>
        <v>9.408010886077435E-3</v>
      </c>
      <c r="T17" s="50">
        <f>Tabelle14253710111213[[#This Row],[Positiv]]/Tabelle14253710111213[[#This Row],[Test]]</f>
        <v>9.408010886077435E-3</v>
      </c>
      <c r="U17" s="1">
        <v>176</v>
      </c>
    </row>
    <row r="18" spans="16:23" x14ac:dyDescent="0.25">
      <c r="P18" s="41">
        <v>24</v>
      </c>
      <c r="Q18" s="42">
        <v>327196</v>
      </c>
      <c r="R18" s="42">
        <v>2816</v>
      </c>
      <c r="S18" s="43">
        <f>Tabelle14253710111213[[#This Row],[Positiv Rate]]</f>
        <v>8.6064621816892631E-3</v>
      </c>
      <c r="T18" s="50">
        <f>Tabelle14253710111213[[#This Row],[Positiv]]/Tabelle14253710111213[[#This Row],[Test]]</f>
        <v>8.6064621816892631E-3</v>
      </c>
      <c r="U18" s="1">
        <v>173</v>
      </c>
    </row>
    <row r="19" spans="16:23" x14ac:dyDescent="0.25">
      <c r="P19" s="41">
        <v>25</v>
      </c>
      <c r="Q19" s="42">
        <v>388187</v>
      </c>
      <c r="R19" s="42">
        <v>5316</v>
      </c>
      <c r="S19" s="43">
        <f>Tabelle14253710111213[[#This Row],[Positiv Rate]]</f>
        <v>1.3694430776919371E-2</v>
      </c>
      <c r="T19" s="50">
        <f>Tabelle14253710111213[[#This Row],[Positiv]]/Tabelle14253710111213[[#This Row],[Test]]</f>
        <v>1.3694430776919371E-2</v>
      </c>
      <c r="U19" s="1">
        <v>176</v>
      </c>
      <c r="W19" s="55">
        <v>9327677</v>
      </c>
    </row>
    <row r="20" spans="16:23" x14ac:dyDescent="0.25">
      <c r="P20" s="41">
        <v>26</v>
      </c>
      <c r="Q20" s="42">
        <v>467413</v>
      </c>
      <c r="R20" s="42">
        <v>3689</v>
      </c>
      <c r="S20" s="43">
        <f>Tabelle14253710111213[[#This Row],[Positiv Rate]]</f>
        <v>7.8923778328801302E-3</v>
      </c>
      <c r="T20" s="50">
        <f>Tabelle14253710111213[[#This Row],[Positiv]]/Tabelle14253710111213[[#This Row],[Test]]</f>
        <v>7.8923778328801302E-3</v>
      </c>
      <c r="U20" s="1">
        <v>180</v>
      </c>
      <c r="W20" s="55">
        <f>SUM(Q4:Q26)</f>
        <v>9347080</v>
      </c>
    </row>
    <row r="21" spans="16:23" x14ac:dyDescent="0.25">
      <c r="P21" s="41">
        <v>27</v>
      </c>
      <c r="Q21" s="42">
        <v>507663</v>
      </c>
      <c r="R21" s="42">
        <v>3104</v>
      </c>
      <c r="S21" s="43">
        <f>Tabelle14253710111213[[#This Row],[Positiv Rate]]</f>
        <v>6.1142923553617265E-3</v>
      </c>
      <c r="T21" s="50">
        <f>Tabelle14253710111213[[#This Row],[Positiv]]/Tabelle14253710111213[[#This Row],[Test]]</f>
        <v>6.1142923553617265E-3</v>
      </c>
      <c r="U21" s="1">
        <v>152</v>
      </c>
    </row>
    <row r="22" spans="16:23" x14ac:dyDescent="0.25">
      <c r="P22" s="41">
        <v>28</v>
      </c>
      <c r="Q22" s="42">
        <v>510551</v>
      </c>
      <c r="R22" s="42">
        <v>2992</v>
      </c>
      <c r="S22" s="43">
        <f>Tabelle14253710111213[[#This Row],[Positiv Rate]]</f>
        <v>5.8603352064730066E-3</v>
      </c>
      <c r="T22" s="50">
        <f>Tabelle14253710111213[[#This Row],[Positiv]]/Tabelle14253710111213[[#This Row],[Test]]</f>
        <v>5.8603352064730066E-3</v>
      </c>
      <c r="U22" s="1">
        <v>179</v>
      </c>
    </row>
    <row r="23" spans="16:23" x14ac:dyDescent="0.25">
      <c r="P23" s="41">
        <v>29</v>
      </c>
      <c r="Q23" s="42">
        <v>538701</v>
      </c>
      <c r="R23" s="42">
        <v>3497</v>
      </c>
      <c r="S23" s="43">
        <f>Tabelle14253710111213[[#This Row],[Positiv Rate]]</f>
        <v>6.4915416901026729E-3</v>
      </c>
      <c r="T23" s="50">
        <f>Tabelle14253710111213[[#This Row],[Positiv]]/Tabelle14253710111213[[#This Row],[Test]]</f>
        <v>6.4915416901026729E-3</v>
      </c>
      <c r="U23" s="1">
        <v>177</v>
      </c>
    </row>
    <row r="24" spans="16:23" x14ac:dyDescent="0.25">
      <c r="P24" s="41">
        <v>30</v>
      </c>
      <c r="Q24" s="42">
        <v>574883</v>
      </c>
      <c r="R24" s="42">
        <v>4539</v>
      </c>
      <c r="S24" s="43">
        <f>Tabelle14253710111213[[#This Row],[Positiv Rate]]</f>
        <v>7.8955196100771816E-3</v>
      </c>
      <c r="T24" s="50">
        <f>Tabelle14253710111213[[#This Row],[Positiv]]/Tabelle14253710111213[[#This Row],[Test]]</f>
        <v>7.8955196100771816E-3</v>
      </c>
      <c r="U24" s="1">
        <v>183</v>
      </c>
    </row>
    <row r="25" spans="16:23" x14ac:dyDescent="0.25">
      <c r="P25" s="41">
        <v>31</v>
      </c>
      <c r="Q25" s="42">
        <v>586620</v>
      </c>
      <c r="R25" s="42">
        <v>5738</v>
      </c>
      <c r="S25" s="43">
        <f>Tabelle14253710111213[[#This Row],[Positiv Rate]]</f>
        <v>9.7814598888547946E-3</v>
      </c>
      <c r="T25" s="50">
        <f>Tabelle14253710111213[[#This Row],[Positiv]]/Tabelle14253710111213[[#This Row],[Test]]</f>
        <v>9.7814598888547946E-3</v>
      </c>
      <c r="U25" s="1">
        <v>170</v>
      </c>
    </row>
    <row r="26" spans="16:23" x14ac:dyDescent="0.25">
      <c r="P26" s="41">
        <v>32</v>
      </c>
      <c r="Q26" s="42">
        <v>736171</v>
      </c>
      <c r="R26" s="42">
        <v>7335</v>
      </c>
      <c r="S26" s="43">
        <f>Tabelle14253710111213[[#This Row],[Positiv Rate]]</f>
        <v>9.963717668856828E-3</v>
      </c>
      <c r="T26" s="50">
        <f>Tabelle14253710111213[[#This Row],[Positiv]]/Tabelle14253710111213[[#This Row],[Test]]</f>
        <v>9.963717668856828E-3</v>
      </c>
      <c r="U26" s="1">
        <v>169</v>
      </c>
    </row>
    <row r="27" spans="16:23" x14ac:dyDescent="0.25">
      <c r="P27" s="41">
        <v>33</v>
      </c>
      <c r="Q27" s="42">
        <v>864004</v>
      </c>
      <c r="R27" s="42">
        <v>8398</v>
      </c>
      <c r="S27" s="43">
        <f>Tabelle14253710111213[[#This Row],[Positiv Rate]]</f>
        <v>9.7198624080444065E-3</v>
      </c>
      <c r="T27" s="50">
        <f>Tabelle14253710111213[[#This Row],[Positiv]]/Tabelle14253710111213[[#This Row],[Test]]</f>
        <v>9.7198624080444065E-3</v>
      </c>
      <c r="U27" s="1">
        <v>191</v>
      </c>
    </row>
    <row r="28" spans="16:23" x14ac:dyDescent="0.25">
      <c r="P28" s="41">
        <v>34</v>
      </c>
      <c r="Q28" s="42">
        <v>1094506</v>
      </c>
      <c r="R28" s="42">
        <v>9233</v>
      </c>
      <c r="S28" s="43">
        <f>Tabelle14253710111213[[#This Row],[Positiv Rate]]</f>
        <v>8.4357691963314954E-3</v>
      </c>
      <c r="T28" s="51">
        <f>Tabelle14253710111213[[#This Row],[Positiv]]/Tabelle14253710111213[[#This Row],[Test]]</f>
        <v>8.4357691963314954E-3</v>
      </c>
      <c r="U28" s="34">
        <v>199</v>
      </c>
    </row>
    <row r="29" spans="16:23" x14ac:dyDescent="0.25">
      <c r="P29" s="41">
        <v>35</v>
      </c>
      <c r="Q29" s="42">
        <v>1121214</v>
      </c>
      <c r="R29" s="42">
        <v>8324</v>
      </c>
      <c r="S29" s="43">
        <f>Tabelle14253710111213[[#This Row],[Positiv Rate]]</f>
        <v>7.4240956677315839E-3</v>
      </c>
      <c r="T29" s="51">
        <f>Tabelle14253710111213[[#This Row],[Positiv]]/Tabelle14253710111213[[#This Row],[Test]]</f>
        <v>7.4240956677315839E-3</v>
      </c>
      <c r="U29" s="34">
        <v>192</v>
      </c>
    </row>
    <row r="30" spans="16:23" x14ac:dyDescent="0.25">
      <c r="P30" s="41">
        <v>36</v>
      </c>
      <c r="Q30" s="42">
        <v>1099560</v>
      </c>
      <c r="R30" s="42">
        <v>8175</v>
      </c>
      <c r="S30" s="43">
        <f>Tabelle14253710111213[[#This Row],[Positiv Rate]]</f>
        <v>7.4347920986576445E-3</v>
      </c>
      <c r="T30" s="51">
        <f>Tabelle14253710111213[[#This Row],[Positiv]]/Tabelle14253710111213[[#This Row],[Test]]</f>
        <v>7.4347920986576445E-3</v>
      </c>
      <c r="U30" s="34">
        <v>192</v>
      </c>
    </row>
    <row r="31" spans="16:23" x14ac:dyDescent="0.25">
      <c r="P31" s="41">
        <v>37</v>
      </c>
      <c r="Q31" s="42">
        <v>1162133</v>
      </c>
      <c r="R31" s="42">
        <v>10025</v>
      </c>
      <c r="S31" s="43">
        <f>Tabelle14253710111213[[#This Row],[Positiv Rate]]</f>
        <v>8.6263792526328747E-3</v>
      </c>
      <c r="T31" s="51">
        <f>Tabelle14253710111213[[#This Row],[Positiv]]/Tabelle14253710111213[[#This Row],[Test]]</f>
        <v>8.6263792526328747E-3</v>
      </c>
      <c r="U31" s="34">
        <v>193</v>
      </c>
    </row>
    <row r="32" spans="16:23" x14ac:dyDescent="0.25">
      <c r="P32" s="41">
        <v>38</v>
      </c>
      <c r="Q32" s="42">
        <v>1149257</v>
      </c>
      <c r="R32" s="42">
        <v>13279</v>
      </c>
      <c r="S32" s="43">
        <f>Tabelle14253710111213[[#This Row],[Positiv Rate]]</f>
        <v>1.1554421682878591E-2</v>
      </c>
      <c r="T32" s="51">
        <f>Tabelle14253710111213[[#This Row],[Positiv]]/Tabelle14253710111213[[#This Row],[Test]]</f>
        <v>1.1554421682878591E-2</v>
      </c>
      <c r="U32" s="31">
        <v>203</v>
      </c>
    </row>
    <row r="33" spans="16:21" x14ac:dyDescent="0.25">
      <c r="P33" s="41">
        <v>39</v>
      </c>
      <c r="Q33" s="21">
        <v>1167870</v>
      </c>
      <c r="R33" s="21">
        <v>14295</v>
      </c>
      <c r="S33" s="32">
        <f>Tabelle14253710111213[[#This Row],[Positiv Rate]]</f>
        <v>1.2240232217626962E-2</v>
      </c>
      <c r="T33" s="51">
        <f>Tabelle14253710111213[[#This Row],[Positiv]]/Tabelle14253710111213[[#This Row],[Test]]</f>
        <v>1.2240232217626962E-2</v>
      </c>
      <c r="U33" s="54">
        <v>190</v>
      </c>
    </row>
    <row r="34" spans="16:21" x14ac:dyDescent="0.25">
      <c r="P34" s="41">
        <v>40</v>
      </c>
      <c r="Q34" s="21">
        <v>1103455</v>
      </c>
      <c r="R34" s="21">
        <v>18356</v>
      </c>
      <c r="S34" s="32">
        <f>Tabelle14253710111213[[#This Row],[Positiv Rate]]</f>
        <v>1.6635023630324753E-2</v>
      </c>
      <c r="T34" s="51">
        <f>Tabelle14253710111213[[#This Row],[Positiv]]/Tabelle14253710111213[[#This Row],[Test]]</f>
        <v>1.6635023630324753E-2</v>
      </c>
      <c r="U34" s="54">
        <v>192</v>
      </c>
    </row>
    <row r="35" spans="16:21" x14ac:dyDescent="0.25">
      <c r="P35" s="41">
        <v>41</v>
      </c>
      <c r="Q35" s="21">
        <v>1167428</v>
      </c>
      <c r="R35" s="21">
        <v>29003</v>
      </c>
      <c r="S35" s="32">
        <f>Tabelle14253710111213[[#This Row],[Positiv Rate]]</f>
        <v>2.4843502126041177E-2</v>
      </c>
      <c r="T35" s="51">
        <f>Tabelle14253710111213[[#This Row],[Positiv]]/Tabelle14253710111213[[#This Row],[Test]]</f>
        <v>2.4843502126041177E-2</v>
      </c>
      <c r="U35" s="54">
        <v>182</v>
      </c>
    </row>
    <row r="36" spans="16:21" ht="15.75" thickBot="1" x14ac:dyDescent="0.3"/>
    <row r="37" spans="16:21" x14ac:dyDescent="0.25">
      <c r="P37" s="35" t="s">
        <v>6</v>
      </c>
      <c r="Q37" s="36">
        <f>SUM(Tabelle14253710111213[Test])</f>
        <v>19276507</v>
      </c>
      <c r="R37" s="37">
        <f>SUM(Tabelle14253710111213[Positiv])</f>
        <v>375995</v>
      </c>
    </row>
  </sheetData>
  <pageMargins left="0.70866141732283472" right="0.70866141732283472" top="0.19685039370078741" bottom="0.19685039370078741" header="0.31496062992125984" footer="0.31496062992125984"/>
  <pageSetup paperSize="9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B782-8397-4258-906C-30BE7C983D2E}">
  <dimension ref="B2:U36"/>
  <sheetViews>
    <sheetView showGridLines="0" zoomScale="85" zoomScaleNormal="85" workbookViewId="0">
      <selection activeCell="X23" sqref="X23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6.5703125" customWidth="1"/>
    <col min="20" max="20" width="0.7109375" customWidth="1"/>
    <col min="21" max="21" width="6.5703125" hidden="1" customWidth="1"/>
    <col min="22" max="22" width="6.5703125" customWidth="1"/>
  </cols>
  <sheetData>
    <row r="2" spans="2:21" ht="15.75" thickBot="1" x14ac:dyDescent="0.3">
      <c r="B2" s="23" t="str">
        <f>O2</f>
        <v>Stand:</v>
      </c>
      <c r="C2" s="22">
        <f>P2</f>
        <v>44111</v>
      </c>
      <c r="O2" s="23" t="s">
        <v>9</v>
      </c>
      <c r="P2" s="22">
        <v>44111</v>
      </c>
    </row>
    <row r="3" spans="2:21" ht="15.75" customHeight="1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52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Tabelle142537101112[[#This Row],[Positiv Rate]]</f>
        <v>3.1206902081529233E-2</v>
      </c>
      <c r="T4" s="50">
        <f>Tabelle142537101112[[#This Row],[Positiv]]/Tabelle142537101112[[#This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Tabelle142537101112[[#This Row],[Positiv Rate]]</f>
        <v>5.9486728857575499E-2</v>
      </c>
      <c r="T5" s="50">
        <f>Tabelle142537101112[[#This Row],[Positiv]]/Tabelle142537101112[[#This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Tabelle142537101112[[#This Row],[Positiv Rate]]</f>
        <v>6.8326740653836995E-2</v>
      </c>
      <c r="T6" s="50">
        <f>Tabelle142537101112[[#This Row],[Positiv]]/Tabelle142537101112[[#This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Tabelle142537101112[[#This Row],[Positiv Rate]]</f>
        <v>8.6895426192550793E-2</v>
      </c>
      <c r="T7" s="50">
        <f>Tabelle142537101112[[#This Row],[Positiv]]/Tabelle142537101112[[#This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Tabelle142537101112[[#This Row],[Positiv Rate]]</f>
        <v>9.0327367833318642E-2</v>
      </c>
      <c r="T8" s="50">
        <f>Tabelle142537101112[[#This Row],[Positiv]]/Tabelle142537101112[[#This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Tabelle142537101112[[#This Row],[Positiv Rate]]</f>
        <v>8.0986962022320003E-2</v>
      </c>
      <c r="T9" s="50">
        <f>Tabelle142537101112[[#This Row],[Positiv]]/Tabelle142537101112[[#This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Tabelle142537101112[[#This Row],[Positiv Rate]]</f>
        <v>6.65316870642539E-2</v>
      </c>
      <c r="T10" s="50">
        <f>Tabelle142537101112[[#This Row],[Positiv]]/Tabelle142537101112[[#This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Tabelle142537101112[[#This Row],[Positiv Rate]]</f>
        <v>4.9693588721866501E-2</v>
      </c>
      <c r="T11" s="50">
        <f>Tabelle142537101112[[#This Row],[Positiv]]/Tabelle142537101112[[#This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Tabelle142537101112[[#This Row],[Positiv Rate]]</f>
        <v>3.8581588063209174E-2</v>
      </c>
      <c r="T12" s="50">
        <f>Tabelle142537101112[[#This Row],[Positiv]]/Tabelle142537101112[[#This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Tabelle142537101112[[#This Row],[Positiv Rate]]</f>
        <v>2.6629526462395543E-2</v>
      </c>
      <c r="T13" s="50">
        <f>Tabelle142537101112[[#This Row],[Positiv]]/Tabelle142537101112[[#This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Tabelle142537101112[[#This Row],[Positiv Rate]]</f>
        <v>1.6717283077477777E-2</v>
      </c>
      <c r="T14" s="50">
        <f>Tabelle142537101112[[#This Row],[Positiv]]/Tabelle142537101112[[#This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Tabelle142537101112[[#This Row],[Positiv Rate]]</f>
        <v>1.4762339907261498E-2</v>
      </c>
      <c r="T15" s="50">
        <f>Tabelle142537101112[[#This Row],[Positiv]]/Tabelle142537101112[[#This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Tabelle142537101112[[#This Row],[Positiv Rate]]</f>
        <v>1.0634911626598629E-2</v>
      </c>
      <c r="T16" s="50">
        <f>Tabelle142537101112[[#This Row],[Positiv]]/Tabelle142537101112[[#This Row],[Test]]</f>
        <v>1.0634911626598629E-2</v>
      </c>
      <c r="U16" s="1">
        <v>178</v>
      </c>
    </row>
    <row r="17" spans="16:21" x14ac:dyDescent="0.25">
      <c r="P17" s="41">
        <v>23</v>
      </c>
      <c r="Q17" s="42">
        <v>340986</v>
      </c>
      <c r="R17" s="42">
        <v>3208</v>
      </c>
      <c r="S17" s="43">
        <f>Tabelle142537101112[[#This Row],[Positiv Rate]]</f>
        <v>9.408010886077435E-3</v>
      </c>
      <c r="T17" s="50">
        <f>Tabelle142537101112[[#This Row],[Positiv]]/Tabelle142537101112[[#This Row],[Test]]</f>
        <v>9.408010886077435E-3</v>
      </c>
      <c r="U17" s="1">
        <v>176</v>
      </c>
    </row>
    <row r="18" spans="16:21" x14ac:dyDescent="0.25">
      <c r="P18" s="41">
        <v>24</v>
      </c>
      <c r="Q18" s="42">
        <v>327196</v>
      </c>
      <c r="R18" s="42">
        <v>2816</v>
      </c>
      <c r="S18" s="43">
        <f>Tabelle142537101112[[#This Row],[Positiv Rate]]</f>
        <v>8.6064621816892631E-3</v>
      </c>
      <c r="T18" s="50">
        <f>Tabelle142537101112[[#This Row],[Positiv]]/Tabelle142537101112[[#This Row],[Test]]</f>
        <v>8.6064621816892631E-3</v>
      </c>
      <c r="U18" s="1">
        <v>173</v>
      </c>
    </row>
    <row r="19" spans="16:21" x14ac:dyDescent="0.25">
      <c r="P19" s="41">
        <v>25</v>
      </c>
      <c r="Q19" s="42">
        <v>388187</v>
      </c>
      <c r="R19" s="42">
        <v>5316</v>
      </c>
      <c r="S19" s="43">
        <f>Tabelle142537101112[[#This Row],[Positiv Rate]]</f>
        <v>1.3694430776919371E-2</v>
      </c>
      <c r="T19" s="50">
        <f>Tabelle142537101112[[#This Row],[Positiv]]/Tabelle142537101112[[#This Row],[Test]]</f>
        <v>1.3694430776919371E-2</v>
      </c>
      <c r="U19" s="1">
        <v>176</v>
      </c>
    </row>
    <row r="20" spans="16:21" x14ac:dyDescent="0.25">
      <c r="P20" s="41">
        <v>26</v>
      </c>
      <c r="Q20" s="42">
        <v>467413</v>
      </c>
      <c r="R20" s="42">
        <v>3689</v>
      </c>
      <c r="S20" s="43">
        <f>Tabelle142537101112[[#This Row],[Positiv Rate]]</f>
        <v>7.8923778328801302E-3</v>
      </c>
      <c r="T20" s="50">
        <f>Tabelle142537101112[[#This Row],[Positiv]]/Tabelle142537101112[[#This Row],[Test]]</f>
        <v>7.8923778328801302E-3</v>
      </c>
      <c r="U20" s="1">
        <v>180</v>
      </c>
    </row>
    <row r="21" spans="16:21" x14ac:dyDescent="0.25">
      <c r="P21" s="41">
        <v>27</v>
      </c>
      <c r="Q21" s="42">
        <v>507663</v>
      </c>
      <c r="R21" s="42">
        <v>3104</v>
      </c>
      <c r="S21" s="43">
        <f>Tabelle142537101112[[#This Row],[Positiv Rate]]</f>
        <v>6.1142923553617265E-3</v>
      </c>
      <c r="T21" s="50">
        <f>Tabelle142537101112[[#This Row],[Positiv]]/Tabelle142537101112[[#This Row],[Test]]</f>
        <v>6.1142923553617265E-3</v>
      </c>
      <c r="U21" s="1">
        <v>152</v>
      </c>
    </row>
    <row r="22" spans="16:21" x14ac:dyDescent="0.25">
      <c r="P22" s="41">
        <v>28</v>
      </c>
      <c r="Q22" s="42">
        <v>510551</v>
      </c>
      <c r="R22" s="42">
        <v>2992</v>
      </c>
      <c r="S22" s="43">
        <f>Tabelle142537101112[[#This Row],[Positiv Rate]]</f>
        <v>5.8603352064730066E-3</v>
      </c>
      <c r="T22" s="50">
        <f>Tabelle142537101112[[#This Row],[Positiv]]/Tabelle142537101112[[#This Row],[Test]]</f>
        <v>5.8603352064730066E-3</v>
      </c>
      <c r="U22" s="1">
        <v>179</v>
      </c>
    </row>
    <row r="23" spans="16:21" x14ac:dyDescent="0.25">
      <c r="P23" s="41">
        <v>29</v>
      </c>
      <c r="Q23" s="42">
        <v>538701</v>
      </c>
      <c r="R23" s="42">
        <v>3497</v>
      </c>
      <c r="S23" s="43">
        <f>Tabelle142537101112[[#This Row],[Positiv Rate]]</f>
        <v>6.4915416901026729E-3</v>
      </c>
      <c r="T23" s="50">
        <f>Tabelle142537101112[[#This Row],[Positiv]]/Tabelle142537101112[[#This Row],[Test]]</f>
        <v>6.4915416901026729E-3</v>
      </c>
      <c r="U23" s="1">
        <v>177</v>
      </c>
    </row>
    <row r="24" spans="16:21" x14ac:dyDescent="0.25">
      <c r="P24" s="41">
        <v>30</v>
      </c>
      <c r="Q24" s="42">
        <v>574883</v>
      </c>
      <c r="R24" s="42">
        <v>4539</v>
      </c>
      <c r="S24" s="43">
        <f>Tabelle142537101112[[#This Row],[Positiv Rate]]</f>
        <v>7.8955196100771816E-3</v>
      </c>
      <c r="T24" s="50">
        <f>Tabelle142537101112[[#This Row],[Positiv]]/Tabelle142537101112[[#This Row],[Test]]</f>
        <v>7.8955196100771816E-3</v>
      </c>
      <c r="U24" s="1">
        <v>183</v>
      </c>
    </row>
    <row r="25" spans="16:21" x14ac:dyDescent="0.25">
      <c r="P25" s="41">
        <v>31</v>
      </c>
      <c r="Q25" s="42">
        <v>586620</v>
      </c>
      <c r="R25" s="42">
        <v>5738</v>
      </c>
      <c r="S25" s="43">
        <f>Tabelle142537101112[[#This Row],[Positiv Rate]]</f>
        <v>9.7814598888547946E-3</v>
      </c>
      <c r="T25" s="50">
        <f>Tabelle142537101112[[#This Row],[Positiv]]/Tabelle142537101112[[#This Row],[Test]]</f>
        <v>9.7814598888547946E-3</v>
      </c>
      <c r="U25" s="1">
        <v>170</v>
      </c>
    </row>
    <row r="26" spans="16:21" x14ac:dyDescent="0.25">
      <c r="P26" s="41">
        <v>32</v>
      </c>
      <c r="Q26" s="42">
        <v>736171</v>
      </c>
      <c r="R26" s="42">
        <v>7335</v>
      </c>
      <c r="S26" s="43">
        <f>Tabelle142537101112[[#This Row],[Positiv Rate]]</f>
        <v>9.963717668856828E-3</v>
      </c>
      <c r="T26" s="50">
        <f>Tabelle142537101112[[#This Row],[Positiv]]/Tabelle142537101112[[#This Row],[Test]]</f>
        <v>9.963717668856828E-3</v>
      </c>
      <c r="U26" s="1">
        <v>169</v>
      </c>
    </row>
    <row r="27" spans="16:21" x14ac:dyDescent="0.25">
      <c r="P27" s="41">
        <v>33</v>
      </c>
      <c r="Q27" s="42">
        <v>891988</v>
      </c>
      <c r="R27" s="42">
        <v>8661</v>
      </c>
      <c r="S27" s="43">
        <f>Tabelle142537101112[[#This Row],[Positiv Rate]]</f>
        <v>9.7097718803391981E-3</v>
      </c>
      <c r="T27" s="50">
        <f>Tabelle142537101112[[#This Row],[Positiv]]/Tabelle142537101112[[#This Row],[Test]]</f>
        <v>9.7097718803391981E-3</v>
      </c>
      <c r="U27" s="1">
        <v>188</v>
      </c>
    </row>
    <row r="28" spans="16:21" x14ac:dyDescent="0.25">
      <c r="P28" s="41">
        <v>34</v>
      </c>
      <c r="Q28" s="42">
        <v>1094506</v>
      </c>
      <c r="R28" s="42">
        <v>9233</v>
      </c>
      <c r="S28" s="43">
        <f>Tabelle142537101112[[#This Row],[Positiv Rate]]</f>
        <v>8.4357691963314954E-3</v>
      </c>
      <c r="T28" s="51">
        <f>Tabelle142537101112[[#This Row],[Positiv]]/Tabelle142537101112[[#This Row],[Test]]</f>
        <v>8.4357691963314954E-3</v>
      </c>
      <c r="U28" s="34">
        <v>199</v>
      </c>
    </row>
    <row r="29" spans="16:21" x14ac:dyDescent="0.25">
      <c r="P29" s="41">
        <v>35</v>
      </c>
      <c r="Q29" s="42">
        <v>1121214</v>
      </c>
      <c r="R29" s="42">
        <v>8324</v>
      </c>
      <c r="S29" s="43">
        <f>Tabelle142537101112[[#This Row],[Positiv Rate]]</f>
        <v>7.4240956677315839E-3</v>
      </c>
      <c r="T29" s="51">
        <f>Tabelle142537101112[[#This Row],[Positiv]]/Tabelle142537101112[[#This Row],[Test]]</f>
        <v>7.4240956677315839E-3</v>
      </c>
      <c r="U29" s="34">
        <v>192</v>
      </c>
    </row>
    <row r="30" spans="16:21" x14ac:dyDescent="0.25">
      <c r="P30" s="41">
        <v>36</v>
      </c>
      <c r="Q30" s="42">
        <v>1099560</v>
      </c>
      <c r="R30" s="42">
        <v>8175</v>
      </c>
      <c r="S30" s="43">
        <f>Tabelle142537101112[[#This Row],[Positiv Rate]]</f>
        <v>7.4347920986576445E-3</v>
      </c>
      <c r="T30" s="51">
        <f>Tabelle142537101112[[#This Row],[Positiv]]/Tabelle142537101112[[#This Row],[Test]]</f>
        <v>7.4347920986576445E-3</v>
      </c>
      <c r="U30" s="34">
        <v>192</v>
      </c>
    </row>
    <row r="31" spans="16:21" x14ac:dyDescent="0.25">
      <c r="P31" s="41">
        <v>37</v>
      </c>
      <c r="Q31" s="42">
        <v>1162133</v>
      </c>
      <c r="R31" s="42">
        <v>10025</v>
      </c>
      <c r="S31" s="43">
        <f>Tabelle142537101112[[#This Row],[Positiv Rate]]</f>
        <v>8.6263792526328747E-3</v>
      </c>
      <c r="T31" s="51">
        <f>Tabelle142537101112[[#This Row],[Positiv]]/Tabelle142537101112[[#This Row],[Test]]</f>
        <v>8.6263792526328747E-3</v>
      </c>
      <c r="U31" s="34">
        <v>193</v>
      </c>
    </row>
    <row r="32" spans="16:21" x14ac:dyDescent="0.25">
      <c r="P32" s="41">
        <v>38</v>
      </c>
      <c r="Q32" s="42">
        <v>1149171</v>
      </c>
      <c r="R32" s="42">
        <v>13275</v>
      </c>
      <c r="S32" s="43">
        <f>Tabelle142537101112[[#This Row],[Positiv Rate]]</f>
        <v>1.1551805605954205E-2</v>
      </c>
      <c r="T32" s="51">
        <f>Tabelle142537101112[[#This Row],[Positiv]]/Tabelle142537101112[[#This Row],[Test]]</f>
        <v>1.1551805605954205E-2</v>
      </c>
      <c r="U32" s="31">
        <v>202</v>
      </c>
    </row>
    <row r="33" spans="16:21" x14ac:dyDescent="0.25">
      <c r="P33" s="41">
        <v>39</v>
      </c>
      <c r="Q33" s="21">
        <v>1168390</v>
      </c>
      <c r="R33" s="21">
        <v>14301</v>
      </c>
      <c r="S33" s="32">
        <f>Tabelle142537101112[[#This Row],[Positiv Rate]]</f>
        <v>1.2239919889762836E-2</v>
      </c>
      <c r="T33" s="51">
        <f>Tabelle142537101112[[#This Row],[Positiv]]/Tabelle142537101112[[#This Row],[Test]]</f>
        <v>1.2239919889762836E-2</v>
      </c>
      <c r="U33" s="54">
        <v>189</v>
      </c>
    </row>
    <row r="34" spans="16:21" x14ac:dyDescent="0.25">
      <c r="P34" s="41">
        <v>40</v>
      </c>
      <c r="Q34" s="21">
        <v>1095858</v>
      </c>
      <c r="R34" s="21">
        <v>17964</v>
      </c>
      <c r="S34" s="32">
        <f>Tabelle142537101112[[#This Row],[Positiv Rate]]</f>
        <v>1.639263481217457E-2</v>
      </c>
      <c r="T34" s="51">
        <f>Tabelle142537101112[[#This Row],[Positiv]]/Tabelle142537101112[[#This Row],[Test]]</f>
        <v>1.639263481217457E-2</v>
      </c>
      <c r="U34" s="54">
        <v>185</v>
      </c>
    </row>
    <row r="35" spans="16:21" ht="15.75" thickBot="1" x14ac:dyDescent="0.3"/>
    <row r="36" spans="16:21" x14ac:dyDescent="0.25">
      <c r="P36" s="35" t="s">
        <v>6</v>
      </c>
      <c r="Q36" s="36">
        <f>SUM(Tabelle142537101112[Test])</f>
        <v>18129900</v>
      </c>
      <c r="R36" s="37">
        <f>SUM(Tabelle142537101112[Positiv])</f>
        <v>346865</v>
      </c>
    </row>
  </sheetData>
  <pageMargins left="0.70866141732283472" right="0.70866141732283472" top="0.39370078740157483" bottom="0.39370078740157483" header="0.31496062992125984" footer="0.31496062992125984"/>
  <pageSetup paperSize="9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E4AE-7F4F-4A27-A4E5-ACE62978415D}">
  <dimension ref="B2:U35"/>
  <sheetViews>
    <sheetView showGridLines="0" topLeftCell="K1" zoomScaleNormal="100" workbookViewId="0">
      <selection activeCell="N26" sqref="N26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10" customWidth="1"/>
    <col min="20" max="20" width="1.28515625" customWidth="1"/>
    <col min="21" max="21" width="5.28515625" hidden="1" customWidth="1"/>
    <col min="22" max="22" width="5.28515625" customWidth="1"/>
  </cols>
  <sheetData>
    <row r="2" spans="2:21" ht="15.75" thickBot="1" x14ac:dyDescent="0.3">
      <c r="B2" s="23" t="str">
        <f>O2</f>
        <v>Stand:</v>
      </c>
      <c r="C2" s="22">
        <f>P2</f>
        <v>44104</v>
      </c>
      <c r="O2" s="23" t="s">
        <v>9</v>
      </c>
      <c r="P2" s="22">
        <v>44104</v>
      </c>
    </row>
    <row r="3" spans="2:21" ht="15.75" customHeight="1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52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Tabelle1425371011[[#This Row],[Positiv Rate]]</f>
        <v>3.1206902081529233E-2</v>
      </c>
      <c r="T4" s="50">
        <f>Tabelle1425371011[[#This Row],[Positiv]]/Tabelle1425371011[[#This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Tabelle1425371011[[#This Row],[Positiv Rate]]</f>
        <v>5.9486728857575499E-2</v>
      </c>
      <c r="T5" s="50">
        <f>Tabelle1425371011[[#This Row],[Positiv]]/Tabelle1425371011[[#This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Tabelle1425371011[[#This Row],[Positiv Rate]]</f>
        <v>6.8326740653836995E-2</v>
      </c>
      <c r="T6" s="50">
        <f>Tabelle1425371011[[#This Row],[Positiv]]/Tabelle1425371011[[#This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Tabelle1425371011[[#This Row],[Positiv Rate]]</f>
        <v>8.6895426192550793E-2</v>
      </c>
      <c r="T7" s="50">
        <f>Tabelle1425371011[[#This Row],[Positiv]]/Tabelle1425371011[[#This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Tabelle1425371011[[#This Row],[Positiv Rate]]</f>
        <v>9.0327367833318642E-2</v>
      </c>
      <c r="T8" s="50">
        <f>Tabelle1425371011[[#This Row],[Positiv]]/Tabelle1425371011[[#This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Tabelle1425371011[[#This Row],[Positiv Rate]]</f>
        <v>8.0986962022320003E-2</v>
      </c>
      <c r="T9" s="50">
        <f>Tabelle1425371011[[#This Row],[Positiv]]/Tabelle1425371011[[#This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Tabelle1425371011[[#This Row],[Positiv Rate]]</f>
        <v>6.65316870642539E-2</v>
      </c>
      <c r="T10" s="50">
        <f>Tabelle1425371011[[#This Row],[Positiv]]/Tabelle1425371011[[#This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Tabelle1425371011[[#This Row],[Positiv Rate]]</f>
        <v>4.9693588721866501E-2</v>
      </c>
      <c r="T11" s="50">
        <f>Tabelle1425371011[[#This Row],[Positiv]]/Tabelle1425371011[[#This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Tabelle1425371011[[#This Row],[Positiv Rate]]</f>
        <v>3.8581588063209174E-2</v>
      </c>
      <c r="T12" s="50">
        <f>Tabelle1425371011[[#This Row],[Positiv]]/Tabelle1425371011[[#This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Tabelle1425371011[[#This Row],[Positiv Rate]]</f>
        <v>2.6629526462395543E-2</v>
      </c>
      <c r="T13" s="50">
        <f>Tabelle1425371011[[#This Row],[Positiv]]/Tabelle1425371011[[#This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Tabelle1425371011[[#This Row],[Positiv Rate]]</f>
        <v>1.6717283077477777E-2</v>
      </c>
      <c r="T14" s="50">
        <f>Tabelle1425371011[[#This Row],[Positiv]]/Tabelle1425371011[[#This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Tabelle1425371011[[#This Row],[Positiv Rate]]</f>
        <v>1.4762339907261498E-2</v>
      </c>
      <c r="T15" s="50">
        <f>Tabelle1425371011[[#This Row],[Positiv]]/Tabelle1425371011[[#This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Tabelle1425371011[[#This Row],[Positiv Rate]]</f>
        <v>1.0634911626598629E-2</v>
      </c>
      <c r="T16" s="50">
        <f>Tabelle1425371011[[#This Row],[Positiv]]/Tabelle1425371011[[#This Row],[Test]]</f>
        <v>1.0634911626598629E-2</v>
      </c>
      <c r="U16" s="1">
        <v>178</v>
      </c>
    </row>
    <row r="17" spans="16:21" x14ac:dyDescent="0.25">
      <c r="P17" s="41">
        <v>23</v>
      </c>
      <c r="Q17" s="42">
        <v>340986</v>
      </c>
      <c r="R17" s="42">
        <v>3208</v>
      </c>
      <c r="S17" s="43">
        <f>Tabelle1425371011[[#This Row],[Positiv Rate]]</f>
        <v>9.408010886077435E-3</v>
      </c>
      <c r="T17" s="50">
        <f>Tabelle1425371011[[#This Row],[Positiv]]/Tabelle1425371011[[#This Row],[Test]]</f>
        <v>9.408010886077435E-3</v>
      </c>
      <c r="U17" s="1">
        <v>176</v>
      </c>
    </row>
    <row r="18" spans="16:21" x14ac:dyDescent="0.25">
      <c r="P18" s="41">
        <v>24</v>
      </c>
      <c r="Q18" s="42">
        <v>327196</v>
      </c>
      <c r="R18" s="42">
        <v>2816</v>
      </c>
      <c r="S18" s="43">
        <f>Tabelle1425371011[[#This Row],[Positiv Rate]]</f>
        <v>8.6064621816892631E-3</v>
      </c>
      <c r="T18" s="50">
        <f>Tabelle1425371011[[#This Row],[Positiv]]/Tabelle1425371011[[#This Row],[Test]]</f>
        <v>8.6064621816892631E-3</v>
      </c>
      <c r="U18" s="1">
        <v>173</v>
      </c>
    </row>
    <row r="19" spans="16:21" x14ac:dyDescent="0.25">
      <c r="P19" s="41">
        <v>25</v>
      </c>
      <c r="Q19" s="42">
        <v>388187</v>
      </c>
      <c r="R19" s="42">
        <v>5316</v>
      </c>
      <c r="S19" s="43">
        <f>Tabelle1425371011[[#This Row],[Positiv Rate]]</f>
        <v>1.3694430776919371E-2</v>
      </c>
      <c r="T19" s="50">
        <f>Tabelle1425371011[[#This Row],[Positiv]]/Tabelle1425371011[[#This Row],[Test]]</f>
        <v>1.3694430776919371E-2</v>
      </c>
      <c r="U19" s="1">
        <v>176</v>
      </c>
    </row>
    <row r="20" spans="16:21" x14ac:dyDescent="0.25">
      <c r="P20" s="41">
        <v>26</v>
      </c>
      <c r="Q20" s="42">
        <v>467413</v>
      </c>
      <c r="R20" s="42">
        <v>3689</v>
      </c>
      <c r="S20" s="43">
        <f>Tabelle1425371011[[#This Row],[Positiv Rate]]</f>
        <v>7.8923778328801302E-3</v>
      </c>
      <c r="T20" s="50">
        <f>Tabelle1425371011[[#This Row],[Positiv]]/Tabelle1425371011[[#This Row],[Test]]</f>
        <v>7.8923778328801302E-3</v>
      </c>
      <c r="U20" s="1">
        <v>180</v>
      </c>
    </row>
    <row r="21" spans="16:21" x14ac:dyDescent="0.25">
      <c r="P21" s="41">
        <v>27</v>
      </c>
      <c r="Q21" s="42">
        <v>506490</v>
      </c>
      <c r="R21" s="42">
        <v>3104</v>
      </c>
      <c r="S21" s="43">
        <f>Tabelle1425371011[[#This Row],[Positiv Rate]]</f>
        <v>6.1284526841596087E-3</v>
      </c>
      <c r="T21" s="50">
        <f>Tabelle1425371011[[#This Row],[Positiv]]/Tabelle1425371011[[#This Row],[Test]]</f>
        <v>6.1284526841596087E-3</v>
      </c>
      <c r="U21" s="1">
        <v>151</v>
      </c>
    </row>
    <row r="22" spans="16:21" x14ac:dyDescent="0.25">
      <c r="P22" s="41">
        <v>28</v>
      </c>
      <c r="Q22" s="42">
        <v>510551</v>
      </c>
      <c r="R22" s="42">
        <v>2992</v>
      </c>
      <c r="S22" s="43">
        <f>Tabelle1425371011[[#This Row],[Positiv Rate]]</f>
        <v>5.8603352064730066E-3</v>
      </c>
      <c r="T22" s="50">
        <f>Tabelle1425371011[[#This Row],[Positiv]]/Tabelle1425371011[[#This Row],[Test]]</f>
        <v>5.8603352064730066E-3</v>
      </c>
      <c r="U22" s="1">
        <v>179</v>
      </c>
    </row>
    <row r="23" spans="16:21" x14ac:dyDescent="0.25">
      <c r="P23" s="41">
        <v>29</v>
      </c>
      <c r="Q23" s="42">
        <v>538701</v>
      </c>
      <c r="R23" s="42">
        <v>3497</v>
      </c>
      <c r="S23" s="43">
        <f>Tabelle1425371011[[#This Row],[Positiv Rate]]</f>
        <v>6.4915416901026729E-3</v>
      </c>
      <c r="T23" s="50">
        <f>Tabelle1425371011[[#This Row],[Positiv]]/Tabelle1425371011[[#This Row],[Test]]</f>
        <v>6.4915416901026729E-3</v>
      </c>
      <c r="U23" s="1">
        <v>177</v>
      </c>
    </row>
    <row r="24" spans="16:21" x14ac:dyDescent="0.25">
      <c r="P24" s="41">
        <v>30</v>
      </c>
      <c r="Q24" s="42">
        <v>572967</v>
      </c>
      <c r="R24" s="42">
        <v>4534</v>
      </c>
      <c r="S24" s="43">
        <f>Tabelle1425371011[[#This Row],[Positiv Rate]]</f>
        <v>7.9131956988796916E-3</v>
      </c>
      <c r="T24" s="50">
        <f>Tabelle1425371011[[#This Row],[Positiv]]/Tabelle1425371011[[#This Row],[Test]]</f>
        <v>7.9131956988796916E-3</v>
      </c>
      <c r="U24" s="1">
        <v>182</v>
      </c>
    </row>
    <row r="25" spans="16:21" x14ac:dyDescent="0.25">
      <c r="P25" s="41">
        <v>31</v>
      </c>
      <c r="Q25" s="42">
        <v>581037</v>
      </c>
      <c r="R25" s="42">
        <v>5699</v>
      </c>
      <c r="S25" s="43">
        <f>Tabelle1425371011[[#This Row],[Positiv Rate]]</f>
        <v>9.8083254594802053E-3</v>
      </c>
      <c r="T25" s="50">
        <f>Tabelle1425371011[[#This Row],[Positiv]]/Tabelle1425371011[[#This Row],[Test]]</f>
        <v>9.8083254594802053E-3</v>
      </c>
      <c r="U25" s="1">
        <v>168</v>
      </c>
    </row>
    <row r="26" spans="16:21" x14ac:dyDescent="0.25">
      <c r="P26" s="41">
        <v>32</v>
      </c>
      <c r="Q26" s="42">
        <v>733990</v>
      </c>
      <c r="R26" s="42">
        <v>7330</v>
      </c>
      <c r="S26" s="43">
        <f>Tabelle1425371011[[#This Row],[Positiv Rate]]</f>
        <v>9.9865120778212229E-3</v>
      </c>
      <c r="T26" s="50">
        <f>Tabelle1425371011[[#This Row],[Positiv]]/Tabelle1425371011[[#This Row],[Test]]</f>
        <v>9.9865120778212229E-3</v>
      </c>
      <c r="U26" s="1">
        <v>168</v>
      </c>
    </row>
    <row r="27" spans="16:21" x14ac:dyDescent="0.25">
      <c r="P27" s="41">
        <v>33</v>
      </c>
      <c r="Q27" s="42">
        <v>891988</v>
      </c>
      <c r="R27" s="42">
        <v>8661</v>
      </c>
      <c r="S27" s="43">
        <f>Tabelle1425371011[[#This Row],[Positiv Rate]]</f>
        <v>9.7097718803391981E-3</v>
      </c>
      <c r="T27" s="50">
        <f>Tabelle1425371011[[#This Row],[Positiv]]/Tabelle1425371011[[#This Row],[Test]]</f>
        <v>9.7097718803391981E-3</v>
      </c>
      <c r="U27" s="1">
        <v>188</v>
      </c>
    </row>
    <row r="28" spans="16:21" x14ac:dyDescent="0.25">
      <c r="P28" s="41">
        <v>34</v>
      </c>
      <c r="Q28" s="42">
        <v>1092350</v>
      </c>
      <c r="R28" s="42">
        <v>9226</v>
      </c>
      <c r="S28" s="43">
        <f>Tabelle1425371011[[#This Row],[Positiv Rate]]</f>
        <v>8.4460108939442488E-3</v>
      </c>
      <c r="T28" s="51">
        <f>Tabelle1425371011[[#This Row],[Positiv]]/Tabelle1425371011[[#This Row],[Test]]</f>
        <v>8.4460108939442488E-3</v>
      </c>
      <c r="U28" s="34">
        <v>198</v>
      </c>
    </row>
    <row r="29" spans="16:21" x14ac:dyDescent="0.25">
      <c r="P29" s="41">
        <v>35</v>
      </c>
      <c r="Q29" s="42">
        <v>1115638</v>
      </c>
      <c r="R29" s="42">
        <v>8309</v>
      </c>
      <c r="S29" s="43">
        <f>Tabelle1425371011[[#This Row],[Positiv Rate]]</f>
        <v>7.4477563510744523E-3</v>
      </c>
      <c r="T29" s="51">
        <f>Tabelle1425371011[[#This Row],[Positiv]]/Tabelle1425371011[[#This Row],[Test]]</f>
        <v>7.4477563510744523E-3</v>
      </c>
      <c r="U29" s="34">
        <v>190</v>
      </c>
    </row>
    <row r="30" spans="16:21" x14ac:dyDescent="0.25">
      <c r="P30" s="41">
        <v>36</v>
      </c>
      <c r="Q30" s="42">
        <v>1099560</v>
      </c>
      <c r="R30" s="42">
        <v>8175</v>
      </c>
      <c r="S30" s="43">
        <f>Tabelle1425371011[[#This Row],[Positiv Rate]]</f>
        <v>7.4347920986576445E-3</v>
      </c>
      <c r="T30" s="51">
        <f>Tabelle1425371011[[#This Row],[Positiv]]/Tabelle1425371011[[#This Row],[Test]]</f>
        <v>7.4347920986576445E-3</v>
      </c>
      <c r="U30" s="34">
        <v>192</v>
      </c>
    </row>
    <row r="31" spans="16:21" x14ac:dyDescent="0.25">
      <c r="P31" s="41">
        <v>37</v>
      </c>
      <c r="Q31" s="42">
        <v>1162133</v>
      </c>
      <c r="R31" s="42">
        <v>10025</v>
      </c>
      <c r="S31" s="43">
        <f>Tabelle1425371011[[#This Row],[Positiv Rate]]</f>
        <v>8.6263792526328747E-3</v>
      </c>
      <c r="T31" s="51">
        <f>Tabelle1425371011[[#This Row],[Positiv]]/Tabelle1425371011[[#This Row],[Test]]</f>
        <v>8.6263792526328747E-3</v>
      </c>
      <c r="U31" s="34">
        <v>193</v>
      </c>
    </row>
    <row r="32" spans="16:21" x14ac:dyDescent="0.25">
      <c r="P32" s="41">
        <v>38</v>
      </c>
      <c r="Q32" s="42">
        <v>1148282</v>
      </c>
      <c r="R32" s="42">
        <v>13268</v>
      </c>
      <c r="S32" s="43">
        <f>Tabelle1425371011[[#This Row],[Positiv Rate]]</f>
        <v>1.1554652951104345E-2</v>
      </c>
      <c r="T32" s="51">
        <f>Tabelle1425371011[[#This Row],[Positiv]]/Tabelle1425371011[[#This Row],[Test]]</f>
        <v>1.1554652951104345E-2</v>
      </c>
      <c r="U32" s="31">
        <v>201</v>
      </c>
    </row>
    <row r="33" spans="16:21" x14ac:dyDescent="0.25">
      <c r="P33" s="41">
        <v>39</v>
      </c>
      <c r="Q33" s="21">
        <v>1153075</v>
      </c>
      <c r="R33" s="21">
        <v>14044</v>
      </c>
      <c r="S33" s="32">
        <f>Tabelle1425371011[[#This Row],[Positiv Rate]]</f>
        <v>1.2179606703813715E-2</v>
      </c>
      <c r="T33" s="51">
        <f>Tabelle1425371011[[#This Row],[Positiv]]/Tabelle1425371011[[#This Row],[Test]]</f>
        <v>1.2179606703813715E-2</v>
      </c>
      <c r="U33" s="54">
        <v>182</v>
      </c>
    </row>
    <row r="34" spans="16:21" ht="15.75" thickBot="1" x14ac:dyDescent="0.3"/>
    <row r="35" spans="16:21" x14ac:dyDescent="0.25">
      <c r="P35" s="35" t="s">
        <v>6</v>
      </c>
      <c r="Q35" s="36">
        <f>SUM(Tabelle1425371011[Test])</f>
        <v>16999253</v>
      </c>
      <c r="R35" s="37">
        <f>SUM(Tabelle1425371011[Positiv])</f>
        <v>328566</v>
      </c>
    </row>
  </sheetData>
  <pageMargins left="0.70866141732283472" right="0.70866141732283472" top="0.39370078740157483" bottom="0.39370078740157483" header="0.31496062992125984" footer="0.31496062992125984"/>
  <pageSetup paperSize="9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9747-1CE7-49C8-901A-53CF3489B36F}">
  <dimension ref="B2:U34"/>
  <sheetViews>
    <sheetView showGridLines="0" zoomScaleNormal="100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20" max="20" width="1.5703125" customWidth="1"/>
    <col min="21" max="21" width="11.42578125" hidden="1" customWidth="1"/>
  </cols>
  <sheetData>
    <row r="2" spans="2:21" ht="15.75" thickBot="1" x14ac:dyDescent="0.3">
      <c r="B2" s="23" t="str">
        <f>O2</f>
        <v>Stand:</v>
      </c>
      <c r="C2" s="22">
        <f>P2</f>
        <v>44097</v>
      </c>
      <c r="O2" s="23" t="s">
        <v>9</v>
      </c>
      <c r="P2" s="22">
        <v>44097</v>
      </c>
    </row>
    <row r="3" spans="2:21" ht="15.75" customHeight="1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52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Tabelle14253710[[#This Row],[Positiv Rate]]</f>
        <v>3.1206902081529233E-2</v>
      </c>
      <c r="T4" s="50">
        <f>Tabelle14253710[[#This Row],[Positiv]]/Tabelle14253710[[#This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Tabelle14253710[[#This Row],[Positiv Rate]]</f>
        <v>5.9486728857575499E-2</v>
      </c>
      <c r="T5" s="50">
        <f>Tabelle14253710[[#This Row],[Positiv]]/Tabelle14253710[[#This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Tabelle14253710[[#This Row],[Positiv Rate]]</f>
        <v>6.8326740653836995E-2</v>
      </c>
      <c r="T6" s="50">
        <f>Tabelle14253710[[#This Row],[Positiv]]/Tabelle14253710[[#This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Tabelle14253710[[#This Row],[Positiv Rate]]</f>
        <v>8.6895426192550793E-2</v>
      </c>
      <c r="T7" s="50">
        <f>Tabelle14253710[[#This Row],[Positiv]]/Tabelle14253710[[#This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Tabelle14253710[[#This Row],[Positiv Rate]]</f>
        <v>9.0327367833318642E-2</v>
      </c>
      <c r="T8" s="50">
        <f>Tabelle14253710[[#This Row],[Positiv]]/Tabelle14253710[[#This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Tabelle14253710[[#This Row],[Positiv Rate]]</f>
        <v>8.0986962022320003E-2</v>
      </c>
      <c r="T9" s="50">
        <f>Tabelle14253710[[#This Row],[Positiv]]/Tabelle14253710[[#This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Tabelle14253710[[#This Row],[Positiv Rate]]</f>
        <v>6.65316870642539E-2</v>
      </c>
      <c r="T10" s="50">
        <f>Tabelle14253710[[#This Row],[Positiv]]/Tabelle14253710[[#This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Tabelle14253710[[#This Row],[Positiv Rate]]</f>
        <v>4.9693588721866501E-2</v>
      </c>
      <c r="T11" s="50">
        <f>Tabelle14253710[[#This Row],[Positiv]]/Tabelle14253710[[#This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Tabelle14253710[[#This Row],[Positiv Rate]]</f>
        <v>3.8581588063209174E-2</v>
      </c>
      <c r="T12" s="50">
        <f>Tabelle14253710[[#This Row],[Positiv]]/Tabelle14253710[[#This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Tabelle14253710[[#This Row],[Positiv Rate]]</f>
        <v>2.6629526462395543E-2</v>
      </c>
      <c r="T13" s="50">
        <f>Tabelle14253710[[#This Row],[Positiv]]/Tabelle14253710[[#This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Tabelle14253710[[#This Row],[Positiv Rate]]</f>
        <v>1.6717283077477777E-2</v>
      </c>
      <c r="T14" s="50">
        <f>Tabelle14253710[[#This Row],[Positiv]]/Tabelle14253710[[#This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Tabelle14253710[[#This Row],[Positiv Rate]]</f>
        <v>1.4762339907261498E-2</v>
      </c>
      <c r="T15" s="50">
        <f>Tabelle14253710[[#This Row],[Positiv]]/Tabelle14253710[[#This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Tabelle14253710[[#This Row],[Positiv Rate]]</f>
        <v>1.0634911626598629E-2</v>
      </c>
      <c r="T16" s="50">
        <f>Tabelle14253710[[#This Row],[Positiv]]/Tabelle14253710[[#This Row],[Test]]</f>
        <v>1.0634911626598629E-2</v>
      </c>
      <c r="U16" s="1">
        <v>178</v>
      </c>
    </row>
    <row r="17" spans="16:21" x14ac:dyDescent="0.25">
      <c r="P17" s="41">
        <v>23</v>
      </c>
      <c r="Q17" s="42">
        <v>340986</v>
      </c>
      <c r="R17" s="42">
        <v>3208</v>
      </c>
      <c r="S17" s="43">
        <f>Tabelle14253710[[#This Row],[Positiv Rate]]</f>
        <v>9.408010886077435E-3</v>
      </c>
      <c r="T17" s="50">
        <f>Tabelle14253710[[#This Row],[Positiv]]/Tabelle14253710[[#This Row],[Test]]</f>
        <v>9.408010886077435E-3</v>
      </c>
      <c r="U17" s="1">
        <v>176</v>
      </c>
    </row>
    <row r="18" spans="16:21" x14ac:dyDescent="0.25">
      <c r="P18" s="41">
        <v>24</v>
      </c>
      <c r="Q18" s="42">
        <v>327196</v>
      </c>
      <c r="R18" s="42">
        <v>2816</v>
      </c>
      <c r="S18" s="43">
        <f>Tabelle14253710[[#This Row],[Positiv Rate]]</f>
        <v>8.6064621816892631E-3</v>
      </c>
      <c r="T18" s="50">
        <f>Tabelle14253710[[#This Row],[Positiv]]/Tabelle14253710[[#This Row],[Test]]</f>
        <v>8.6064621816892631E-3</v>
      </c>
      <c r="U18" s="1">
        <v>173</v>
      </c>
    </row>
    <row r="19" spans="16:21" x14ac:dyDescent="0.25">
      <c r="P19" s="41">
        <v>25</v>
      </c>
      <c r="Q19" s="42">
        <v>388187</v>
      </c>
      <c r="R19" s="42">
        <v>5316</v>
      </c>
      <c r="S19" s="43">
        <f>Tabelle14253710[[#This Row],[Positiv Rate]]</f>
        <v>1.3694430776919371E-2</v>
      </c>
      <c r="T19" s="50">
        <f>Tabelle14253710[[#This Row],[Positiv]]/Tabelle14253710[[#This Row],[Test]]</f>
        <v>1.3694430776919371E-2</v>
      </c>
      <c r="U19" s="1">
        <v>176</v>
      </c>
    </row>
    <row r="20" spans="16:21" x14ac:dyDescent="0.25">
      <c r="P20" s="41">
        <v>26</v>
      </c>
      <c r="Q20" s="42">
        <v>467413</v>
      </c>
      <c r="R20" s="42">
        <v>3689</v>
      </c>
      <c r="S20" s="43">
        <f>Tabelle14253710[[#This Row],[Positiv Rate]]</f>
        <v>7.8923778328801302E-3</v>
      </c>
      <c r="T20" s="50">
        <f>Tabelle14253710[[#This Row],[Positiv]]/Tabelle14253710[[#This Row],[Test]]</f>
        <v>7.8923778328801302E-3</v>
      </c>
      <c r="U20" s="1">
        <v>180</v>
      </c>
    </row>
    <row r="21" spans="16:21" x14ac:dyDescent="0.25">
      <c r="P21" s="41">
        <v>27</v>
      </c>
      <c r="Q21" s="42">
        <v>506490</v>
      </c>
      <c r="R21" s="42">
        <v>3104</v>
      </c>
      <c r="S21" s="43">
        <f>Tabelle14253710[[#This Row],[Positiv Rate]]</f>
        <v>6.1284526841596087E-3</v>
      </c>
      <c r="T21" s="50">
        <f>Tabelle14253710[[#This Row],[Positiv]]/Tabelle14253710[[#This Row],[Test]]</f>
        <v>6.1284526841596087E-3</v>
      </c>
      <c r="U21" s="1">
        <v>151</v>
      </c>
    </row>
    <row r="22" spans="16:21" x14ac:dyDescent="0.25">
      <c r="P22" s="41">
        <v>28</v>
      </c>
      <c r="Q22" s="42">
        <v>510551</v>
      </c>
      <c r="R22" s="42">
        <v>2992</v>
      </c>
      <c r="S22" s="43">
        <f>Tabelle14253710[[#This Row],[Positiv Rate]]</f>
        <v>5.8603352064730066E-3</v>
      </c>
      <c r="T22" s="50">
        <f>Tabelle14253710[[#This Row],[Positiv]]/Tabelle14253710[[#This Row],[Test]]</f>
        <v>5.8603352064730066E-3</v>
      </c>
      <c r="U22" s="1">
        <v>179</v>
      </c>
    </row>
    <row r="23" spans="16:21" x14ac:dyDescent="0.25">
      <c r="P23" s="41">
        <v>29</v>
      </c>
      <c r="Q23" s="42">
        <v>538701</v>
      </c>
      <c r="R23" s="42">
        <v>3497</v>
      </c>
      <c r="S23" s="43">
        <f>Tabelle14253710[[#This Row],[Positiv Rate]]</f>
        <v>6.4915416901026729E-3</v>
      </c>
      <c r="T23" s="50">
        <f>Tabelle14253710[[#This Row],[Positiv]]/Tabelle14253710[[#This Row],[Test]]</f>
        <v>6.4915416901026729E-3</v>
      </c>
      <c r="U23" s="1">
        <v>177</v>
      </c>
    </row>
    <row r="24" spans="16:21" x14ac:dyDescent="0.25">
      <c r="P24" s="41">
        <v>30</v>
      </c>
      <c r="Q24" s="42">
        <v>572967</v>
      </c>
      <c r="R24" s="42">
        <v>4534</v>
      </c>
      <c r="S24" s="43">
        <f>Tabelle14253710[[#This Row],[Positiv Rate]]</f>
        <v>7.9131956988796916E-3</v>
      </c>
      <c r="T24" s="50">
        <f>Tabelle14253710[[#This Row],[Positiv]]/Tabelle14253710[[#This Row],[Test]]</f>
        <v>7.9131956988796916E-3</v>
      </c>
      <c r="U24" s="1">
        <v>182</v>
      </c>
    </row>
    <row r="25" spans="16:21" x14ac:dyDescent="0.25">
      <c r="P25" s="41">
        <v>31</v>
      </c>
      <c r="Q25" s="42">
        <v>581037</v>
      </c>
      <c r="R25" s="42">
        <v>5699</v>
      </c>
      <c r="S25" s="43">
        <f>Tabelle14253710[[#This Row],[Positiv Rate]]</f>
        <v>9.8083254594802053E-3</v>
      </c>
      <c r="T25" s="50">
        <f>Tabelle14253710[[#This Row],[Positiv]]/Tabelle14253710[[#This Row],[Test]]</f>
        <v>9.8083254594802053E-3</v>
      </c>
      <c r="U25" s="1">
        <v>168</v>
      </c>
    </row>
    <row r="26" spans="16:21" x14ac:dyDescent="0.25">
      <c r="P26" s="41">
        <v>32</v>
      </c>
      <c r="Q26" s="42">
        <v>733990</v>
      </c>
      <c r="R26" s="42">
        <v>7330</v>
      </c>
      <c r="S26" s="43">
        <f>Tabelle14253710[[#This Row],[Positiv Rate]]</f>
        <v>9.9865120778212229E-3</v>
      </c>
      <c r="T26" s="50">
        <f>Tabelle14253710[[#This Row],[Positiv]]/Tabelle14253710[[#This Row],[Test]]</f>
        <v>9.9865120778212229E-3</v>
      </c>
      <c r="U26" s="1">
        <v>168</v>
      </c>
    </row>
    <row r="27" spans="16:21" x14ac:dyDescent="0.25">
      <c r="P27" s="41">
        <v>33</v>
      </c>
      <c r="Q27" s="42">
        <v>891988</v>
      </c>
      <c r="R27" s="42">
        <v>8661</v>
      </c>
      <c r="S27" s="43">
        <f>Tabelle14253710[[#This Row],[Positiv Rate]]</f>
        <v>9.7097718803391981E-3</v>
      </c>
      <c r="T27" s="50">
        <f>Tabelle14253710[[#This Row],[Positiv]]/Tabelle14253710[[#This Row],[Test]]</f>
        <v>9.7097718803391981E-3</v>
      </c>
      <c r="U27" s="1">
        <v>188</v>
      </c>
    </row>
    <row r="28" spans="16:21" x14ac:dyDescent="0.25">
      <c r="P28" s="41">
        <v>34</v>
      </c>
      <c r="Q28" s="42">
        <v>1055662</v>
      </c>
      <c r="R28" s="42">
        <v>8921</v>
      </c>
      <c r="S28" s="43">
        <f>Tabelle14253710[[#This Row],[Positiv Rate]]</f>
        <v>8.4506215057471041E-3</v>
      </c>
      <c r="T28" s="51">
        <f>Tabelle14253710[[#This Row],[Positiv]]/Tabelle14253710[[#This Row],[Test]]</f>
        <v>8.4506215057471041E-3</v>
      </c>
      <c r="U28" s="34">
        <v>196</v>
      </c>
    </row>
    <row r="29" spans="16:21" x14ac:dyDescent="0.25">
      <c r="P29" s="41">
        <v>35</v>
      </c>
      <c r="Q29" s="42">
        <v>1101299</v>
      </c>
      <c r="R29" s="42">
        <v>8178</v>
      </c>
      <c r="S29" s="43">
        <f>Tabelle14253710[[#This Row],[Positiv Rate]]</f>
        <v>7.4257762878201109E-3</v>
      </c>
      <c r="T29" s="51">
        <f>Tabelle14253710[[#This Row],[Positiv]]/Tabelle14253710[[#This Row],[Test]]</f>
        <v>7.4257762878201109E-3</v>
      </c>
      <c r="U29" s="34">
        <v>181</v>
      </c>
    </row>
    <row r="30" spans="16:21" x14ac:dyDescent="0.25">
      <c r="P30" s="41">
        <v>36</v>
      </c>
      <c r="Q30" s="42">
        <v>1051125</v>
      </c>
      <c r="R30" s="42">
        <v>7754</v>
      </c>
      <c r="S30" s="43">
        <f>Tabelle14253710[[#This Row],[Positiv Rate]]</f>
        <v>7.3768581281959808E-3</v>
      </c>
      <c r="T30" s="51">
        <f>Tabelle14253710[[#This Row],[Positiv]]/Tabelle14253710[[#This Row],[Test]]</f>
        <v>7.3768581281959808E-3</v>
      </c>
      <c r="U30" s="34">
        <v>180</v>
      </c>
    </row>
    <row r="31" spans="16:21" x14ac:dyDescent="0.25">
      <c r="P31" s="41">
        <v>37</v>
      </c>
      <c r="Q31" s="42">
        <v>1120835</v>
      </c>
      <c r="R31" s="42">
        <v>9675</v>
      </c>
      <c r="S31" s="43">
        <f>Tabelle14253710[[#This Row],[Positiv Rate]]</f>
        <v>8.6319574245986245E-3</v>
      </c>
      <c r="T31" s="51">
        <f>Tabelle14253710[[#This Row],[Positiv]]/Tabelle14253710[[#This Row],[Test]]</f>
        <v>8.6319574245986245E-3</v>
      </c>
      <c r="U31" s="34">
        <v>185</v>
      </c>
    </row>
    <row r="32" spans="16:21" x14ac:dyDescent="0.25">
      <c r="P32" s="41">
        <v>38</v>
      </c>
      <c r="Q32" s="42">
        <v>1085518</v>
      </c>
      <c r="R32" s="42">
        <v>12917</v>
      </c>
      <c r="S32" s="43">
        <f>Tabelle14253710[[#This Row],[Positiv Rate]]</f>
        <v>1.1899388126221768E-2</v>
      </c>
      <c r="T32" s="51">
        <f>Tabelle14253710[[#This Row],[Positiv]]/Tabelle14253710[[#This Row],[Test]]</f>
        <v>1.1899388126221768E-2</v>
      </c>
      <c r="U32" s="31"/>
    </row>
    <row r="33" spans="16:18" ht="15.75" thickBot="1" x14ac:dyDescent="0.3"/>
    <row r="34" spans="16:18" x14ac:dyDescent="0.25">
      <c r="P34" s="35" t="s">
        <v>6</v>
      </c>
      <c r="Q34" s="36">
        <f>SUM(Tabelle14253710[Test])</f>
        <v>15642654</v>
      </c>
      <c r="R34" s="37">
        <f>SUM(Tabelle14253710[Positiv])</f>
        <v>312964</v>
      </c>
    </row>
  </sheetData>
  <pageMargins left="0.70866141732283472" right="0.70866141732283472" top="0.59055118110236227" bottom="0.59055118110236227" header="0.31496062992125984" footer="0.31496062992125984"/>
  <pageSetup paperSize="9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6B9E-B498-4697-A819-030B933AAE4A}">
  <sheetPr>
    <pageSetUpPr fitToPage="1"/>
  </sheetPr>
  <dimension ref="B2:U33"/>
  <sheetViews>
    <sheetView showGridLines="0" zoomScaleNormal="100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0" width="11.42578125" customWidth="1"/>
    <col min="21" max="21" width="11.42578125" hidden="1" customWidth="1"/>
  </cols>
  <sheetData>
    <row r="2" spans="2:21" ht="15.75" thickBot="1" x14ac:dyDescent="0.3">
      <c r="B2" s="23" t="str">
        <f>N2</f>
        <v>Stand:</v>
      </c>
      <c r="C2" s="22">
        <f>O2</f>
        <v>44090</v>
      </c>
      <c r="N2" s="23" t="s">
        <v>9</v>
      </c>
      <c r="O2" s="22">
        <v>44090</v>
      </c>
    </row>
    <row r="3" spans="2:21" ht="30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40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Tabelle142537[[#This Row],[Positiv Rate]]</f>
        <v>3.1206902081529233E-2</v>
      </c>
      <c r="T4" s="44">
        <f>Tabelle142537[[#This Row],[Positiv]]/Tabelle142537[[#This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Tabelle142537[[#This Row],[Positiv Rate]]</f>
        <v>5.9486728857575499E-2</v>
      </c>
      <c r="T5" s="44">
        <f>Tabelle142537[[#This Row],[Positiv]]/Tabelle142537[[#This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Tabelle142537[[#This Row],[Positiv Rate]]</f>
        <v>6.8326740653836995E-2</v>
      </c>
      <c r="T6" s="44">
        <f>Tabelle142537[[#This Row],[Positiv]]/Tabelle142537[[#This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Tabelle142537[[#This Row],[Positiv Rate]]</f>
        <v>8.6895426192550793E-2</v>
      </c>
      <c r="T7" s="44">
        <f>Tabelle142537[[#This Row],[Positiv]]/Tabelle142537[[#This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Tabelle142537[[#This Row],[Positiv Rate]]</f>
        <v>9.0327367833318642E-2</v>
      </c>
      <c r="T8" s="44">
        <f>Tabelle142537[[#This Row],[Positiv]]/Tabelle142537[[#This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Tabelle142537[[#This Row],[Positiv Rate]]</f>
        <v>8.0986962022320003E-2</v>
      </c>
      <c r="T9" s="44">
        <f>Tabelle142537[[#This Row],[Positiv]]/Tabelle142537[[#This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Tabelle142537[[#This Row],[Positiv Rate]]</f>
        <v>6.65316870642539E-2</v>
      </c>
      <c r="T10" s="44">
        <f>Tabelle142537[[#This Row],[Positiv]]/Tabelle142537[[#This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Tabelle142537[[#This Row],[Positiv Rate]]</f>
        <v>4.9693588721866501E-2</v>
      </c>
      <c r="T11" s="44">
        <f>Tabelle142537[[#This Row],[Positiv]]/Tabelle142537[[#This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Tabelle142537[[#This Row],[Positiv Rate]]</f>
        <v>3.8581588063209174E-2</v>
      </c>
      <c r="T12" s="44">
        <f>Tabelle142537[[#This Row],[Positiv]]/Tabelle142537[[#This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Tabelle142537[[#This Row],[Positiv Rate]]</f>
        <v>2.6629526462395543E-2</v>
      </c>
      <c r="T13" s="44">
        <f>Tabelle142537[[#This Row],[Positiv]]/Tabelle142537[[#This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Tabelle142537[[#This Row],[Positiv Rate]]</f>
        <v>1.6717283077477777E-2</v>
      </c>
      <c r="T14" s="44">
        <f>Tabelle142537[[#This Row],[Positiv]]/Tabelle142537[[#This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Tabelle142537[[#This Row],[Positiv Rate]]</f>
        <v>1.4762339907261498E-2</v>
      </c>
      <c r="T15" s="44">
        <f>Tabelle142537[[#This Row],[Positiv]]/Tabelle142537[[#This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Tabelle142537[[#This Row],[Positiv Rate]]</f>
        <v>1.0634911626598629E-2</v>
      </c>
      <c r="T16" s="44">
        <f>Tabelle142537[[#This Row],[Positiv]]/Tabelle142537[[#This Row],[Test]]</f>
        <v>1.0634911626598629E-2</v>
      </c>
      <c r="U16" s="1">
        <v>178</v>
      </c>
    </row>
    <row r="17" spans="16:21" x14ac:dyDescent="0.25">
      <c r="P17" s="41">
        <v>23</v>
      </c>
      <c r="Q17" s="42">
        <v>340986</v>
      </c>
      <c r="R17" s="42">
        <v>3208</v>
      </c>
      <c r="S17" s="43">
        <f>Tabelle142537[[#This Row],[Positiv Rate]]</f>
        <v>9.408010886077435E-3</v>
      </c>
      <c r="T17" s="44">
        <f>Tabelle142537[[#This Row],[Positiv]]/Tabelle142537[[#This Row],[Test]]</f>
        <v>9.408010886077435E-3</v>
      </c>
      <c r="U17" s="1">
        <v>176</v>
      </c>
    </row>
    <row r="18" spans="16:21" x14ac:dyDescent="0.25">
      <c r="P18" s="41">
        <v>24</v>
      </c>
      <c r="Q18" s="42">
        <v>327196</v>
      </c>
      <c r="R18" s="42">
        <v>2816</v>
      </c>
      <c r="S18" s="43">
        <f>Tabelle142537[[#This Row],[Positiv Rate]]</f>
        <v>8.6064621816892631E-3</v>
      </c>
      <c r="T18" s="44">
        <f>Tabelle142537[[#This Row],[Positiv]]/Tabelle142537[[#This Row],[Test]]</f>
        <v>8.6064621816892631E-3</v>
      </c>
      <c r="U18" s="1">
        <v>173</v>
      </c>
    </row>
    <row r="19" spans="16:21" x14ac:dyDescent="0.25">
      <c r="P19" s="41">
        <v>25</v>
      </c>
      <c r="Q19" s="42">
        <v>388187</v>
      </c>
      <c r="R19" s="42">
        <v>5316</v>
      </c>
      <c r="S19" s="43">
        <f>Tabelle142537[[#This Row],[Positiv Rate]]</f>
        <v>1.3694430776919371E-2</v>
      </c>
      <c r="T19" s="44">
        <f>Tabelle142537[[#This Row],[Positiv]]/Tabelle142537[[#This Row],[Test]]</f>
        <v>1.3694430776919371E-2</v>
      </c>
      <c r="U19" s="1">
        <v>176</v>
      </c>
    </row>
    <row r="20" spans="16:21" x14ac:dyDescent="0.25">
      <c r="P20" s="41">
        <v>26</v>
      </c>
      <c r="Q20" s="42">
        <v>467413</v>
      </c>
      <c r="R20" s="42">
        <v>3689</v>
      </c>
      <c r="S20" s="43">
        <f>Tabelle142537[[#This Row],[Positiv Rate]]</f>
        <v>7.8923778328801302E-3</v>
      </c>
      <c r="T20" s="44">
        <f>Tabelle142537[[#This Row],[Positiv]]/Tabelle142537[[#This Row],[Test]]</f>
        <v>7.8923778328801302E-3</v>
      </c>
      <c r="U20" s="1">
        <v>180</v>
      </c>
    </row>
    <row r="21" spans="16:21" x14ac:dyDescent="0.25">
      <c r="P21" s="41">
        <v>27</v>
      </c>
      <c r="Q21" s="42">
        <v>506490</v>
      </c>
      <c r="R21" s="42">
        <v>3104</v>
      </c>
      <c r="S21" s="43">
        <f>Tabelle142537[[#This Row],[Positiv Rate]]</f>
        <v>6.1284526841596087E-3</v>
      </c>
      <c r="T21" s="44">
        <f>Tabelle142537[[#This Row],[Positiv]]/Tabelle142537[[#This Row],[Test]]</f>
        <v>6.1284526841596087E-3</v>
      </c>
      <c r="U21" s="1">
        <v>151</v>
      </c>
    </row>
    <row r="22" spans="16:21" x14ac:dyDescent="0.25">
      <c r="P22" s="41">
        <v>28</v>
      </c>
      <c r="Q22" s="42">
        <v>510551</v>
      </c>
      <c r="R22" s="42">
        <v>2992</v>
      </c>
      <c r="S22" s="43">
        <f>Tabelle142537[[#This Row],[Positiv Rate]]</f>
        <v>5.8603352064730066E-3</v>
      </c>
      <c r="T22" s="44">
        <f>Tabelle142537[[#This Row],[Positiv]]/Tabelle142537[[#This Row],[Test]]</f>
        <v>5.8603352064730066E-3</v>
      </c>
      <c r="U22" s="1">
        <v>179</v>
      </c>
    </row>
    <row r="23" spans="16:21" x14ac:dyDescent="0.25">
      <c r="P23" s="41">
        <v>29</v>
      </c>
      <c r="Q23" s="42">
        <v>538701</v>
      </c>
      <c r="R23" s="42">
        <v>3497</v>
      </c>
      <c r="S23" s="43">
        <f>Tabelle142537[[#This Row],[Positiv Rate]]</f>
        <v>6.4915416901026729E-3</v>
      </c>
      <c r="T23" s="44">
        <f>Tabelle142537[[#This Row],[Positiv]]/Tabelle142537[[#This Row],[Test]]</f>
        <v>6.4915416901026729E-3</v>
      </c>
      <c r="U23" s="1">
        <v>177</v>
      </c>
    </row>
    <row r="24" spans="16:21" x14ac:dyDescent="0.25">
      <c r="P24" s="41">
        <v>30</v>
      </c>
      <c r="Q24" s="42">
        <v>572967</v>
      </c>
      <c r="R24" s="42">
        <v>4534</v>
      </c>
      <c r="S24" s="43">
        <f>Tabelle142537[[#This Row],[Positiv Rate]]</f>
        <v>7.9131956988796916E-3</v>
      </c>
      <c r="T24" s="44">
        <f>Tabelle142537[[#This Row],[Positiv]]/Tabelle142537[[#This Row],[Test]]</f>
        <v>7.9131956988796916E-3</v>
      </c>
      <c r="U24" s="1">
        <v>182</v>
      </c>
    </row>
    <row r="25" spans="16:21" x14ac:dyDescent="0.25">
      <c r="P25" s="41">
        <v>31</v>
      </c>
      <c r="Q25" s="42">
        <v>581037</v>
      </c>
      <c r="R25" s="42">
        <v>5699</v>
      </c>
      <c r="S25" s="43">
        <f>Tabelle142537[[#This Row],[Positiv Rate]]</f>
        <v>9.8083254594802053E-3</v>
      </c>
      <c r="T25" s="44">
        <f>Tabelle142537[[#This Row],[Positiv]]/Tabelle142537[[#This Row],[Test]]</f>
        <v>9.8083254594802053E-3</v>
      </c>
      <c r="U25" s="1">
        <v>168</v>
      </c>
    </row>
    <row r="26" spans="16:21" x14ac:dyDescent="0.25">
      <c r="P26" s="41">
        <v>32</v>
      </c>
      <c r="Q26" s="42">
        <v>733990</v>
      </c>
      <c r="R26" s="42">
        <v>7330</v>
      </c>
      <c r="S26" s="43">
        <f>Tabelle142537[[#This Row],[Positiv Rate]]</f>
        <v>9.9865120778212229E-3</v>
      </c>
      <c r="T26" s="44">
        <f>Tabelle142537[[#This Row],[Positiv]]/Tabelle142537[[#This Row],[Test]]</f>
        <v>9.9865120778212229E-3</v>
      </c>
      <c r="U26" s="1">
        <v>168</v>
      </c>
    </row>
    <row r="27" spans="16:21" x14ac:dyDescent="0.25">
      <c r="P27" s="41">
        <v>33</v>
      </c>
      <c r="Q27" s="42">
        <v>891988</v>
      </c>
      <c r="R27" s="42">
        <v>8661</v>
      </c>
      <c r="S27" s="43">
        <f>Tabelle142537[[#This Row],[Positiv Rate]]</f>
        <v>9.7097718803391981E-3</v>
      </c>
      <c r="T27" s="44">
        <f>Tabelle142537[[#This Row],[Positiv]]/Tabelle142537[[#This Row],[Test]]</f>
        <v>9.7097718803391981E-3</v>
      </c>
      <c r="U27" s="1">
        <v>188</v>
      </c>
    </row>
    <row r="28" spans="16:21" x14ac:dyDescent="0.25">
      <c r="P28" s="41">
        <v>34</v>
      </c>
      <c r="Q28" s="42">
        <v>1055662</v>
      </c>
      <c r="R28" s="42">
        <v>8921</v>
      </c>
      <c r="S28" s="43">
        <f>Tabelle142537[[#This Row],[Positiv Rate]]</f>
        <v>8.4506215057471041E-3</v>
      </c>
      <c r="T28" s="45">
        <f>Tabelle142537[[#This Row],[Positiv]]/Tabelle142537[[#This Row],[Test]]</f>
        <v>8.4506215057471041E-3</v>
      </c>
      <c r="U28" s="34">
        <v>196</v>
      </c>
    </row>
    <row r="29" spans="16:21" x14ac:dyDescent="0.25">
      <c r="P29" s="41">
        <v>35</v>
      </c>
      <c r="Q29" s="42">
        <v>1101299</v>
      </c>
      <c r="R29" s="42">
        <v>8178</v>
      </c>
      <c r="S29" s="43">
        <f>Tabelle142537[[#This Row],[Positiv Rate]]</f>
        <v>7.4257762878201109E-3</v>
      </c>
      <c r="T29" s="45">
        <f>Tabelle142537[[#This Row],[Positiv]]/Tabelle142537[[#This Row],[Test]]</f>
        <v>7.4257762878201109E-3</v>
      </c>
      <c r="U29" s="34">
        <v>181</v>
      </c>
    </row>
    <row r="30" spans="16:21" x14ac:dyDescent="0.25">
      <c r="P30" s="41">
        <v>36</v>
      </c>
      <c r="Q30" s="42">
        <v>1051125</v>
      </c>
      <c r="R30" s="42">
        <v>7754</v>
      </c>
      <c r="S30" s="43">
        <f>Tabelle142537[[#This Row],[Positiv Rate]]</f>
        <v>7.3768581281959808E-3</v>
      </c>
      <c r="T30" s="45">
        <f>Tabelle142537[[#This Row],[Positiv]]/Tabelle142537[[#This Row],[Test]]</f>
        <v>7.3768581281959808E-3</v>
      </c>
      <c r="U30" s="34">
        <v>180</v>
      </c>
    </row>
    <row r="31" spans="16:21" ht="15.75" thickBot="1" x14ac:dyDescent="0.3">
      <c r="P31" s="46">
        <v>37</v>
      </c>
      <c r="Q31" s="47">
        <v>1120835</v>
      </c>
      <c r="R31" s="47">
        <v>9675</v>
      </c>
      <c r="S31" s="48">
        <f>Tabelle142537[[#This Row],[Positiv Rate]]</f>
        <v>8.6319574245986245E-3</v>
      </c>
      <c r="T31" s="49">
        <f>Tabelle142537[[#This Row],[Positiv]]/Tabelle142537[[#This Row],[Test]]</f>
        <v>8.6319574245986245E-3</v>
      </c>
      <c r="U31" s="34">
        <v>185</v>
      </c>
    </row>
    <row r="32" spans="16:21" ht="15.75" thickBot="1" x14ac:dyDescent="0.3"/>
    <row r="33" spans="16:18" x14ac:dyDescent="0.25">
      <c r="P33" s="35" t="s">
        <v>6</v>
      </c>
      <c r="Q33" s="36">
        <f>SUM(Tabelle142537[Test])</f>
        <v>14557136</v>
      </c>
      <c r="R33" s="37">
        <f>SUM(Tabelle142537[Positiv])</f>
        <v>300047</v>
      </c>
    </row>
  </sheetData>
  <pageMargins left="0.7" right="0.7" top="0.78740157499999996" bottom="0.78740157499999996" header="0.3" footer="0.3"/>
  <pageSetup paperSize="9" scale="57" fitToHeight="0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C4EB-26F7-430E-9AD0-EDE441EAEAE8}">
  <sheetPr>
    <pageSetUpPr fitToPage="1"/>
  </sheetPr>
  <dimension ref="B2:U32"/>
  <sheetViews>
    <sheetView showGridLines="0" zoomScaleNormal="100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0" width="11.42578125" customWidth="1"/>
    <col min="21" max="21" width="11.42578125" hidden="1" customWidth="1"/>
  </cols>
  <sheetData>
    <row r="2" spans="2:21" x14ac:dyDescent="0.25">
      <c r="B2" s="23" t="str">
        <f>N2</f>
        <v>Stand:</v>
      </c>
      <c r="C2" s="22">
        <f>O2</f>
        <v>44083</v>
      </c>
      <c r="N2" s="23" t="s">
        <v>9</v>
      </c>
      <c r="O2" s="22">
        <v>44083</v>
      </c>
      <c r="P2" s="9"/>
      <c r="Q2" s="10"/>
    </row>
    <row r="3" spans="2:21" ht="30" x14ac:dyDescent="0.25">
      <c r="O3" s="23" t="s">
        <v>11</v>
      </c>
      <c r="P3" s="18" t="s">
        <v>0</v>
      </c>
      <c r="Q3" s="18" t="s">
        <v>1</v>
      </c>
      <c r="R3" s="18" t="s">
        <v>2</v>
      </c>
      <c r="S3" s="18" t="s">
        <v>10</v>
      </c>
      <c r="T3" s="19" t="s">
        <v>3</v>
      </c>
      <c r="U3" s="4" t="s">
        <v>4</v>
      </c>
    </row>
    <row r="4" spans="2:21" x14ac:dyDescent="0.25">
      <c r="O4" s="33" t="s">
        <v>12</v>
      </c>
      <c r="P4" s="20">
        <v>10</v>
      </c>
      <c r="Q4" s="21">
        <v>124716</v>
      </c>
      <c r="R4" s="21">
        <v>3892</v>
      </c>
      <c r="S4" s="32">
        <f>Tabelle14253[[#This Row],[Positiv Rate]]</f>
        <v>3.1206902081529233E-2</v>
      </c>
      <c r="T4" s="26">
        <f>Tabelle14253[[#This Row],[Positiv]]/Tabelle14253[[#This Row],[Test]]</f>
        <v>3.1206902081529233E-2</v>
      </c>
      <c r="U4" s="1">
        <v>90</v>
      </c>
    </row>
    <row r="5" spans="2:21" x14ac:dyDescent="0.25">
      <c r="P5" s="20">
        <v>11</v>
      </c>
      <c r="Q5" s="21">
        <v>127457</v>
      </c>
      <c r="R5" s="21">
        <v>7582</v>
      </c>
      <c r="S5" s="32">
        <f>Tabelle14253[[#This Row],[Positiv Rate]]</f>
        <v>5.9486728857575499E-2</v>
      </c>
      <c r="T5" s="26">
        <f>Tabelle14253[[#This Row],[Positiv]]/Tabelle14253[[#This Row],[Test]]</f>
        <v>5.9486728857575499E-2</v>
      </c>
      <c r="U5" s="1">
        <v>114</v>
      </c>
    </row>
    <row r="6" spans="2:21" x14ac:dyDescent="0.25">
      <c r="P6" s="20">
        <v>12</v>
      </c>
      <c r="Q6" s="21">
        <v>348619</v>
      </c>
      <c r="R6" s="21">
        <v>23820</v>
      </c>
      <c r="S6" s="32">
        <f>Tabelle14253[[#This Row],[Positiv Rate]]</f>
        <v>6.8326740653836995E-2</v>
      </c>
      <c r="T6" s="26">
        <f>Tabelle14253[[#This Row],[Positiv]]/Tabelle14253[[#This Row],[Test]]</f>
        <v>6.8326740653836995E-2</v>
      </c>
      <c r="U6" s="1">
        <v>152</v>
      </c>
    </row>
    <row r="7" spans="2:21" x14ac:dyDescent="0.25">
      <c r="P7" s="20">
        <v>13</v>
      </c>
      <c r="Q7" s="21">
        <v>361515</v>
      </c>
      <c r="R7" s="21">
        <v>31414</v>
      </c>
      <c r="S7" s="32">
        <f>Tabelle14253[[#This Row],[Positiv Rate]]</f>
        <v>8.6895426192550793E-2</v>
      </c>
      <c r="T7" s="26">
        <f>Tabelle14253[[#This Row],[Positiv]]/Tabelle14253[[#This Row],[Test]]</f>
        <v>8.6895426192550793E-2</v>
      </c>
      <c r="U7" s="1">
        <v>151</v>
      </c>
    </row>
    <row r="8" spans="2:21" x14ac:dyDescent="0.25">
      <c r="P8" s="20">
        <v>14</v>
      </c>
      <c r="Q8" s="21">
        <v>408348</v>
      </c>
      <c r="R8" s="21">
        <v>36885</v>
      </c>
      <c r="S8" s="32">
        <f>Tabelle14253[[#This Row],[Positiv Rate]]</f>
        <v>9.0327367833318642E-2</v>
      </c>
      <c r="T8" s="26">
        <f>Tabelle14253[[#This Row],[Positiv]]/Tabelle14253[[#This Row],[Test]]</f>
        <v>9.0327367833318642E-2</v>
      </c>
      <c r="U8" s="1">
        <v>154</v>
      </c>
    </row>
    <row r="9" spans="2:21" x14ac:dyDescent="0.25">
      <c r="P9" s="20">
        <v>15</v>
      </c>
      <c r="Q9" s="21">
        <v>380197</v>
      </c>
      <c r="R9" s="21">
        <v>30791</v>
      </c>
      <c r="S9" s="32">
        <f>Tabelle14253[[#This Row],[Positiv Rate]]</f>
        <v>8.0986962022320003E-2</v>
      </c>
      <c r="T9" s="26">
        <f>Tabelle14253[[#This Row],[Positiv]]/Tabelle14253[[#This Row],[Test]]</f>
        <v>8.0986962022320003E-2</v>
      </c>
      <c r="U9" s="1">
        <v>164</v>
      </c>
    </row>
    <row r="10" spans="2:21" x14ac:dyDescent="0.25">
      <c r="P10" s="20">
        <v>16</v>
      </c>
      <c r="Q10" s="21">
        <v>331902</v>
      </c>
      <c r="R10" s="21">
        <v>22082</v>
      </c>
      <c r="S10" s="32">
        <f>Tabelle14253[[#This Row],[Positiv Rate]]</f>
        <v>6.65316870642539E-2</v>
      </c>
      <c r="T10" s="26">
        <f>Tabelle14253[[#This Row],[Positiv]]/Tabelle14253[[#This Row],[Test]]</f>
        <v>6.65316870642539E-2</v>
      </c>
      <c r="U10" s="1">
        <v>168</v>
      </c>
    </row>
    <row r="11" spans="2:21" x14ac:dyDescent="0.25">
      <c r="P11" s="20">
        <v>17</v>
      </c>
      <c r="Q11" s="21">
        <v>363890</v>
      </c>
      <c r="R11" s="21">
        <v>18083</v>
      </c>
      <c r="S11" s="32">
        <f>Tabelle14253[[#This Row],[Positiv Rate]]</f>
        <v>4.9693588721866501E-2</v>
      </c>
      <c r="T11" s="26">
        <f>Tabelle14253[[#This Row],[Positiv]]/Tabelle14253[[#This Row],[Test]]</f>
        <v>4.9693588721866501E-2</v>
      </c>
      <c r="U11" s="1">
        <v>178</v>
      </c>
    </row>
    <row r="12" spans="2:21" x14ac:dyDescent="0.25">
      <c r="P12" s="20">
        <v>18</v>
      </c>
      <c r="Q12" s="21">
        <v>326788</v>
      </c>
      <c r="R12" s="21">
        <v>12608</v>
      </c>
      <c r="S12" s="32">
        <f>Tabelle14253[[#This Row],[Positiv Rate]]</f>
        <v>3.8581588063209174E-2</v>
      </c>
      <c r="T12" s="26">
        <f>Tabelle14253[[#This Row],[Positiv]]/Tabelle14253[[#This Row],[Test]]</f>
        <v>3.8581588063209174E-2</v>
      </c>
      <c r="U12" s="1">
        <v>175</v>
      </c>
    </row>
    <row r="13" spans="2:21" x14ac:dyDescent="0.25">
      <c r="P13" s="20">
        <v>19</v>
      </c>
      <c r="Q13" s="21">
        <v>403875</v>
      </c>
      <c r="R13" s="21">
        <v>10755</v>
      </c>
      <c r="S13" s="32">
        <f>Tabelle14253[[#This Row],[Positiv Rate]]</f>
        <v>2.6629526462395543E-2</v>
      </c>
      <c r="T13" s="26">
        <f>Tabelle14253[[#This Row],[Positiv]]/Tabelle14253[[#This Row],[Test]]</f>
        <v>2.6629526462395543E-2</v>
      </c>
      <c r="U13" s="1">
        <v>182</v>
      </c>
    </row>
    <row r="14" spans="2:21" x14ac:dyDescent="0.25">
      <c r="P14" s="20">
        <v>20</v>
      </c>
      <c r="Q14" s="21">
        <v>432666</v>
      </c>
      <c r="R14" s="21">
        <v>7233</v>
      </c>
      <c r="S14" s="32">
        <f>Tabelle14253[[#This Row],[Positiv Rate]]</f>
        <v>1.6717283077477777E-2</v>
      </c>
      <c r="T14" s="26">
        <f>Tabelle14253[[#This Row],[Positiv]]/Tabelle14253[[#This Row],[Test]]</f>
        <v>1.6717283077477777E-2</v>
      </c>
      <c r="U14" s="1">
        <v>183</v>
      </c>
    </row>
    <row r="15" spans="2:21" x14ac:dyDescent="0.25">
      <c r="P15" s="20">
        <v>21</v>
      </c>
      <c r="Q15" s="21">
        <v>353467</v>
      </c>
      <c r="R15" s="21">
        <v>5218</v>
      </c>
      <c r="S15" s="32">
        <f>Tabelle14253[[#This Row],[Positiv Rate]]</f>
        <v>1.4762339907261498E-2</v>
      </c>
      <c r="T15" s="26">
        <f>Tabelle14253[[#This Row],[Positiv]]/Tabelle14253[[#This Row],[Test]]</f>
        <v>1.4762339907261498E-2</v>
      </c>
      <c r="U15" s="1">
        <v>179</v>
      </c>
    </row>
    <row r="16" spans="2:21" x14ac:dyDescent="0.25">
      <c r="P16" s="20">
        <v>22</v>
      </c>
      <c r="Q16" s="21">
        <v>405269</v>
      </c>
      <c r="R16" s="21">
        <v>4310</v>
      </c>
      <c r="S16" s="32">
        <f>Tabelle14253[[#This Row],[Positiv Rate]]</f>
        <v>1.0634911626598629E-2</v>
      </c>
      <c r="T16" s="26">
        <f>Tabelle14253[[#This Row],[Positiv]]/Tabelle14253[[#This Row],[Test]]</f>
        <v>1.0634911626598629E-2</v>
      </c>
      <c r="U16" s="1">
        <v>178</v>
      </c>
    </row>
    <row r="17" spans="16:21" x14ac:dyDescent="0.25">
      <c r="P17" s="20">
        <v>23</v>
      </c>
      <c r="Q17" s="21">
        <v>340986</v>
      </c>
      <c r="R17" s="21">
        <v>3208</v>
      </c>
      <c r="S17" s="32">
        <f>Tabelle14253[[#This Row],[Positiv Rate]]</f>
        <v>9.408010886077435E-3</v>
      </c>
      <c r="T17" s="26">
        <f>Tabelle14253[[#This Row],[Positiv]]/Tabelle14253[[#This Row],[Test]]</f>
        <v>9.408010886077435E-3</v>
      </c>
      <c r="U17" s="1">
        <v>176</v>
      </c>
    </row>
    <row r="18" spans="16:21" x14ac:dyDescent="0.25">
      <c r="P18" s="20">
        <v>24</v>
      </c>
      <c r="Q18" s="21">
        <v>327196</v>
      </c>
      <c r="R18" s="21">
        <v>2816</v>
      </c>
      <c r="S18" s="32">
        <f>Tabelle14253[[#This Row],[Positiv Rate]]</f>
        <v>8.6064621816892631E-3</v>
      </c>
      <c r="T18" s="26">
        <f>Tabelle14253[[#This Row],[Positiv]]/Tabelle14253[[#This Row],[Test]]</f>
        <v>8.6064621816892631E-3</v>
      </c>
      <c r="U18" s="1">
        <v>173</v>
      </c>
    </row>
    <row r="19" spans="16:21" x14ac:dyDescent="0.25">
      <c r="P19" s="20">
        <v>25</v>
      </c>
      <c r="Q19" s="21">
        <v>388187</v>
      </c>
      <c r="R19" s="21">
        <v>5316</v>
      </c>
      <c r="S19" s="32">
        <f>Tabelle14253[[#This Row],[Positiv Rate]]</f>
        <v>1.3694430776919371E-2</v>
      </c>
      <c r="T19" s="26">
        <f>Tabelle14253[[#This Row],[Positiv]]/Tabelle14253[[#This Row],[Test]]</f>
        <v>1.3694430776919371E-2</v>
      </c>
      <c r="U19" s="1">
        <v>176</v>
      </c>
    </row>
    <row r="20" spans="16:21" x14ac:dyDescent="0.25">
      <c r="P20" s="20">
        <v>26</v>
      </c>
      <c r="Q20" s="21">
        <v>467413</v>
      </c>
      <c r="R20" s="21">
        <v>3689</v>
      </c>
      <c r="S20" s="32">
        <f>Tabelle14253[[#This Row],[Positiv Rate]]</f>
        <v>7.8923778328801302E-3</v>
      </c>
      <c r="T20" s="26">
        <f>Tabelle14253[[#This Row],[Positiv]]/Tabelle14253[[#This Row],[Test]]</f>
        <v>7.8923778328801302E-3</v>
      </c>
      <c r="U20" s="1">
        <v>180</v>
      </c>
    </row>
    <row r="21" spans="16:21" x14ac:dyDescent="0.25">
      <c r="P21" s="20">
        <v>27</v>
      </c>
      <c r="Q21" s="21">
        <v>506490</v>
      </c>
      <c r="R21" s="21">
        <v>3104</v>
      </c>
      <c r="S21" s="32">
        <f>Tabelle14253[[#This Row],[Positiv Rate]]</f>
        <v>6.1284526841596087E-3</v>
      </c>
      <c r="T21" s="26">
        <f>Tabelle14253[[#This Row],[Positiv]]/Tabelle14253[[#This Row],[Test]]</f>
        <v>6.1284526841596087E-3</v>
      </c>
      <c r="U21" s="1">
        <v>151</v>
      </c>
    </row>
    <row r="22" spans="16:21" x14ac:dyDescent="0.25">
      <c r="P22" s="20">
        <v>28</v>
      </c>
      <c r="Q22" s="21">
        <v>510551</v>
      </c>
      <c r="R22" s="21">
        <v>2992</v>
      </c>
      <c r="S22" s="32">
        <f>Tabelle14253[[#This Row],[Positiv Rate]]</f>
        <v>5.8603352064730066E-3</v>
      </c>
      <c r="T22" s="26">
        <f>Tabelle14253[[#This Row],[Positiv]]/Tabelle14253[[#This Row],[Test]]</f>
        <v>5.8603352064730066E-3</v>
      </c>
      <c r="U22" s="1">
        <v>179</v>
      </c>
    </row>
    <row r="23" spans="16:21" x14ac:dyDescent="0.25">
      <c r="P23" s="20">
        <v>29</v>
      </c>
      <c r="Q23" s="21">
        <v>538701</v>
      </c>
      <c r="R23" s="21">
        <v>3497</v>
      </c>
      <c r="S23" s="32">
        <f>Tabelle14253[[#This Row],[Positiv Rate]]</f>
        <v>6.4915416901026729E-3</v>
      </c>
      <c r="T23" s="26">
        <f>Tabelle14253[[#This Row],[Positiv]]/Tabelle14253[[#This Row],[Test]]</f>
        <v>6.4915416901026729E-3</v>
      </c>
      <c r="U23" s="1">
        <v>177</v>
      </c>
    </row>
    <row r="24" spans="16:21" x14ac:dyDescent="0.25">
      <c r="P24" s="20">
        <v>30</v>
      </c>
      <c r="Q24" s="21">
        <v>572967</v>
      </c>
      <c r="R24" s="21">
        <v>4534</v>
      </c>
      <c r="S24" s="32">
        <f>Tabelle14253[[#This Row],[Positiv Rate]]</f>
        <v>7.9131956988796916E-3</v>
      </c>
      <c r="T24" s="26">
        <f>Tabelle14253[[#This Row],[Positiv]]/Tabelle14253[[#This Row],[Test]]</f>
        <v>7.9131956988796916E-3</v>
      </c>
      <c r="U24" s="1">
        <v>182</v>
      </c>
    </row>
    <row r="25" spans="16:21" x14ac:dyDescent="0.25">
      <c r="P25" s="20">
        <v>31</v>
      </c>
      <c r="Q25" s="21">
        <v>581037</v>
      </c>
      <c r="R25" s="21">
        <v>5699</v>
      </c>
      <c r="S25" s="32">
        <f>Tabelle14253[[#This Row],[Positiv Rate]]</f>
        <v>9.8083254594802053E-3</v>
      </c>
      <c r="T25" s="26">
        <f>Tabelle14253[[#This Row],[Positiv]]/Tabelle14253[[#This Row],[Test]]</f>
        <v>9.8083254594802053E-3</v>
      </c>
      <c r="U25" s="1">
        <v>168</v>
      </c>
    </row>
    <row r="26" spans="16:21" x14ac:dyDescent="0.25">
      <c r="P26" s="20">
        <v>32</v>
      </c>
      <c r="Q26" s="21">
        <v>733990</v>
      </c>
      <c r="R26" s="21">
        <v>7330</v>
      </c>
      <c r="S26" s="32">
        <f>Tabelle14253[[#This Row],[Positiv Rate]]</f>
        <v>9.9865120778212229E-3</v>
      </c>
      <c r="T26" s="26">
        <f>Tabelle14253[[#This Row],[Positiv]]/Tabelle14253[[#This Row],[Test]]</f>
        <v>9.9865120778212229E-3</v>
      </c>
      <c r="U26" s="1">
        <v>168</v>
      </c>
    </row>
    <row r="27" spans="16:21" x14ac:dyDescent="0.25">
      <c r="P27" s="20">
        <v>33</v>
      </c>
      <c r="Q27" s="21">
        <v>891988</v>
      </c>
      <c r="R27" s="21">
        <v>8661</v>
      </c>
      <c r="S27" s="32">
        <f>Tabelle14253[[#This Row],[Positiv Rate]]</f>
        <v>9.7097718803391981E-3</v>
      </c>
      <c r="T27" s="26">
        <f>Tabelle14253[[#This Row],[Positiv]]/Tabelle14253[[#This Row],[Test]]</f>
        <v>9.7097718803391981E-3</v>
      </c>
      <c r="U27" s="1">
        <v>188</v>
      </c>
    </row>
    <row r="28" spans="16:21" x14ac:dyDescent="0.25">
      <c r="P28" s="20">
        <v>34</v>
      </c>
      <c r="Q28" s="21">
        <v>1055662</v>
      </c>
      <c r="R28" s="21">
        <v>8921</v>
      </c>
      <c r="S28" s="32">
        <f>Tabelle14253[[#This Row],[Positiv Rate]]</f>
        <v>8.4506215057471041E-3</v>
      </c>
      <c r="T28" s="30">
        <f>Tabelle14253[[#This Row],[Positiv]]/Tabelle14253[[#This Row],[Test]]</f>
        <v>8.4506215057471041E-3</v>
      </c>
      <c r="U28" s="31">
        <v>196</v>
      </c>
    </row>
    <row r="29" spans="16:21" x14ac:dyDescent="0.25">
      <c r="P29" s="20">
        <v>35</v>
      </c>
      <c r="Q29" s="21">
        <v>1101299</v>
      </c>
      <c r="R29" s="21">
        <v>8178</v>
      </c>
      <c r="S29" s="32">
        <f>Tabelle14253[[#This Row],[Positiv Rate]]</f>
        <v>7.4257762878201109E-3</v>
      </c>
      <c r="T29" s="30">
        <f>Tabelle14253[[#This Row],[Positiv]]/Tabelle14253[[#This Row],[Test]]</f>
        <v>7.4257762878201109E-3</v>
      </c>
      <c r="U29" s="31">
        <v>181</v>
      </c>
    </row>
    <row r="30" spans="16:21" x14ac:dyDescent="0.25">
      <c r="P30" s="20">
        <v>36</v>
      </c>
      <c r="Q30" s="21">
        <v>1051125</v>
      </c>
      <c r="R30" s="21">
        <v>7754</v>
      </c>
      <c r="S30" s="32">
        <f>Tabelle14253[[#This Row],[Positiv Rate]]</f>
        <v>7.3768581281959808E-3</v>
      </c>
      <c r="T30" s="30">
        <f>Tabelle14253[[#This Row],[Positiv]]/Tabelle14253[[#This Row],[Test]]</f>
        <v>7.3768581281959808E-3</v>
      </c>
      <c r="U30" s="31">
        <v>180</v>
      </c>
    </row>
    <row r="31" spans="16:21" ht="15.75" thickBot="1" x14ac:dyDescent="0.3"/>
    <row r="32" spans="16:21" ht="15.75" thickBot="1" x14ac:dyDescent="0.3">
      <c r="P32" s="27" t="s">
        <v>6</v>
      </c>
      <c r="Q32" s="28">
        <f>SUM(Tabelle14253[Test])</f>
        <v>13436301</v>
      </c>
      <c r="R32" s="29">
        <f>SUM(Tabelle14253[Positiv])</f>
        <v>290372</v>
      </c>
    </row>
  </sheetData>
  <pageMargins left="0.7" right="0.7" top="0.78740157499999996" bottom="0.78740157499999996" header="0.3" footer="0.3"/>
  <pageSetup paperSize="9" scale="57" fitToHeight="0"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4673-A673-4AAF-AD0A-5017D7568A36}">
  <sheetPr>
    <pageSetUpPr fitToPage="1"/>
  </sheetPr>
  <dimension ref="B2:U31"/>
  <sheetViews>
    <sheetView showGridLines="0" zoomScale="85" zoomScaleNormal="85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0" width="11.42578125" customWidth="1"/>
    <col min="21" max="21" width="11.42578125" hidden="1" customWidth="1"/>
  </cols>
  <sheetData>
    <row r="2" spans="2:21" x14ac:dyDescent="0.25">
      <c r="B2" s="23" t="str">
        <f>N2</f>
        <v>Stand:</v>
      </c>
      <c r="C2" s="22">
        <f>O2</f>
        <v>44076</v>
      </c>
      <c r="N2" s="23" t="s">
        <v>9</v>
      </c>
      <c r="O2" s="22">
        <v>44076</v>
      </c>
      <c r="P2" s="9"/>
      <c r="Q2" s="10"/>
    </row>
    <row r="3" spans="2:21" ht="30" x14ac:dyDescent="0.25">
      <c r="O3" s="23" t="s">
        <v>11</v>
      </c>
      <c r="P3" s="18" t="s">
        <v>0</v>
      </c>
      <c r="Q3" s="18" t="s">
        <v>1</v>
      </c>
      <c r="R3" s="18" t="s">
        <v>2</v>
      </c>
      <c r="S3" s="18" t="s">
        <v>10</v>
      </c>
      <c r="T3" s="19" t="s">
        <v>3</v>
      </c>
      <c r="U3" s="4" t="s">
        <v>4</v>
      </c>
    </row>
    <row r="4" spans="2:21" x14ac:dyDescent="0.25">
      <c r="O4" s="33" t="s">
        <v>12</v>
      </c>
      <c r="P4" s="20">
        <v>10</v>
      </c>
      <c r="Q4" s="21">
        <v>124716</v>
      </c>
      <c r="R4" s="21">
        <v>3892</v>
      </c>
      <c r="S4" s="32">
        <f>Tabelle1425[[#This Row],[Positiv Rate]]</f>
        <v>3.1206902081529233E-2</v>
      </c>
      <c r="T4" s="26">
        <f>Tabelle1425[[#This Row],[Positiv]]/Tabelle1425[[#This Row],[Test]]</f>
        <v>3.1206902081529233E-2</v>
      </c>
      <c r="U4" s="1">
        <v>90</v>
      </c>
    </row>
    <row r="5" spans="2:21" x14ac:dyDescent="0.25">
      <c r="P5" s="20">
        <v>11</v>
      </c>
      <c r="Q5" s="21">
        <v>127457</v>
      </c>
      <c r="R5" s="21">
        <v>7582</v>
      </c>
      <c r="S5" s="32">
        <f>Tabelle1425[[#This Row],[Positiv Rate]]</f>
        <v>5.9486728857575499E-2</v>
      </c>
      <c r="T5" s="26">
        <f>Tabelle1425[[#This Row],[Positiv]]/Tabelle1425[[#This Row],[Test]]</f>
        <v>5.9486728857575499E-2</v>
      </c>
      <c r="U5" s="1">
        <v>114</v>
      </c>
    </row>
    <row r="6" spans="2:21" x14ac:dyDescent="0.25">
      <c r="P6" s="20">
        <v>12</v>
      </c>
      <c r="Q6" s="21">
        <v>348619</v>
      </c>
      <c r="R6" s="21">
        <v>23820</v>
      </c>
      <c r="S6" s="32">
        <f>Tabelle1425[[#This Row],[Positiv Rate]]</f>
        <v>6.8326740653836995E-2</v>
      </c>
      <c r="T6" s="26">
        <f>Tabelle1425[[#This Row],[Positiv]]/Tabelle1425[[#This Row],[Test]]</f>
        <v>6.8326740653836995E-2</v>
      </c>
      <c r="U6" s="1">
        <v>152</v>
      </c>
    </row>
    <row r="7" spans="2:21" x14ac:dyDescent="0.25">
      <c r="P7" s="20">
        <v>13</v>
      </c>
      <c r="Q7" s="21">
        <v>361515</v>
      </c>
      <c r="R7" s="21">
        <v>31414</v>
      </c>
      <c r="S7" s="32">
        <f>Tabelle1425[[#This Row],[Positiv Rate]]</f>
        <v>8.6895426192550793E-2</v>
      </c>
      <c r="T7" s="26">
        <f>Tabelle1425[[#This Row],[Positiv]]/Tabelle1425[[#This Row],[Test]]</f>
        <v>8.6895426192550793E-2</v>
      </c>
      <c r="U7" s="1">
        <v>151</v>
      </c>
    </row>
    <row r="8" spans="2:21" x14ac:dyDescent="0.25">
      <c r="P8" s="20">
        <v>14</v>
      </c>
      <c r="Q8" s="21">
        <v>408348</v>
      </c>
      <c r="R8" s="21">
        <v>36885</v>
      </c>
      <c r="S8" s="32">
        <f>Tabelle1425[[#This Row],[Positiv Rate]]</f>
        <v>9.0327367833318642E-2</v>
      </c>
      <c r="T8" s="26">
        <f>Tabelle1425[[#This Row],[Positiv]]/Tabelle1425[[#This Row],[Test]]</f>
        <v>9.0327367833318642E-2</v>
      </c>
      <c r="U8" s="1">
        <v>154</v>
      </c>
    </row>
    <row r="9" spans="2:21" x14ac:dyDescent="0.25">
      <c r="P9" s="20">
        <v>15</v>
      </c>
      <c r="Q9" s="21">
        <v>380197</v>
      </c>
      <c r="R9" s="21">
        <v>30791</v>
      </c>
      <c r="S9" s="32">
        <f>Tabelle1425[[#This Row],[Positiv Rate]]</f>
        <v>8.0986962022320003E-2</v>
      </c>
      <c r="T9" s="26">
        <f>Tabelle1425[[#This Row],[Positiv]]/Tabelle1425[[#This Row],[Test]]</f>
        <v>8.0986962022320003E-2</v>
      </c>
      <c r="U9" s="1">
        <v>164</v>
      </c>
    </row>
    <row r="10" spans="2:21" x14ac:dyDescent="0.25">
      <c r="P10" s="20">
        <v>16</v>
      </c>
      <c r="Q10" s="21">
        <v>331902</v>
      </c>
      <c r="R10" s="21">
        <v>22082</v>
      </c>
      <c r="S10" s="32">
        <f>Tabelle1425[[#This Row],[Positiv Rate]]</f>
        <v>6.65316870642539E-2</v>
      </c>
      <c r="T10" s="26">
        <f>Tabelle1425[[#This Row],[Positiv]]/Tabelle1425[[#This Row],[Test]]</f>
        <v>6.65316870642539E-2</v>
      </c>
      <c r="U10" s="1">
        <v>168</v>
      </c>
    </row>
    <row r="11" spans="2:21" x14ac:dyDescent="0.25">
      <c r="P11" s="20">
        <v>17</v>
      </c>
      <c r="Q11" s="21">
        <v>363890</v>
      </c>
      <c r="R11" s="21">
        <v>18083</v>
      </c>
      <c r="S11" s="32">
        <f>Tabelle1425[[#This Row],[Positiv Rate]]</f>
        <v>4.9693588721866501E-2</v>
      </c>
      <c r="T11" s="26">
        <f>Tabelle1425[[#This Row],[Positiv]]/Tabelle1425[[#This Row],[Test]]</f>
        <v>4.9693588721866501E-2</v>
      </c>
      <c r="U11" s="1">
        <v>178</v>
      </c>
    </row>
    <row r="12" spans="2:21" x14ac:dyDescent="0.25">
      <c r="P12" s="20">
        <v>18</v>
      </c>
      <c r="Q12" s="21">
        <v>326788</v>
      </c>
      <c r="R12" s="21">
        <v>12608</v>
      </c>
      <c r="S12" s="32">
        <f>Tabelle1425[[#This Row],[Positiv Rate]]</f>
        <v>3.8581588063209174E-2</v>
      </c>
      <c r="T12" s="26">
        <f>Tabelle1425[[#This Row],[Positiv]]/Tabelle1425[[#This Row],[Test]]</f>
        <v>3.8581588063209174E-2</v>
      </c>
      <c r="U12" s="1">
        <v>175</v>
      </c>
    </row>
    <row r="13" spans="2:21" x14ac:dyDescent="0.25">
      <c r="P13" s="20">
        <v>19</v>
      </c>
      <c r="Q13" s="21">
        <v>403875</v>
      </c>
      <c r="R13" s="21">
        <v>10755</v>
      </c>
      <c r="S13" s="32">
        <f>Tabelle1425[[#This Row],[Positiv Rate]]</f>
        <v>2.6629526462395543E-2</v>
      </c>
      <c r="T13" s="26">
        <f>Tabelle1425[[#This Row],[Positiv]]/Tabelle1425[[#This Row],[Test]]</f>
        <v>2.6629526462395543E-2</v>
      </c>
      <c r="U13" s="1">
        <v>182</v>
      </c>
    </row>
    <row r="14" spans="2:21" x14ac:dyDescent="0.25">
      <c r="P14" s="20">
        <v>20</v>
      </c>
      <c r="Q14" s="21">
        <v>432666</v>
      </c>
      <c r="R14" s="21">
        <v>7233</v>
      </c>
      <c r="S14" s="32">
        <f>Tabelle1425[[#This Row],[Positiv Rate]]</f>
        <v>1.6717283077477777E-2</v>
      </c>
      <c r="T14" s="26">
        <f>Tabelle1425[[#This Row],[Positiv]]/Tabelle1425[[#This Row],[Test]]</f>
        <v>1.6717283077477777E-2</v>
      </c>
      <c r="U14" s="1">
        <v>183</v>
      </c>
    </row>
    <row r="15" spans="2:21" x14ac:dyDescent="0.25">
      <c r="P15" s="20">
        <v>21</v>
      </c>
      <c r="Q15" s="21">
        <v>353467</v>
      </c>
      <c r="R15" s="21">
        <v>5218</v>
      </c>
      <c r="S15" s="32">
        <f>Tabelle1425[[#This Row],[Positiv Rate]]</f>
        <v>1.4762339907261498E-2</v>
      </c>
      <c r="T15" s="26">
        <f>Tabelle1425[[#This Row],[Positiv]]/Tabelle1425[[#This Row],[Test]]</f>
        <v>1.4762339907261498E-2</v>
      </c>
      <c r="U15" s="1">
        <v>179</v>
      </c>
    </row>
    <row r="16" spans="2:21" x14ac:dyDescent="0.25">
      <c r="P16" s="20">
        <v>22</v>
      </c>
      <c r="Q16" s="21">
        <v>405269</v>
      </c>
      <c r="R16" s="21">
        <v>4310</v>
      </c>
      <c r="S16" s="32">
        <f>Tabelle1425[[#This Row],[Positiv Rate]]</f>
        <v>1.0634911626598629E-2</v>
      </c>
      <c r="T16" s="26">
        <f>Tabelle1425[[#This Row],[Positiv]]/Tabelle1425[[#This Row],[Test]]</f>
        <v>1.0634911626598629E-2</v>
      </c>
      <c r="U16" s="1">
        <v>178</v>
      </c>
    </row>
    <row r="17" spans="16:21" x14ac:dyDescent="0.25">
      <c r="P17" s="20">
        <v>23</v>
      </c>
      <c r="Q17" s="21">
        <v>340986</v>
      </c>
      <c r="R17" s="21">
        <v>3208</v>
      </c>
      <c r="S17" s="32">
        <f>Tabelle1425[[#This Row],[Positiv Rate]]</f>
        <v>9.408010886077435E-3</v>
      </c>
      <c r="T17" s="26">
        <f>Tabelle1425[[#This Row],[Positiv]]/Tabelle1425[[#This Row],[Test]]</f>
        <v>9.408010886077435E-3</v>
      </c>
      <c r="U17" s="1">
        <v>176</v>
      </c>
    </row>
    <row r="18" spans="16:21" x14ac:dyDescent="0.25">
      <c r="P18" s="20">
        <v>24</v>
      </c>
      <c r="Q18" s="21">
        <v>327196</v>
      </c>
      <c r="R18" s="21">
        <v>2816</v>
      </c>
      <c r="S18" s="32">
        <f>Tabelle1425[[#This Row],[Positiv Rate]]</f>
        <v>8.6064621816892631E-3</v>
      </c>
      <c r="T18" s="26">
        <f>Tabelle1425[[#This Row],[Positiv]]/Tabelle1425[[#This Row],[Test]]</f>
        <v>8.6064621816892631E-3</v>
      </c>
      <c r="U18" s="1">
        <v>172</v>
      </c>
    </row>
    <row r="19" spans="16:21" x14ac:dyDescent="0.25">
      <c r="P19" s="20">
        <v>25</v>
      </c>
      <c r="Q19" s="21">
        <v>388187</v>
      </c>
      <c r="R19" s="21">
        <v>5316</v>
      </c>
      <c r="S19" s="32">
        <f>Tabelle1425[[#This Row],[Positiv Rate]]</f>
        <v>1.3694430776919371E-2</v>
      </c>
      <c r="T19" s="26">
        <f>Tabelle1425[[#This Row],[Positiv]]/Tabelle1425[[#This Row],[Test]]</f>
        <v>1.3694430776919371E-2</v>
      </c>
      <c r="U19" s="1">
        <v>174</v>
      </c>
    </row>
    <row r="20" spans="16:21" x14ac:dyDescent="0.25">
      <c r="P20" s="20">
        <v>26</v>
      </c>
      <c r="Q20" s="21">
        <v>467413</v>
      </c>
      <c r="R20" s="21">
        <v>3689</v>
      </c>
      <c r="S20" s="32">
        <f>Tabelle1425[[#This Row],[Positiv Rate]]</f>
        <v>7.8923778328801302E-3</v>
      </c>
      <c r="T20" s="26">
        <f>Tabelle1425[[#This Row],[Positiv]]/Tabelle1425[[#This Row],[Test]]</f>
        <v>7.8923778328801302E-3</v>
      </c>
      <c r="U20" s="1">
        <v>179</v>
      </c>
    </row>
    <row r="21" spans="16:21" x14ac:dyDescent="0.25">
      <c r="P21" s="20">
        <v>27</v>
      </c>
      <c r="Q21" s="21">
        <v>506490</v>
      </c>
      <c r="R21" s="21">
        <v>3104</v>
      </c>
      <c r="S21" s="32">
        <f>Tabelle1425[[#This Row],[Positiv Rate]]</f>
        <v>6.1284526841596087E-3</v>
      </c>
      <c r="T21" s="26">
        <f>Tabelle1425[[#This Row],[Positiv]]/Tabelle1425[[#This Row],[Test]]</f>
        <v>6.1284526841596087E-3</v>
      </c>
      <c r="U21" s="1">
        <v>150</v>
      </c>
    </row>
    <row r="22" spans="16:21" x14ac:dyDescent="0.25">
      <c r="P22" s="20">
        <v>28</v>
      </c>
      <c r="Q22" s="21">
        <v>510551</v>
      </c>
      <c r="R22" s="21">
        <v>2992</v>
      </c>
      <c r="S22" s="32">
        <f>Tabelle1425[[#This Row],[Positiv Rate]]</f>
        <v>5.8603352064730066E-3</v>
      </c>
      <c r="T22" s="26">
        <f>Tabelle1425[[#This Row],[Positiv]]/Tabelle1425[[#This Row],[Test]]</f>
        <v>5.8603352064730066E-3</v>
      </c>
      <c r="U22" s="1">
        <v>177</v>
      </c>
    </row>
    <row r="23" spans="16:21" x14ac:dyDescent="0.25">
      <c r="P23" s="20">
        <v>29</v>
      </c>
      <c r="Q23" s="21">
        <v>538701</v>
      </c>
      <c r="R23" s="21">
        <v>3497</v>
      </c>
      <c r="S23" s="32">
        <f>Tabelle1425[[#This Row],[Positiv Rate]]</f>
        <v>6.4915416901026729E-3</v>
      </c>
      <c r="T23" s="26">
        <f>Tabelle1425[[#This Row],[Positiv]]/Tabelle1425[[#This Row],[Test]]</f>
        <v>6.4915416901026729E-3</v>
      </c>
      <c r="U23" s="1">
        <v>173</v>
      </c>
    </row>
    <row r="24" spans="16:21" x14ac:dyDescent="0.25">
      <c r="P24" s="20">
        <v>30</v>
      </c>
      <c r="Q24" s="21">
        <v>572967</v>
      </c>
      <c r="R24" s="21">
        <v>4534</v>
      </c>
      <c r="S24" s="32">
        <f>Tabelle1425[[#This Row],[Positiv Rate]]</f>
        <v>7.9131956988796916E-3</v>
      </c>
      <c r="T24" s="26">
        <f>Tabelle1425[[#This Row],[Positiv]]/Tabelle1425[[#This Row],[Test]]</f>
        <v>7.9131956988796916E-3</v>
      </c>
      <c r="U24" s="1">
        <v>171</v>
      </c>
    </row>
    <row r="25" spans="16:21" x14ac:dyDescent="0.25">
      <c r="P25" s="20">
        <v>31</v>
      </c>
      <c r="Q25" s="21">
        <v>581037</v>
      </c>
      <c r="R25" s="21">
        <v>5699</v>
      </c>
      <c r="S25" s="32">
        <f>Tabelle1425[[#This Row],[Positiv Rate]]</f>
        <v>9.8083254594802053E-3</v>
      </c>
      <c r="T25" s="26">
        <f>Tabelle1425[[#This Row],[Positiv]]/Tabelle1425[[#This Row],[Test]]</f>
        <v>9.8083254594802053E-3</v>
      </c>
      <c r="U25" s="1">
        <v>161</v>
      </c>
    </row>
    <row r="26" spans="16:21" x14ac:dyDescent="0.25">
      <c r="P26" s="20">
        <v>32</v>
      </c>
      <c r="Q26" s="21">
        <v>733990</v>
      </c>
      <c r="R26" s="21">
        <v>7330</v>
      </c>
      <c r="S26" s="32">
        <f>Tabelle1425[[#This Row],[Positiv Rate]]</f>
        <v>9.9865120778212229E-3</v>
      </c>
      <c r="T26" s="26">
        <f>Tabelle1425[[#This Row],[Positiv]]/Tabelle1425[[#This Row],[Test]]</f>
        <v>9.9865120778212229E-3</v>
      </c>
      <c r="U26" s="1"/>
    </row>
    <row r="27" spans="16:21" x14ac:dyDescent="0.25">
      <c r="P27" s="20">
        <v>33</v>
      </c>
      <c r="Q27" s="21">
        <v>891988</v>
      </c>
      <c r="R27" s="21">
        <v>8661</v>
      </c>
      <c r="S27" s="32">
        <f>Tabelle1425[[#This Row],[Positiv Rate]]</f>
        <v>9.7097718803391981E-3</v>
      </c>
      <c r="T27" s="26">
        <f>Tabelle1425[[#This Row],[Positiv]]/Tabelle1425[[#This Row],[Test]]</f>
        <v>9.7097718803391981E-3</v>
      </c>
      <c r="U27" s="1"/>
    </row>
    <row r="28" spans="16:21" x14ac:dyDescent="0.25">
      <c r="P28" s="20">
        <v>34</v>
      </c>
      <c r="Q28" s="21">
        <v>1053521</v>
      </c>
      <c r="R28" s="21">
        <v>8903</v>
      </c>
      <c r="S28" s="32">
        <f>Tabelle1425[[#This Row],[Positiv Rate]]</f>
        <v>8.4507095729463386E-3</v>
      </c>
      <c r="T28" s="30">
        <f>Tabelle1425[[#This Row],[Positiv]]/Tabelle1425[[#This Row],[Test]]</f>
        <v>8.4507095729463386E-3</v>
      </c>
      <c r="U28" s="31"/>
    </row>
    <row r="29" spans="16:21" x14ac:dyDescent="0.25">
      <c r="P29" s="20">
        <v>35</v>
      </c>
      <c r="Q29" s="21">
        <v>1101299</v>
      </c>
      <c r="R29" s="21">
        <v>8178</v>
      </c>
      <c r="S29" s="32">
        <f>Tabelle1425[[#This Row],[Positiv Rate]]</f>
        <v>7.4257762878201109E-3</v>
      </c>
      <c r="T29" s="30">
        <f>Tabelle1425[[#This Row],[Positiv]]/Tabelle1425[[#This Row],[Test]]</f>
        <v>7.4257762878201109E-3</v>
      </c>
      <c r="U29" s="31"/>
    </row>
    <row r="30" spans="16:21" ht="15.75" thickBot="1" x14ac:dyDescent="0.3"/>
    <row r="31" spans="16:21" ht="15.75" thickBot="1" x14ac:dyDescent="0.3">
      <c r="P31" s="27" t="s">
        <v>6</v>
      </c>
      <c r="Q31" s="28">
        <f>SUM(Tabelle1425[Test])</f>
        <v>12383035</v>
      </c>
      <c r="R31" s="29">
        <f>SUM(Tabelle1425[Positiv])</f>
        <v>282600</v>
      </c>
    </row>
  </sheetData>
  <pageMargins left="0.7" right="0.7" top="0.78740157499999996" bottom="0.78740157499999996" header="0.3" footer="0.3"/>
  <pageSetup paperSize="9" scale="57" fitToHeight="0" orientation="landscape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7ADAB-8296-4D31-A449-A6D735E1005D}">
  <sheetPr>
    <pageSetUpPr fitToPage="1"/>
  </sheetPr>
  <dimension ref="B2:U30"/>
  <sheetViews>
    <sheetView showGridLines="0" zoomScale="85" zoomScaleNormal="85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0" width="11.42578125" customWidth="1"/>
    <col min="21" max="21" width="11.42578125" hidden="1" customWidth="1"/>
  </cols>
  <sheetData>
    <row r="2" spans="2:21" x14ac:dyDescent="0.25">
      <c r="B2" s="23" t="str">
        <f>N2</f>
        <v>Stand:</v>
      </c>
      <c r="C2" s="22">
        <f>O2</f>
        <v>44069</v>
      </c>
      <c r="N2" s="23" t="s">
        <v>9</v>
      </c>
      <c r="O2" s="22">
        <v>44069</v>
      </c>
      <c r="P2" s="9"/>
      <c r="Q2" s="10"/>
    </row>
    <row r="3" spans="2:21" ht="30" x14ac:dyDescent="0.25">
      <c r="P3" s="18" t="s">
        <v>0</v>
      </c>
      <c r="Q3" s="18" t="s">
        <v>1</v>
      </c>
      <c r="R3" s="18" t="s">
        <v>2</v>
      </c>
      <c r="S3" s="18" t="s">
        <v>10</v>
      </c>
      <c r="T3" s="19" t="s">
        <v>3</v>
      </c>
      <c r="U3" s="4" t="s">
        <v>4</v>
      </c>
    </row>
    <row r="4" spans="2:21" x14ac:dyDescent="0.25">
      <c r="P4" s="20">
        <v>10</v>
      </c>
      <c r="Q4" s="21">
        <v>124716</v>
      </c>
      <c r="R4" s="21">
        <v>3892</v>
      </c>
      <c r="S4" s="32">
        <f>Tabelle142[[#This Row],[Positiv Rate]]</f>
        <v>3.1206902081529233E-2</v>
      </c>
      <c r="T4" s="26">
        <f>Tabelle142[[#This Row],[Positiv]]/Tabelle142[[#This Row],[Test]]</f>
        <v>3.1206902081529233E-2</v>
      </c>
      <c r="U4" s="1">
        <v>90</v>
      </c>
    </row>
    <row r="5" spans="2:21" x14ac:dyDescent="0.25">
      <c r="P5" s="20">
        <v>11</v>
      </c>
      <c r="Q5" s="21">
        <v>127457</v>
      </c>
      <c r="R5" s="21">
        <v>7582</v>
      </c>
      <c r="S5" s="32">
        <f>Tabelle142[[#This Row],[Positiv Rate]]</f>
        <v>5.9486728857575499E-2</v>
      </c>
      <c r="T5" s="26">
        <f>Tabelle142[[#This Row],[Positiv]]/Tabelle142[[#This Row],[Test]]</f>
        <v>5.9486728857575499E-2</v>
      </c>
      <c r="U5" s="1">
        <v>114</v>
      </c>
    </row>
    <row r="6" spans="2:21" x14ac:dyDescent="0.25">
      <c r="P6" s="20">
        <v>12</v>
      </c>
      <c r="Q6" s="21">
        <v>348619</v>
      </c>
      <c r="R6" s="21">
        <v>23820</v>
      </c>
      <c r="S6" s="32">
        <f>Tabelle142[[#This Row],[Positiv Rate]]</f>
        <v>6.8326740653836995E-2</v>
      </c>
      <c r="T6" s="26">
        <f>Tabelle142[[#This Row],[Positiv]]/Tabelle142[[#This Row],[Test]]</f>
        <v>6.8326740653836995E-2</v>
      </c>
      <c r="U6" s="1">
        <v>152</v>
      </c>
    </row>
    <row r="7" spans="2:21" x14ac:dyDescent="0.25">
      <c r="P7" s="20">
        <v>13</v>
      </c>
      <c r="Q7" s="21">
        <v>361515</v>
      </c>
      <c r="R7" s="21">
        <v>31414</v>
      </c>
      <c r="S7" s="32">
        <f>Tabelle142[[#This Row],[Positiv Rate]]</f>
        <v>8.6895426192550793E-2</v>
      </c>
      <c r="T7" s="26">
        <f>Tabelle142[[#This Row],[Positiv]]/Tabelle142[[#This Row],[Test]]</f>
        <v>8.6895426192550793E-2</v>
      </c>
      <c r="U7" s="1">
        <v>151</v>
      </c>
    </row>
    <row r="8" spans="2:21" x14ac:dyDescent="0.25">
      <c r="P8" s="20">
        <v>14</v>
      </c>
      <c r="Q8" s="21">
        <v>408348</v>
      </c>
      <c r="R8" s="21">
        <v>36885</v>
      </c>
      <c r="S8" s="32">
        <f>Tabelle142[[#This Row],[Positiv Rate]]</f>
        <v>9.0327367833318642E-2</v>
      </c>
      <c r="T8" s="26">
        <f>Tabelle142[[#This Row],[Positiv]]/Tabelle142[[#This Row],[Test]]</f>
        <v>9.0327367833318642E-2</v>
      </c>
      <c r="U8" s="1">
        <v>154</v>
      </c>
    </row>
    <row r="9" spans="2:21" x14ac:dyDescent="0.25">
      <c r="P9" s="20">
        <v>15</v>
      </c>
      <c r="Q9" s="21">
        <v>380197</v>
      </c>
      <c r="R9" s="21">
        <v>30791</v>
      </c>
      <c r="S9" s="32">
        <f>Tabelle142[[#This Row],[Positiv Rate]]</f>
        <v>8.0986962022320003E-2</v>
      </c>
      <c r="T9" s="26">
        <f>Tabelle142[[#This Row],[Positiv]]/Tabelle142[[#This Row],[Test]]</f>
        <v>8.0986962022320003E-2</v>
      </c>
      <c r="U9" s="1">
        <v>164</v>
      </c>
    </row>
    <row r="10" spans="2:21" x14ac:dyDescent="0.25">
      <c r="P10" s="20">
        <v>16</v>
      </c>
      <c r="Q10" s="21">
        <v>331902</v>
      </c>
      <c r="R10" s="21">
        <v>22082</v>
      </c>
      <c r="S10" s="32">
        <f>Tabelle142[[#This Row],[Positiv Rate]]</f>
        <v>6.65316870642539E-2</v>
      </c>
      <c r="T10" s="26">
        <f>Tabelle142[[#This Row],[Positiv]]/Tabelle142[[#This Row],[Test]]</f>
        <v>6.65316870642539E-2</v>
      </c>
      <c r="U10" s="1">
        <v>168</v>
      </c>
    </row>
    <row r="11" spans="2:21" x14ac:dyDescent="0.25">
      <c r="P11" s="20">
        <v>17</v>
      </c>
      <c r="Q11" s="21">
        <v>363890</v>
      </c>
      <c r="R11" s="21">
        <v>18083</v>
      </c>
      <c r="S11" s="32">
        <f>Tabelle142[[#This Row],[Positiv Rate]]</f>
        <v>4.9693588721866501E-2</v>
      </c>
      <c r="T11" s="26">
        <f>Tabelle142[[#This Row],[Positiv]]/Tabelle142[[#This Row],[Test]]</f>
        <v>4.9693588721866501E-2</v>
      </c>
      <c r="U11" s="1">
        <v>178</v>
      </c>
    </row>
    <row r="12" spans="2:21" x14ac:dyDescent="0.25">
      <c r="P12" s="20">
        <v>18</v>
      </c>
      <c r="Q12" s="21">
        <v>326788</v>
      </c>
      <c r="R12" s="21">
        <v>12608</v>
      </c>
      <c r="S12" s="32">
        <f>Tabelle142[[#This Row],[Positiv Rate]]</f>
        <v>3.8581588063209174E-2</v>
      </c>
      <c r="T12" s="26">
        <f>Tabelle142[[#This Row],[Positiv]]/Tabelle142[[#This Row],[Test]]</f>
        <v>3.8581588063209174E-2</v>
      </c>
      <c r="U12" s="1">
        <v>175</v>
      </c>
    </row>
    <row r="13" spans="2:21" x14ac:dyDescent="0.25">
      <c r="P13" s="20">
        <v>19</v>
      </c>
      <c r="Q13" s="21">
        <v>403875</v>
      </c>
      <c r="R13" s="21">
        <v>10755</v>
      </c>
      <c r="S13" s="32">
        <f>Tabelle142[[#This Row],[Positiv Rate]]</f>
        <v>2.6629526462395543E-2</v>
      </c>
      <c r="T13" s="26">
        <f>Tabelle142[[#This Row],[Positiv]]/Tabelle142[[#This Row],[Test]]</f>
        <v>2.6629526462395543E-2</v>
      </c>
      <c r="U13" s="1">
        <v>182</v>
      </c>
    </row>
    <row r="14" spans="2:21" x14ac:dyDescent="0.25">
      <c r="P14" s="20">
        <v>20</v>
      </c>
      <c r="Q14" s="21">
        <v>432666</v>
      </c>
      <c r="R14" s="21">
        <v>7233</v>
      </c>
      <c r="S14" s="32">
        <f>Tabelle142[[#This Row],[Positiv Rate]]</f>
        <v>1.6717283077477777E-2</v>
      </c>
      <c r="T14" s="26">
        <f>Tabelle142[[#This Row],[Positiv]]/Tabelle142[[#This Row],[Test]]</f>
        <v>1.6717283077477777E-2</v>
      </c>
      <c r="U14" s="1">
        <v>183</v>
      </c>
    </row>
    <row r="15" spans="2:21" x14ac:dyDescent="0.25">
      <c r="P15" s="20">
        <v>21</v>
      </c>
      <c r="Q15" s="21">
        <v>353467</v>
      </c>
      <c r="R15" s="21">
        <v>5218</v>
      </c>
      <c r="S15" s="32">
        <f>Tabelle142[[#This Row],[Positiv Rate]]</f>
        <v>1.4762339907261498E-2</v>
      </c>
      <c r="T15" s="26">
        <f>Tabelle142[[#This Row],[Positiv]]/Tabelle142[[#This Row],[Test]]</f>
        <v>1.4762339907261498E-2</v>
      </c>
      <c r="U15" s="1">
        <v>179</v>
      </c>
    </row>
    <row r="16" spans="2:21" x14ac:dyDescent="0.25">
      <c r="P16" s="20">
        <v>22</v>
      </c>
      <c r="Q16" s="21">
        <v>405269</v>
      </c>
      <c r="R16" s="21">
        <v>4310</v>
      </c>
      <c r="S16" s="32">
        <f>Tabelle142[[#This Row],[Positiv Rate]]</f>
        <v>1.0634911626598629E-2</v>
      </c>
      <c r="T16" s="26">
        <f>Tabelle142[[#This Row],[Positiv]]/Tabelle142[[#This Row],[Test]]</f>
        <v>1.0634911626598629E-2</v>
      </c>
      <c r="U16" s="1">
        <v>178</v>
      </c>
    </row>
    <row r="17" spans="16:21" x14ac:dyDescent="0.25">
      <c r="P17" s="20">
        <v>23</v>
      </c>
      <c r="Q17" s="21">
        <v>340986</v>
      </c>
      <c r="R17" s="21">
        <v>3208</v>
      </c>
      <c r="S17" s="32">
        <f>Tabelle142[[#This Row],[Positiv Rate]]</f>
        <v>9.408010886077435E-3</v>
      </c>
      <c r="T17" s="26">
        <f>Tabelle142[[#This Row],[Positiv]]/Tabelle142[[#This Row],[Test]]</f>
        <v>9.408010886077435E-3</v>
      </c>
      <c r="U17" s="1">
        <v>176</v>
      </c>
    </row>
    <row r="18" spans="16:21" x14ac:dyDescent="0.25">
      <c r="P18" s="20">
        <v>24</v>
      </c>
      <c r="Q18" s="21">
        <v>326645</v>
      </c>
      <c r="R18" s="21">
        <v>2816</v>
      </c>
      <c r="S18" s="32">
        <f>Tabelle142[[#This Row],[Positiv Rate]]</f>
        <v>8.6209799629567273E-3</v>
      </c>
      <c r="T18" s="26">
        <f>Tabelle142[[#This Row],[Positiv]]/Tabelle142[[#This Row],[Test]]</f>
        <v>8.6209799629567273E-3</v>
      </c>
      <c r="U18" s="1">
        <v>172</v>
      </c>
    </row>
    <row r="19" spans="16:21" x14ac:dyDescent="0.25">
      <c r="P19" s="20">
        <v>25</v>
      </c>
      <c r="Q19" s="21">
        <v>387484</v>
      </c>
      <c r="R19" s="21">
        <v>5309</v>
      </c>
      <c r="S19" s="32">
        <f>Tabelle142[[#This Row],[Positiv Rate]]</f>
        <v>1.3701210888707663E-2</v>
      </c>
      <c r="T19" s="26">
        <f>Tabelle142[[#This Row],[Positiv]]/Tabelle142[[#This Row],[Test]]</f>
        <v>1.3701210888707663E-2</v>
      </c>
      <c r="U19" s="1">
        <v>174</v>
      </c>
    </row>
    <row r="20" spans="16:21" x14ac:dyDescent="0.25">
      <c r="P20" s="20">
        <v>26</v>
      </c>
      <c r="Q20" s="21">
        <v>466459</v>
      </c>
      <c r="R20" s="21">
        <v>3670</v>
      </c>
      <c r="S20" s="32">
        <f>Tabelle142[[#This Row],[Positiv Rate]]</f>
        <v>7.8677868794470689E-3</v>
      </c>
      <c r="T20" s="26">
        <f>Tabelle142[[#This Row],[Positiv]]/Tabelle142[[#This Row],[Test]]</f>
        <v>7.8677868794470689E-3</v>
      </c>
      <c r="U20" s="1">
        <v>179</v>
      </c>
    </row>
    <row r="21" spans="16:21" x14ac:dyDescent="0.25">
      <c r="P21" s="20">
        <v>27</v>
      </c>
      <c r="Q21" s="21">
        <v>504082</v>
      </c>
      <c r="R21" s="21">
        <v>3080</v>
      </c>
      <c r="S21" s="32">
        <f>Tabelle142[[#This Row],[Positiv Rate]]</f>
        <v>6.1101170047730326E-3</v>
      </c>
      <c r="T21" s="26">
        <f>Tabelle142[[#This Row],[Positiv]]/Tabelle142[[#This Row],[Test]]</f>
        <v>6.1101170047730326E-3</v>
      </c>
      <c r="U21" s="1">
        <v>150</v>
      </c>
    </row>
    <row r="22" spans="16:21" x14ac:dyDescent="0.25">
      <c r="P22" s="20">
        <v>28</v>
      </c>
      <c r="Q22" s="21">
        <v>510103</v>
      </c>
      <c r="R22" s="21">
        <v>2990</v>
      </c>
      <c r="S22" s="32">
        <f>Tabelle142[[#This Row],[Positiv Rate]]</f>
        <v>5.8615612925232751E-3</v>
      </c>
      <c r="T22" s="26">
        <f>Tabelle142[[#This Row],[Positiv]]/Tabelle142[[#This Row],[Test]]</f>
        <v>5.8615612925232751E-3</v>
      </c>
      <c r="U22" s="1">
        <v>177</v>
      </c>
    </row>
    <row r="23" spans="16:21" x14ac:dyDescent="0.25">
      <c r="P23" s="20">
        <v>29</v>
      </c>
      <c r="Q23" s="21">
        <v>538229</v>
      </c>
      <c r="R23" s="21">
        <v>3483</v>
      </c>
      <c r="S23" s="32">
        <f>Tabelle142[[#This Row],[Positiv Rate]]</f>
        <v>6.4712232153971636E-3</v>
      </c>
      <c r="T23" s="26">
        <f>Tabelle142[[#This Row],[Positiv]]/Tabelle142[[#This Row],[Test]]</f>
        <v>6.4712232153971636E-3</v>
      </c>
      <c r="U23" s="1">
        <v>173</v>
      </c>
    </row>
    <row r="24" spans="16:21" x14ac:dyDescent="0.25">
      <c r="P24" s="20">
        <v>30</v>
      </c>
      <c r="Q24" s="21">
        <v>572311</v>
      </c>
      <c r="R24" s="21">
        <v>4506</v>
      </c>
      <c r="S24" s="32">
        <f>Tabelle142[[#This Row],[Positiv Rate]]</f>
        <v>7.8733415922461747E-3</v>
      </c>
      <c r="T24" s="26">
        <f>Tabelle142[[#This Row],[Positiv]]/Tabelle142[[#This Row],[Test]]</f>
        <v>7.8733415922461747E-3</v>
      </c>
      <c r="U24" s="1">
        <v>171</v>
      </c>
    </row>
    <row r="25" spans="16:21" x14ac:dyDescent="0.25">
      <c r="P25" s="20">
        <v>31</v>
      </c>
      <c r="Q25" s="21">
        <v>580064</v>
      </c>
      <c r="R25" s="21">
        <v>5661</v>
      </c>
      <c r="S25" s="32">
        <f>Tabelle142[[#This Row],[Positiv Rate]]</f>
        <v>9.7592679428476856E-3</v>
      </c>
      <c r="T25" s="26">
        <f>Tabelle142[[#This Row],[Positiv]]/Tabelle142[[#This Row],[Test]]</f>
        <v>9.7592679428476856E-3</v>
      </c>
      <c r="U25" s="1">
        <v>161</v>
      </c>
    </row>
    <row r="26" spans="16:21" x14ac:dyDescent="0.25">
      <c r="P26" s="20">
        <v>32</v>
      </c>
      <c r="Q26" s="21">
        <v>733608</v>
      </c>
      <c r="R26" s="21">
        <v>7318</v>
      </c>
      <c r="S26" s="32">
        <f>Tabelle142[[#This Row],[Positiv Rate]]</f>
        <v>9.9753546853360384E-3</v>
      </c>
      <c r="T26" s="26">
        <f>Tabelle142[[#This Row],[Positiv]]/Tabelle142[[#This Row],[Test]]</f>
        <v>9.9753546853360384E-3</v>
      </c>
      <c r="U26" s="1"/>
    </row>
    <row r="27" spans="16:21" x14ac:dyDescent="0.25">
      <c r="P27" s="20">
        <v>33</v>
      </c>
      <c r="Q27" s="21">
        <v>891988</v>
      </c>
      <c r="R27" s="21">
        <v>8661</v>
      </c>
      <c r="S27" s="32">
        <f>Tabelle142[[#This Row],[Positiv Rate]]</f>
        <v>9.7097718803391981E-3</v>
      </c>
      <c r="T27" s="26">
        <f>Tabelle142[[#This Row],[Positiv]]/Tabelle142[[#This Row],[Test]]</f>
        <v>9.7097718803391981E-3</v>
      </c>
      <c r="U27" s="1"/>
    </row>
    <row r="28" spans="16:21" x14ac:dyDescent="0.25">
      <c r="P28" s="20">
        <v>34</v>
      </c>
      <c r="Q28" s="21">
        <v>987423</v>
      </c>
      <c r="R28" s="21">
        <v>8655</v>
      </c>
      <c r="S28" s="32">
        <f>Tabelle142[[#This Row],[Positiv Rate]]</f>
        <v>8.7652404288739473E-3</v>
      </c>
      <c r="T28" s="30">
        <f>Tabelle142[[#This Row],[Positiv]]/Tabelle142[[#This Row],[Test]]</f>
        <v>8.7652404288739473E-3</v>
      </c>
      <c r="U28" s="31"/>
    </row>
    <row r="29" spans="16:21" ht="15.75" thickBot="1" x14ac:dyDescent="0.3"/>
    <row r="30" spans="16:21" ht="15.75" thickBot="1" x14ac:dyDescent="0.3">
      <c r="P30" s="27" t="s">
        <v>6</v>
      </c>
      <c r="Q30" s="28">
        <f>SUM(Tabelle142[Test])</f>
        <v>11208091</v>
      </c>
      <c r="R30" s="29">
        <f>SUM(Tabelle142[Positiv])</f>
        <v>274030</v>
      </c>
    </row>
  </sheetData>
  <pageMargins left="0.70866141732283472" right="0.70866141732283472" top="0.78740157480314965" bottom="0.78740157480314965" header="0.31496062992125984" footer="0.31496062992125984"/>
  <pageSetup paperSize="9" scale="57" fitToHeight="0" orientation="landscape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134FB-2B0A-4702-95D5-6E3D16CFB30E}">
  <sheetPr>
    <pageSetUpPr fitToPage="1"/>
  </sheetPr>
  <dimension ref="B2:U29"/>
  <sheetViews>
    <sheetView showGridLines="0" zoomScale="85" zoomScaleNormal="85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1" width="0" hidden="1" customWidth="1"/>
  </cols>
  <sheetData>
    <row r="2" spans="2:21" x14ac:dyDescent="0.25">
      <c r="B2" s="23" t="str">
        <f>N2</f>
        <v>Stand:</v>
      </c>
      <c r="C2" s="22">
        <f>O2</f>
        <v>44063</v>
      </c>
      <c r="N2" s="23" t="s">
        <v>9</v>
      </c>
      <c r="O2" s="22">
        <v>44063</v>
      </c>
      <c r="P2" s="9"/>
      <c r="Q2" s="10"/>
    </row>
    <row r="3" spans="2:21" ht="30" x14ac:dyDescent="0.25">
      <c r="P3" s="18" t="s">
        <v>0</v>
      </c>
      <c r="Q3" s="18" t="s">
        <v>1</v>
      </c>
      <c r="R3" s="18" t="s">
        <v>2</v>
      </c>
      <c r="S3" s="19" t="s">
        <v>3</v>
      </c>
      <c r="T3" s="4" t="s">
        <v>4</v>
      </c>
      <c r="U3" s="4" t="s">
        <v>5</v>
      </c>
    </row>
    <row r="4" spans="2:21" x14ac:dyDescent="0.25">
      <c r="P4" s="20">
        <v>10</v>
      </c>
      <c r="Q4" s="21">
        <v>124716</v>
      </c>
      <c r="R4" s="21">
        <v>3892</v>
      </c>
      <c r="S4" s="26">
        <f>Tabelle14[[#This Row],[Positiv]]/Tabelle14[[#This Row],[Test]]</f>
        <v>3.1206902081529233E-2</v>
      </c>
      <c r="T4" s="1">
        <v>90</v>
      </c>
      <c r="U4" s="5">
        <f>Tabelle14[[#This Row],[Positiv]]/Tabelle14[[#This Row],[Test]]</f>
        <v>3.1206902081529233E-2</v>
      </c>
    </row>
    <row r="5" spans="2:21" x14ac:dyDescent="0.25">
      <c r="P5" s="20">
        <v>11</v>
      </c>
      <c r="Q5" s="21">
        <v>127457</v>
      </c>
      <c r="R5" s="21">
        <v>7582</v>
      </c>
      <c r="S5" s="26">
        <f>Tabelle14[[#This Row],[Positiv]]/Tabelle14[[#This Row],[Test]]</f>
        <v>5.9486728857575499E-2</v>
      </c>
      <c r="T5" s="1">
        <v>114</v>
      </c>
      <c r="U5" s="5">
        <f>Tabelle14[[#This Row],[Positiv]]/Tabelle14[[#This Row],[Test]]</f>
        <v>5.9486728857575499E-2</v>
      </c>
    </row>
    <row r="6" spans="2:21" x14ac:dyDescent="0.25">
      <c r="P6" s="20">
        <v>12</v>
      </c>
      <c r="Q6" s="21">
        <v>348619</v>
      </c>
      <c r="R6" s="21">
        <v>23820</v>
      </c>
      <c r="S6" s="26">
        <f>Tabelle14[[#This Row],[Positiv]]/Tabelle14[[#This Row],[Test]]</f>
        <v>6.8326740653836995E-2</v>
      </c>
      <c r="T6" s="1">
        <v>152</v>
      </c>
      <c r="U6" s="5">
        <f>Tabelle14[[#This Row],[Positiv]]/Tabelle14[[#This Row],[Test]]</f>
        <v>6.8326740653836995E-2</v>
      </c>
    </row>
    <row r="7" spans="2:21" x14ac:dyDescent="0.25">
      <c r="P7" s="20">
        <v>13</v>
      </c>
      <c r="Q7" s="21">
        <v>361515</v>
      </c>
      <c r="R7" s="21">
        <v>31414</v>
      </c>
      <c r="S7" s="26">
        <f>Tabelle14[[#This Row],[Positiv]]/Tabelle14[[#This Row],[Test]]</f>
        <v>8.6895426192550793E-2</v>
      </c>
      <c r="T7" s="1">
        <v>151</v>
      </c>
      <c r="U7" s="5">
        <f>Tabelle14[[#This Row],[Positiv]]/Tabelle14[[#This Row],[Test]]</f>
        <v>8.6895426192550793E-2</v>
      </c>
    </row>
    <row r="8" spans="2:21" x14ac:dyDescent="0.25">
      <c r="P8" s="20">
        <v>14</v>
      </c>
      <c r="Q8" s="21">
        <v>408348</v>
      </c>
      <c r="R8" s="21">
        <v>36885</v>
      </c>
      <c r="S8" s="26">
        <f>Tabelle14[[#This Row],[Positiv]]/Tabelle14[[#This Row],[Test]]</f>
        <v>9.0327367833318642E-2</v>
      </c>
      <c r="T8" s="1">
        <v>154</v>
      </c>
      <c r="U8" s="5">
        <f>Tabelle14[[#This Row],[Positiv]]/Tabelle14[[#This Row],[Test]]</f>
        <v>9.0327367833318642E-2</v>
      </c>
    </row>
    <row r="9" spans="2:21" x14ac:dyDescent="0.25">
      <c r="P9" s="20">
        <v>15</v>
      </c>
      <c r="Q9" s="21">
        <v>380197</v>
      </c>
      <c r="R9" s="21">
        <v>30791</v>
      </c>
      <c r="S9" s="26">
        <f>Tabelle14[[#This Row],[Positiv]]/Tabelle14[[#This Row],[Test]]</f>
        <v>8.0986962022320003E-2</v>
      </c>
      <c r="T9" s="1">
        <v>164</v>
      </c>
      <c r="U9" s="5">
        <f>Tabelle14[[#This Row],[Positiv]]/Tabelle14[[#This Row],[Test]]</f>
        <v>8.0986962022320003E-2</v>
      </c>
    </row>
    <row r="10" spans="2:21" x14ac:dyDescent="0.25">
      <c r="P10" s="20">
        <v>16</v>
      </c>
      <c r="Q10" s="21">
        <v>331902</v>
      </c>
      <c r="R10" s="21">
        <v>22082</v>
      </c>
      <c r="S10" s="26">
        <f>Tabelle14[[#This Row],[Positiv]]/Tabelle14[[#This Row],[Test]]</f>
        <v>6.65316870642539E-2</v>
      </c>
      <c r="T10" s="1">
        <v>168</v>
      </c>
      <c r="U10" s="5">
        <f>Tabelle14[[#This Row],[Positiv]]/Tabelle14[[#This Row],[Test]]</f>
        <v>6.65316870642539E-2</v>
      </c>
    </row>
    <row r="11" spans="2:21" x14ac:dyDescent="0.25">
      <c r="P11" s="20">
        <v>17</v>
      </c>
      <c r="Q11" s="21">
        <v>363890</v>
      </c>
      <c r="R11" s="21">
        <v>18083</v>
      </c>
      <c r="S11" s="26">
        <f>Tabelle14[[#This Row],[Positiv]]/Tabelle14[[#This Row],[Test]]</f>
        <v>4.9693588721866501E-2</v>
      </c>
      <c r="T11" s="1">
        <v>178</v>
      </c>
      <c r="U11" s="5">
        <f>Tabelle14[[#This Row],[Positiv]]/Tabelle14[[#This Row],[Test]]</f>
        <v>4.9693588721866501E-2</v>
      </c>
    </row>
    <row r="12" spans="2:21" x14ac:dyDescent="0.25">
      <c r="P12" s="20">
        <v>18</v>
      </c>
      <c r="Q12" s="21">
        <v>326788</v>
      </c>
      <c r="R12" s="21">
        <v>12608</v>
      </c>
      <c r="S12" s="26">
        <f>Tabelle14[[#This Row],[Positiv]]/Tabelle14[[#This Row],[Test]]</f>
        <v>3.8581588063209174E-2</v>
      </c>
      <c r="T12" s="1">
        <v>175</v>
      </c>
      <c r="U12" s="5">
        <f>Tabelle14[[#This Row],[Positiv]]/Tabelle14[[#This Row],[Test]]</f>
        <v>3.8581588063209174E-2</v>
      </c>
    </row>
    <row r="13" spans="2:21" x14ac:dyDescent="0.25">
      <c r="P13" s="20">
        <v>19</v>
      </c>
      <c r="Q13" s="21">
        <v>403875</v>
      </c>
      <c r="R13" s="21">
        <v>10755</v>
      </c>
      <c r="S13" s="26">
        <f>Tabelle14[[#This Row],[Positiv]]/Tabelle14[[#This Row],[Test]]</f>
        <v>2.6629526462395543E-2</v>
      </c>
      <c r="T13" s="1">
        <v>182</v>
      </c>
      <c r="U13" s="5">
        <f>Tabelle14[[#This Row],[Positiv]]/Tabelle14[[#This Row],[Test]]</f>
        <v>2.6629526462395543E-2</v>
      </c>
    </row>
    <row r="14" spans="2:21" x14ac:dyDescent="0.25">
      <c r="P14" s="20">
        <v>20</v>
      </c>
      <c r="Q14" s="21">
        <v>432666</v>
      </c>
      <c r="R14" s="21">
        <v>7233</v>
      </c>
      <c r="S14" s="26">
        <f>Tabelle14[[#This Row],[Positiv]]/Tabelle14[[#This Row],[Test]]</f>
        <v>1.6717283077477777E-2</v>
      </c>
      <c r="T14" s="1">
        <v>183</v>
      </c>
      <c r="U14" s="5">
        <f>Tabelle14[[#This Row],[Positiv]]/Tabelle14[[#This Row],[Test]]</f>
        <v>1.6717283077477777E-2</v>
      </c>
    </row>
    <row r="15" spans="2:21" x14ac:dyDescent="0.25">
      <c r="P15" s="20">
        <v>21</v>
      </c>
      <c r="Q15" s="21">
        <v>353467</v>
      </c>
      <c r="R15" s="21">
        <v>5218</v>
      </c>
      <c r="S15" s="26">
        <f>Tabelle14[[#This Row],[Positiv]]/Tabelle14[[#This Row],[Test]]</f>
        <v>1.4762339907261498E-2</v>
      </c>
      <c r="T15" s="1">
        <v>179</v>
      </c>
      <c r="U15" s="5">
        <f>Tabelle14[[#This Row],[Positiv]]/Tabelle14[[#This Row],[Test]]</f>
        <v>1.4762339907261498E-2</v>
      </c>
    </row>
    <row r="16" spans="2:21" x14ac:dyDescent="0.25">
      <c r="P16" s="20">
        <v>22</v>
      </c>
      <c r="Q16" s="21">
        <v>405269</v>
      </c>
      <c r="R16" s="21">
        <v>4310</v>
      </c>
      <c r="S16" s="26">
        <f>Tabelle14[[#This Row],[Positiv]]/Tabelle14[[#This Row],[Test]]</f>
        <v>1.0634911626598629E-2</v>
      </c>
      <c r="T16" s="1">
        <v>178</v>
      </c>
      <c r="U16" s="5">
        <f>Tabelle14[[#This Row],[Positiv]]/Tabelle14[[#This Row],[Test]]</f>
        <v>1.0634911626598629E-2</v>
      </c>
    </row>
    <row r="17" spans="16:21" x14ac:dyDescent="0.25">
      <c r="P17" s="20">
        <v>23</v>
      </c>
      <c r="Q17" s="21">
        <v>340986</v>
      </c>
      <c r="R17" s="21">
        <v>3208</v>
      </c>
      <c r="S17" s="26">
        <f>Tabelle14[[#This Row],[Positiv]]/Tabelle14[[#This Row],[Test]]</f>
        <v>9.408010886077435E-3</v>
      </c>
      <c r="T17" s="1">
        <v>176</v>
      </c>
      <c r="U17" s="5">
        <f>Tabelle14[[#This Row],[Positiv]]/Tabelle14[[#This Row],[Test]]</f>
        <v>9.408010886077435E-3</v>
      </c>
    </row>
    <row r="18" spans="16:21" x14ac:dyDescent="0.25">
      <c r="P18" s="20">
        <v>24</v>
      </c>
      <c r="Q18" s="21">
        <v>326645</v>
      </c>
      <c r="R18" s="21">
        <v>2816</v>
      </c>
      <c r="S18" s="26">
        <f>Tabelle14[[#This Row],[Positiv]]/Tabelle14[[#This Row],[Test]]</f>
        <v>8.6209799629567273E-3</v>
      </c>
      <c r="T18" s="1">
        <v>172</v>
      </c>
      <c r="U18" s="5">
        <f>Tabelle14[[#This Row],[Positiv]]/Tabelle14[[#This Row],[Test]]</f>
        <v>8.6209799629567273E-3</v>
      </c>
    </row>
    <row r="19" spans="16:21" x14ac:dyDescent="0.25">
      <c r="P19" s="20">
        <v>25</v>
      </c>
      <c r="Q19" s="21">
        <v>387484</v>
      </c>
      <c r="R19" s="21">
        <v>5309</v>
      </c>
      <c r="S19" s="26">
        <f>Tabelle14[[#This Row],[Positiv]]/Tabelle14[[#This Row],[Test]]</f>
        <v>1.3701210888707663E-2</v>
      </c>
      <c r="T19" s="1">
        <v>174</v>
      </c>
      <c r="U19" s="5">
        <f>Tabelle14[[#This Row],[Positiv]]/Tabelle14[[#This Row],[Test]]</f>
        <v>1.3701210888707663E-2</v>
      </c>
    </row>
    <row r="20" spans="16:21" x14ac:dyDescent="0.25">
      <c r="P20" s="20">
        <v>26</v>
      </c>
      <c r="Q20" s="21">
        <v>466459</v>
      </c>
      <c r="R20" s="21">
        <v>3670</v>
      </c>
      <c r="S20" s="26">
        <f>Tabelle14[[#This Row],[Positiv]]/Tabelle14[[#This Row],[Test]]</f>
        <v>7.8677868794470689E-3</v>
      </c>
      <c r="T20" s="1">
        <v>179</v>
      </c>
      <c r="U20" s="5">
        <f>Tabelle14[[#This Row],[Positiv]]/Tabelle14[[#This Row],[Test]]</f>
        <v>7.8677868794470689E-3</v>
      </c>
    </row>
    <row r="21" spans="16:21" x14ac:dyDescent="0.25">
      <c r="P21" s="20">
        <v>27</v>
      </c>
      <c r="Q21" s="21">
        <v>504082</v>
      </c>
      <c r="R21" s="21">
        <v>3080</v>
      </c>
      <c r="S21" s="26">
        <f>Tabelle14[[#This Row],[Positiv]]/Tabelle14[[#This Row],[Test]]</f>
        <v>6.1101170047730326E-3</v>
      </c>
      <c r="T21" s="1">
        <v>150</v>
      </c>
      <c r="U21" s="5">
        <f>Tabelle14[[#This Row],[Positiv]]/Tabelle14[[#This Row],[Test]]</f>
        <v>6.1101170047730326E-3</v>
      </c>
    </row>
    <row r="22" spans="16:21" x14ac:dyDescent="0.25">
      <c r="P22" s="20">
        <v>28</v>
      </c>
      <c r="Q22" s="21">
        <v>510103</v>
      </c>
      <c r="R22" s="21">
        <v>2990</v>
      </c>
      <c r="S22" s="26">
        <f>Tabelle14[[#This Row],[Positiv]]/Tabelle14[[#This Row],[Test]]</f>
        <v>5.8615612925232751E-3</v>
      </c>
      <c r="T22" s="1">
        <v>177</v>
      </c>
      <c r="U22" s="5">
        <f>Tabelle14[[#This Row],[Positiv]]/Tabelle14[[#This Row],[Test]]</f>
        <v>5.8615612925232751E-3</v>
      </c>
    </row>
    <row r="23" spans="16:21" x14ac:dyDescent="0.25">
      <c r="P23" s="20">
        <v>29</v>
      </c>
      <c r="Q23" s="21">
        <v>538229</v>
      </c>
      <c r="R23" s="21">
        <v>3483</v>
      </c>
      <c r="S23" s="26">
        <f>Tabelle14[[#This Row],[Positiv]]/Tabelle14[[#This Row],[Test]]</f>
        <v>6.4712232153971636E-3</v>
      </c>
      <c r="T23" s="1">
        <v>173</v>
      </c>
      <c r="U23" s="5">
        <f>Tabelle14[[#This Row],[Positiv]]/Tabelle14[[#This Row],[Test]]</f>
        <v>6.4712232153971636E-3</v>
      </c>
    </row>
    <row r="24" spans="16:21" x14ac:dyDescent="0.25">
      <c r="P24" s="20">
        <v>30</v>
      </c>
      <c r="Q24" s="21">
        <v>570746</v>
      </c>
      <c r="R24" s="21">
        <v>4464</v>
      </c>
      <c r="S24" s="26">
        <f>Tabelle14[[#This Row],[Positiv]]/Tabelle14[[#This Row],[Test]]</f>
        <v>7.8213425937282092E-3</v>
      </c>
      <c r="T24" s="1">
        <v>171</v>
      </c>
      <c r="U24" s="5">
        <f>Tabelle14[[#This Row],[Positiv]]/Tabelle14[[#This Row],[Test]]</f>
        <v>7.8213425937282092E-3</v>
      </c>
    </row>
    <row r="25" spans="16:21" x14ac:dyDescent="0.25">
      <c r="P25" s="20">
        <v>31</v>
      </c>
      <c r="Q25" s="21">
        <v>578099</v>
      </c>
      <c r="R25" s="21">
        <v>5634</v>
      </c>
      <c r="S25" s="26">
        <f>Tabelle14[[#This Row],[Positiv]]/Tabelle14[[#This Row],[Test]]</f>
        <v>9.7457355920006778E-3</v>
      </c>
      <c r="T25" s="1">
        <v>161</v>
      </c>
      <c r="U25" s="5">
        <f>Tabelle14[[#This Row],[Positiv]]/Tabelle14[[#This Row],[Test]]</f>
        <v>9.7457355920006778E-3</v>
      </c>
    </row>
    <row r="26" spans="16:21" x14ac:dyDescent="0.25">
      <c r="P26" s="20">
        <v>32</v>
      </c>
      <c r="Q26" s="21">
        <v>730300</v>
      </c>
      <c r="R26" s="21">
        <v>7256</v>
      </c>
      <c r="S26" s="26">
        <f>Tabelle14[[#This Row],[Positiv]]/Tabelle14[[#This Row],[Test]]</f>
        <v>9.9356428864850067E-3</v>
      </c>
      <c r="T26" s="1"/>
      <c r="U26" s="5">
        <f>Tabelle14[[#This Row],[Positiv]]/Tabelle14[[#This Row],[Test]]</f>
        <v>9.9356428864850067E-3</v>
      </c>
    </row>
    <row r="27" spans="16:21" x14ac:dyDescent="0.25">
      <c r="P27" s="20">
        <v>33</v>
      </c>
      <c r="Q27" s="21">
        <v>875524</v>
      </c>
      <c r="R27" s="21">
        <v>8407</v>
      </c>
      <c r="S27" s="26">
        <f>Tabelle14[[#This Row],[Positiv]]/Tabelle14[[#This Row],[Test]]</f>
        <v>9.6022496242250347E-3</v>
      </c>
      <c r="T27" s="1"/>
      <c r="U27" s="5">
        <f>Tabelle14[[#This Row],[Positiv]]/Tabelle14[[#This Row],[Test]]</f>
        <v>9.6022496242250347E-3</v>
      </c>
    </row>
    <row r="28" spans="16:21" ht="15.75" thickBot="1" x14ac:dyDescent="0.3"/>
    <row r="29" spans="16:21" ht="15.75" thickBot="1" x14ac:dyDescent="0.3">
      <c r="P29" s="27" t="s">
        <v>6</v>
      </c>
      <c r="Q29" s="28">
        <f>SUM(Tabelle14[Test])</f>
        <v>10197366</v>
      </c>
      <c r="R29" s="29">
        <f>SUM(Tabelle14[Positiv])</f>
        <v>264990</v>
      </c>
    </row>
  </sheetData>
  <pageMargins left="0.7" right="0.7" top="0.78740157499999996" bottom="0.78740157499999996" header="0.3" footer="0.3"/>
  <pageSetup paperSize="9" scale="60" fitToHeight="0" orientation="landscape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C00A-D1FE-4A7B-A95E-788A27BB327A}">
  <sheetPr>
    <pageSetUpPr fitToPage="1"/>
  </sheetPr>
  <dimension ref="B2:S28"/>
  <sheetViews>
    <sheetView zoomScale="70" zoomScaleNormal="70" workbookViewId="0">
      <selection activeCell="O14" sqref="O14"/>
    </sheetView>
  </sheetViews>
  <sheetFormatPr baseColWidth="10" defaultRowHeight="15" x14ac:dyDescent="0.25"/>
  <cols>
    <col min="3" max="3" width="12" bestFit="1" customWidth="1"/>
    <col min="13" max="13" width="12" bestFit="1" customWidth="1"/>
  </cols>
  <sheetData>
    <row r="2" spans="2:19" x14ac:dyDescent="0.25">
      <c r="B2" s="23" t="str">
        <f>L2</f>
        <v>Stand:</v>
      </c>
      <c r="C2" s="22">
        <f>M2</f>
        <v>44062</v>
      </c>
      <c r="L2" s="25" t="s">
        <v>9</v>
      </c>
      <c r="M2" s="24">
        <v>44062</v>
      </c>
    </row>
    <row r="3" spans="2:19" ht="30" x14ac:dyDescent="0.25">
      <c r="O3" s="3" t="s">
        <v>0</v>
      </c>
      <c r="P3" s="3" t="s">
        <v>1</v>
      </c>
      <c r="Q3" s="3" t="s">
        <v>2</v>
      </c>
      <c r="R3" s="4" t="s">
        <v>3</v>
      </c>
      <c r="S3" s="4" t="s">
        <v>4</v>
      </c>
    </row>
    <row r="4" spans="2:19" x14ac:dyDescent="0.25">
      <c r="O4" s="1">
        <v>10</v>
      </c>
      <c r="P4" s="2">
        <v>124716</v>
      </c>
      <c r="Q4" s="2">
        <v>3892</v>
      </c>
      <c r="R4" s="15">
        <v>3.1</v>
      </c>
      <c r="S4" s="1">
        <v>90</v>
      </c>
    </row>
    <row r="5" spans="2:19" x14ac:dyDescent="0.25">
      <c r="O5" s="1">
        <v>11</v>
      </c>
      <c r="P5" s="2">
        <v>127457</v>
      </c>
      <c r="Q5" s="2">
        <v>7582</v>
      </c>
      <c r="R5" s="15">
        <v>5.9</v>
      </c>
      <c r="S5" s="1">
        <v>114</v>
      </c>
    </row>
    <row r="6" spans="2:19" x14ac:dyDescent="0.25">
      <c r="O6" s="1">
        <v>12</v>
      </c>
      <c r="P6" s="2">
        <v>348619</v>
      </c>
      <c r="Q6" s="2">
        <v>23820</v>
      </c>
      <c r="R6" s="15">
        <v>6.8</v>
      </c>
      <c r="S6" s="1">
        <v>152</v>
      </c>
    </row>
    <row r="7" spans="2:19" x14ac:dyDescent="0.25">
      <c r="O7" s="1">
        <v>13</v>
      </c>
      <c r="P7" s="2">
        <v>361515</v>
      </c>
      <c r="Q7" s="2">
        <v>31414</v>
      </c>
      <c r="R7" s="15">
        <v>8.6999999999999993</v>
      </c>
      <c r="S7" s="1">
        <v>151</v>
      </c>
    </row>
    <row r="8" spans="2:19" x14ac:dyDescent="0.25">
      <c r="O8" s="1">
        <v>14</v>
      </c>
      <c r="P8" s="2">
        <v>408348</v>
      </c>
      <c r="Q8" s="2">
        <v>36885</v>
      </c>
      <c r="R8" s="15">
        <v>9</v>
      </c>
      <c r="S8" s="1">
        <v>154</v>
      </c>
    </row>
    <row r="9" spans="2:19" x14ac:dyDescent="0.25">
      <c r="O9" s="1">
        <v>15</v>
      </c>
      <c r="P9" s="2">
        <v>380197</v>
      </c>
      <c r="Q9" s="2">
        <v>30791</v>
      </c>
      <c r="R9" s="15">
        <v>8.1</v>
      </c>
      <c r="S9" s="1">
        <v>164</v>
      </c>
    </row>
    <row r="10" spans="2:19" x14ac:dyDescent="0.25">
      <c r="O10" s="1">
        <v>16</v>
      </c>
      <c r="P10" s="2">
        <v>331902</v>
      </c>
      <c r="Q10" s="2">
        <v>22082</v>
      </c>
      <c r="R10" s="15">
        <v>6.7</v>
      </c>
      <c r="S10" s="1">
        <v>168</v>
      </c>
    </row>
    <row r="11" spans="2:19" x14ac:dyDescent="0.25">
      <c r="O11" s="1">
        <v>17</v>
      </c>
      <c r="P11" s="2">
        <v>363890</v>
      </c>
      <c r="Q11" s="2">
        <v>18083</v>
      </c>
      <c r="R11" s="15">
        <v>5</v>
      </c>
      <c r="S11" s="1">
        <v>178</v>
      </c>
    </row>
    <row r="12" spans="2:19" x14ac:dyDescent="0.25">
      <c r="O12" s="1">
        <v>18</v>
      </c>
      <c r="P12" s="2">
        <v>326788</v>
      </c>
      <c r="Q12" s="2">
        <v>12608</v>
      </c>
      <c r="R12" s="15">
        <v>3.9</v>
      </c>
      <c r="S12" s="1">
        <v>175</v>
      </c>
    </row>
    <row r="13" spans="2:19" x14ac:dyDescent="0.25">
      <c r="O13" s="1">
        <v>19</v>
      </c>
      <c r="P13" s="2">
        <v>403875</v>
      </c>
      <c r="Q13" s="2">
        <v>10755</v>
      </c>
      <c r="R13" s="15">
        <v>2.7</v>
      </c>
      <c r="S13" s="1">
        <v>182</v>
      </c>
    </row>
    <row r="14" spans="2:19" x14ac:dyDescent="0.25">
      <c r="O14" s="1">
        <v>20</v>
      </c>
      <c r="P14" s="2">
        <v>432666</v>
      </c>
      <c r="Q14" s="2">
        <v>7233</v>
      </c>
      <c r="R14" s="15">
        <v>1.7</v>
      </c>
      <c r="S14" s="1">
        <v>183</v>
      </c>
    </row>
    <row r="15" spans="2:19" x14ac:dyDescent="0.25">
      <c r="O15" s="1">
        <v>21</v>
      </c>
      <c r="P15" s="2">
        <v>353467</v>
      </c>
      <c r="Q15" s="2">
        <v>5218</v>
      </c>
      <c r="R15" s="15">
        <v>1.5</v>
      </c>
      <c r="S15" s="1">
        <v>179</v>
      </c>
    </row>
    <row r="16" spans="2:19" x14ac:dyDescent="0.25">
      <c r="O16" s="1">
        <v>22</v>
      </c>
      <c r="P16" s="2">
        <v>405269</v>
      </c>
      <c r="Q16" s="2">
        <v>4310</v>
      </c>
      <c r="R16" s="15">
        <v>1.1000000000000001</v>
      </c>
      <c r="S16" s="1">
        <v>178</v>
      </c>
    </row>
    <row r="17" spans="15:19" x14ac:dyDescent="0.25">
      <c r="O17" s="1">
        <v>23</v>
      </c>
      <c r="P17" s="2">
        <v>340986</v>
      </c>
      <c r="Q17" s="2">
        <v>3208</v>
      </c>
      <c r="R17" s="15">
        <v>0.9</v>
      </c>
      <c r="S17" s="1">
        <v>176</v>
      </c>
    </row>
    <row r="18" spans="15:19" x14ac:dyDescent="0.25">
      <c r="O18" s="1">
        <v>24</v>
      </c>
      <c r="P18" s="2">
        <v>326645</v>
      </c>
      <c r="Q18" s="2">
        <v>2816</v>
      </c>
      <c r="R18" s="15">
        <v>0.9</v>
      </c>
      <c r="S18" s="1">
        <v>172</v>
      </c>
    </row>
    <row r="19" spans="15:19" x14ac:dyDescent="0.25">
      <c r="O19" s="1">
        <v>25</v>
      </c>
      <c r="P19" s="2">
        <v>387484</v>
      </c>
      <c r="Q19" s="2">
        <v>5309</v>
      </c>
      <c r="R19" s="15">
        <v>1.4</v>
      </c>
      <c r="S19" s="1">
        <v>174</v>
      </c>
    </row>
    <row r="20" spans="15:19" x14ac:dyDescent="0.25">
      <c r="O20" s="1">
        <v>26</v>
      </c>
      <c r="P20" s="2">
        <v>467004</v>
      </c>
      <c r="Q20" s="2">
        <v>3674</v>
      </c>
      <c r="R20" s="15">
        <v>0.8</v>
      </c>
      <c r="S20" s="1">
        <v>179</v>
      </c>
    </row>
    <row r="21" spans="15:19" x14ac:dyDescent="0.25">
      <c r="O21" s="1">
        <v>27</v>
      </c>
      <c r="P21" s="2">
        <v>505518</v>
      </c>
      <c r="Q21" s="2">
        <v>3080</v>
      </c>
      <c r="R21" s="15">
        <v>0.6</v>
      </c>
      <c r="S21" s="1">
        <v>150</v>
      </c>
    </row>
    <row r="22" spans="15:19" x14ac:dyDescent="0.25">
      <c r="O22" s="1">
        <v>28</v>
      </c>
      <c r="P22" s="2">
        <v>510103</v>
      </c>
      <c r="Q22" s="2">
        <v>2990</v>
      </c>
      <c r="R22" s="15">
        <v>0.6</v>
      </c>
      <c r="S22" s="1">
        <v>177</v>
      </c>
    </row>
    <row r="23" spans="15:19" x14ac:dyDescent="0.25">
      <c r="O23" s="1">
        <v>29</v>
      </c>
      <c r="P23" s="2">
        <v>538144</v>
      </c>
      <c r="Q23" s="2">
        <v>3483</v>
      </c>
      <c r="R23" s="15">
        <v>0.6</v>
      </c>
      <c r="S23" s="1">
        <v>173</v>
      </c>
    </row>
    <row r="24" spans="15:19" x14ac:dyDescent="0.25">
      <c r="O24" s="1">
        <v>30</v>
      </c>
      <c r="P24" s="2">
        <v>570681</v>
      </c>
      <c r="Q24" s="2">
        <v>4464</v>
      </c>
      <c r="R24" s="15">
        <v>0.8</v>
      </c>
      <c r="S24" s="1">
        <v>171</v>
      </c>
    </row>
    <row r="25" spans="15:19" x14ac:dyDescent="0.25">
      <c r="O25" s="1">
        <v>31</v>
      </c>
      <c r="P25" s="2">
        <v>577916</v>
      </c>
      <c r="Q25" s="2">
        <v>5634</v>
      </c>
      <c r="R25" s="15">
        <v>1</v>
      </c>
      <c r="S25" s="1">
        <v>161</v>
      </c>
    </row>
    <row r="26" spans="15:19" x14ac:dyDescent="0.25">
      <c r="O26" s="1">
        <v>32</v>
      </c>
      <c r="P26" s="2">
        <v>672171</v>
      </c>
      <c r="Q26" s="2">
        <v>6909</v>
      </c>
      <c r="R26" s="15">
        <v>1</v>
      </c>
      <c r="S26" s="1"/>
    </row>
    <row r="27" spans="15:19" ht="15.75" thickBot="1" x14ac:dyDescent="0.3"/>
    <row r="28" spans="15:19" ht="15.75" thickBot="1" x14ac:dyDescent="0.3">
      <c r="O28" s="6" t="s">
        <v>6</v>
      </c>
      <c r="P28" s="7">
        <f>SUM(Tabelle149[Test])</f>
        <v>9265361</v>
      </c>
      <c r="Q28" s="8">
        <f>SUM(Tabelle149[Positiv])</f>
        <v>256240</v>
      </c>
    </row>
  </sheetData>
  <pageMargins left="0.7" right="0.7" top="0.78740157499999996" bottom="0.78740157499999996" header="0.3" footer="0.3"/>
  <pageSetup paperSize="9" scale="6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D2CC-3DE1-4DEA-8FB9-DCE1845A17AF}">
  <dimension ref="B3:N47"/>
  <sheetViews>
    <sheetView showGridLines="0" tabSelected="1" zoomScale="85" zoomScaleNormal="85" workbookViewId="0">
      <selection activeCell="H6" sqref="H6"/>
    </sheetView>
  </sheetViews>
  <sheetFormatPr baseColWidth="10" defaultRowHeight="15" x14ac:dyDescent="0.25"/>
  <cols>
    <col min="7" max="7" width="33" customWidth="1"/>
    <col min="8" max="8" width="26.140625" customWidth="1"/>
    <col min="11" max="11" width="9" customWidth="1"/>
    <col min="12" max="12" width="7.28515625" customWidth="1"/>
    <col min="13" max="13" width="0.7109375" customWidth="1"/>
    <col min="14" max="14" width="6.5703125" hidden="1" customWidth="1"/>
    <col min="15" max="15" width="6.5703125" customWidth="1"/>
  </cols>
  <sheetData>
    <row r="3" spans="2:14" ht="15.75" thickBot="1" x14ac:dyDescent="0.3"/>
    <row r="4" spans="2:14" ht="18.75" customHeight="1" x14ac:dyDescent="0.25">
      <c r="H4" s="23" t="s">
        <v>9</v>
      </c>
      <c r="I4" s="38" t="s">
        <v>0</v>
      </c>
      <c r="J4" s="39" t="s">
        <v>1</v>
      </c>
      <c r="K4" s="39" t="s">
        <v>2</v>
      </c>
      <c r="L4" s="39" t="s">
        <v>10</v>
      </c>
      <c r="M4" s="52" t="s">
        <v>3</v>
      </c>
      <c r="N4" s="4" t="s">
        <v>4</v>
      </c>
    </row>
    <row r="5" spans="2:14" ht="18.75" customHeight="1" x14ac:dyDescent="0.25">
      <c r="H5" s="22">
        <v>44181</v>
      </c>
      <c r="I5" s="41">
        <v>10</v>
      </c>
      <c r="J5" s="42">
        <v>124716</v>
      </c>
      <c r="K5" s="42">
        <v>3892</v>
      </c>
      <c r="L5" s="43">
        <f>Tabelle142537101112131416151719182220[[#This Row],[Positiv Rate]]</f>
        <v>3.1206902081529233E-2</v>
      </c>
      <c r="M5" s="50">
        <f>Tabelle142537101112131416151719182220[[#This Row],[Positiv]]/Tabelle142537101112131416151719182220[[#This Row],[Test]]</f>
        <v>3.1206902081529233E-2</v>
      </c>
      <c r="N5" s="59">
        <v>90</v>
      </c>
    </row>
    <row r="6" spans="2:14" ht="15.75" customHeight="1" x14ac:dyDescent="0.25">
      <c r="H6" s="23" t="s">
        <v>11</v>
      </c>
      <c r="I6" s="41">
        <v>11</v>
      </c>
      <c r="J6" s="42">
        <v>127457</v>
      </c>
      <c r="K6" s="42">
        <v>7582</v>
      </c>
      <c r="L6" s="43">
        <f>Tabelle142537101112131416151719182220[[#This Row],[Positiv Rate]]</f>
        <v>5.9486728857575499E-2</v>
      </c>
      <c r="M6" s="50">
        <f>Tabelle142537101112131416151719182220[[#This Row],[Positiv]]/Tabelle142537101112131416151719182220[[#This Row],[Test]]</f>
        <v>5.9486728857575499E-2</v>
      </c>
      <c r="N6" s="59">
        <v>114</v>
      </c>
    </row>
    <row r="7" spans="2:14" x14ac:dyDescent="0.25">
      <c r="H7" s="33" t="s">
        <v>12</v>
      </c>
      <c r="I7" s="41">
        <v>12</v>
      </c>
      <c r="J7" s="42">
        <v>348619</v>
      </c>
      <c r="K7" s="42">
        <v>23820</v>
      </c>
      <c r="L7" s="43">
        <f>Tabelle142537101112131416151719182220[[#This Row],[Positiv Rate]]</f>
        <v>6.8326740653836995E-2</v>
      </c>
      <c r="M7" s="50">
        <f>Tabelle142537101112131416151719182220[[#This Row],[Positiv]]/Tabelle142537101112131416151719182220[[#This Row],[Test]]</f>
        <v>6.8326740653836995E-2</v>
      </c>
      <c r="N7" s="59">
        <v>152</v>
      </c>
    </row>
    <row r="8" spans="2:14" x14ac:dyDescent="0.25">
      <c r="I8" s="41">
        <v>13</v>
      </c>
      <c r="J8" s="42">
        <v>361515</v>
      </c>
      <c r="K8" s="42">
        <v>31414</v>
      </c>
      <c r="L8" s="43">
        <f>Tabelle142537101112131416151719182220[[#This Row],[Positiv Rate]]</f>
        <v>8.6895426192550793E-2</v>
      </c>
      <c r="M8" s="50">
        <f>Tabelle142537101112131416151719182220[[#This Row],[Positiv]]/Tabelle142537101112131416151719182220[[#This Row],[Test]]</f>
        <v>8.6895426192550793E-2</v>
      </c>
      <c r="N8" s="59">
        <v>151</v>
      </c>
    </row>
    <row r="9" spans="2:14" x14ac:dyDescent="0.25">
      <c r="I9" s="41">
        <v>14</v>
      </c>
      <c r="J9" s="42">
        <v>408348</v>
      </c>
      <c r="K9" s="42">
        <v>36885</v>
      </c>
      <c r="L9" s="43">
        <f>Tabelle142537101112131416151719182220[[#This Row],[Positiv Rate]]</f>
        <v>9.0327367833318642E-2</v>
      </c>
      <c r="M9" s="50">
        <f>Tabelle142537101112131416151719182220[[#This Row],[Positiv]]/Tabelle142537101112131416151719182220[[#This Row],[Test]]</f>
        <v>9.0327367833318642E-2</v>
      </c>
      <c r="N9" s="59">
        <v>154</v>
      </c>
    </row>
    <row r="10" spans="2:14" x14ac:dyDescent="0.25">
      <c r="I10" s="41">
        <v>15</v>
      </c>
      <c r="J10" s="42">
        <v>380197</v>
      </c>
      <c r="K10" s="42">
        <v>30791</v>
      </c>
      <c r="L10" s="43">
        <f>Tabelle142537101112131416151719182220[[#This Row],[Positiv Rate]]</f>
        <v>8.0986962022320003E-2</v>
      </c>
      <c r="M10" s="50">
        <f>Tabelle142537101112131416151719182220[[#This Row],[Positiv]]/Tabelle142537101112131416151719182220[[#This Row],[Test]]</f>
        <v>8.0986962022320003E-2</v>
      </c>
      <c r="N10" s="60">
        <v>164</v>
      </c>
    </row>
    <row r="11" spans="2:14" x14ac:dyDescent="0.25">
      <c r="I11" s="41">
        <v>16</v>
      </c>
      <c r="J11" s="42">
        <v>331902</v>
      </c>
      <c r="K11" s="42">
        <v>22082</v>
      </c>
      <c r="L11" s="43">
        <f>Tabelle142537101112131416151719182220[[#This Row],[Positiv Rate]]</f>
        <v>6.65316870642539E-2</v>
      </c>
      <c r="M11" s="50">
        <f>Tabelle142537101112131416151719182220[[#This Row],[Positiv]]/Tabelle142537101112131416151719182220[[#This Row],[Test]]</f>
        <v>6.65316870642539E-2</v>
      </c>
      <c r="N11" s="60">
        <v>168</v>
      </c>
    </row>
    <row r="12" spans="2:14" x14ac:dyDescent="0.25">
      <c r="B12" s="23" t="str">
        <f>H4</f>
        <v>Stand:</v>
      </c>
      <c r="C12" s="22">
        <f>H5</f>
        <v>44181</v>
      </c>
      <c r="I12" s="41">
        <v>17</v>
      </c>
      <c r="J12" s="42">
        <v>363890</v>
      </c>
      <c r="K12" s="42">
        <v>18083</v>
      </c>
      <c r="L12" s="43">
        <f>Tabelle142537101112131416151719182220[[#This Row],[Positiv Rate]]</f>
        <v>4.9693588721866501E-2</v>
      </c>
      <c r="M12" s="50">
        <f>Tabelle142537101112131416151719182220[[#This Row],[Positiv]]/Tabelle142537101112131416151719182220[[#This Row],[Test]]</f>
        <v>4.9693588721866501E-2</v>
      </c>
      <c r="N12" s="60">
        <v>178</v>
      </c>
    </row>
    <row r="13" spans="2:14" x14ac:dyDescent="0.25">
      <c r="I13" s="41">
        <v>18</v>
      </c>
      <c r="J13" s="42">
        <v>326788</v>
      </c>
      <c r="K13" s="42">
        <v>12608</v>
      </c>
      <c r="L13" s="43">
        <f>Tabelle142537101112131416151719182220[[#This Row],[Positiv Rate]]</f>
        <v>3.8581588063209174E-2</v>
      </c>
      <c r="M13" s="50">
        <f>Tabelle142537101112131416151719182220[[#This Row],[Positiv]]/Tabelle142537101112131416151719182220[[#This Row],[Test]]</f>
        <v>3.8581588063209174E-2</v>
      </c>
      <c r="N13" s="60">
        <v>175</v>
      </c>
    </row>
    <row r="14" spans="2:14" x14ac:dyDescent="0.25">
      <c r="I14" s="41">
        <v>19</v>
      </c>
      <c r="J14" s="42">
        <v>403875</v>
      </c>
      <c r="K14" s="42">
        <v>10755</v>
      </c>
      <c r="L14" s="43">
        <f>Tabelle142537101112131416151719182220[[#This Row],[Positiv Rate]]</f>
        <v>2.6629526462395543E-2</v>
      </c>
      <c r="M14" s="50">
        <f>Tabelle142537101112131416151719182220[[#This Row],[Positiv]]/Tabelle142537101112131416151719182220[[#This Row],[Test]]</f>
        <v>2.6629526462395543E-2</v>
      </c>
      <c r="N14" s="60">
        <v>182</v>
      </c>
    </row>
    <row r="15" spans="2:14" x14ac:dyDescent="0.25">
      <c r="I15" s="41">
        <v>20</v>
      </c>
      <c r="J15" s="42">
        <v>432076</v>
      </c>
      <c r="K15" s="42">
        <v>7080</v>
      </c>
      <c r="L15" s="43">
        <f>Tabelle142537101112131416151719182220[[#This Row],[Positiv Rate]]</f>
        <v>1.638600616558198E-2</v>
      </c>
      <c r="M15" s="50">
        <f>Tabelle142537101112131416151719182220[[#This Row],[Positiv]]/Tabelle142537101112131416151719182220[[#This Row],[Test]]</f>
        <v>1.638600616558198E-2</v>
      </c>
      <c r="N15" s="60">
        <v>185</v>
      </c>
    </row>
    <row r="16" spans="2:14" x14ac:dyDescent="0.25">
      <c r="I16" s="41">
        <v>21</v>
      </c>
      <c r="J16" s="42">
        <v>354260</v>
      </c>
      <c r="K16" s="42">
        <v>5228</v>
      </c>
      <c r="L16" s="43">
        <f>Tabelle142537101112131416151719182220[[#This Row],[Positiv Rate]]</f>
        <v>1.4757522723423474E-2</v>
      </c>
      <c r="M16" s="50">
        <f>Tabelle142537101112131416151719182220[[#This Row],[Positiv]]/Tabelle142537101112131416151719182220[[#This Row],[Test]]</f>
        <v>1.4757522723423474E-2</v>
      </c>
      <c r="N16" s="60">
        <v>178</v>
      </c>
    </row>
    <row r="17" spans="8:14" x14ac:dyDescent="0.25">
      <c r="I17" s="41">
        <v>22</v>
      </c>
      <c r="J17" s="42">
        <v>401589</v>
      </c>
      <c r="K17" s="42">
        <v>4267</v>
      </c>
      <c r="L17" s="43">
        <f>Tabelle142537101112131416151719182220[[#This Row],[Positiv Rate]]</f>
        <v>1.0625291031377852E-2</v>
      </c>
      <c r="M17" s="50">
        <f>Tabelle142537101112131416151719182220[[#This Row],[Positiv]]/Tabelle142537101112131416151719182220[[#This Row],[Test]]</f>
        <v>1.0625291031377852E-2</v>
      </c>
      <c r="N17" s="60">
        <v>173</v>
      </c>
    </row>
    <row r="18" spans="8:14" x14ac:dyDescent="0.25">
      <c r="I18" s="41">
        <v>23</v>
      </c>
      <c r="J18" s="42">
        <v>337217</v>
      </c>
      <c r="K18" s="42">
        <v>3085</v>
      </c>
      <c r="L18" s="43">
        <f>Tabelle142537101112131416151719182220[[#This Row],[Positiv Rate]]</f>
        <v>9.1484118534949314E-3</v>
      </c>
      <c r="M18" s="50">
        <f>Tabelle142537101112131416151719182220[[#This Row],[Positiv]]/Tabelle142537101112131416151719182220[[#This Row],[Test]]</f>
        <v>9.1484118534949314E-3</v>
      </c>
      <c r="N18" s="60">
        <v>175</v>
      </c>
    </row>
    <row r="19" spans="8:14" x14ac:dyDescent="0.25">
      <c r="I19" s="41">
        <v>24</v>
      </c>
      <c r="J19" s="42">
        <v>327196</v>
      </c>
      <c r="K19" s="42">
        <v>2816</v>
      </c>
      <c r="L19" s="43">
        <f>Tabelle142537101112131416151719182220[[#This Row],[Positiv Rate]]</f>
        <v>8.6064621816892631E-3</v>
      </c>
      <c r="M19" s="50">
        <f>Tabelle142537101112131416151719182220[[#This Row],[Positiv]]/Tabelle142537101112131416151719182220[[#This Row],[Test]]</f>
        <v>8.6064621816892631E-3</v>
      </c>
      <c r="N19" s="60">
        <v>173</v>
      </c>
    </row>
    <row r="20" spans="8:14" x14ac:dyDescent="0.25">
      <c r="I20" s="41">
        <v>25</v>
      </c>
      <c r="J20" s="42">
        <v>386316</v>
      </c>
      <c r="K20" s="42">
        <v>5276</v>
      </c>
      <c r="L20" s="43">
        <f>Tabelle142537101112131416151719182220[[#This Row],[Positiv Rate]]</f>
        <v>1.3657213265823833E-2</v>
      </c>
      <c r="M20" s="50">
        <f>Tabelle142537101112131416151719182220[[#This Row],[Positiv]]/Tabelle142537101112131416151719182220[[#This Row],[Test]]</f>
        <v>1.3657213265823833E-2</v>
      </c>
      <c r="N20" s="60">
        <v>174</v>
      </c>
    </row>
    <row r="21" spans="8:14" x14ac:dyDescent="0.25">
      <c r="I21" s="41">
        <v>26</v>
      </c>
      <c r="J21" s="42">
        <v>464626</v>
      </c>
      <c r="K21" s="42">
        <v>3682</v>
      </c>
      <c r="L21" s="43">
        <f>Tabelle142537101112131416151719182220[[#This Row],[Positiv Rate]]</f>
        <v>7.9246533771248281E-3</v>
      </c>
      <c r="M21" s="50">
        <f>Tabelle142537101112131416151719182220[[#This Row],[Positiv]]/Tabelle142537101112131416151719182220[[#This Row],[Test]]</f>
        <v>7.9246533771248281E-3</v>
      </c>
      <c r="N21" s="60">
        <v>179</v>
      </c>
    </row>
    <row r="22" spans="8:14" x14ac:dyDescent="0.25">
      <c r="I22" s="41">
        <v>27</v>
      </c>
      <c r="J22" s="42">
        <v>506459</v>
      </c>
      <c r="K22" s="42">
        <v>3092</v>
      </c>
      <c r="L22" s="43">
        <f>Tabelle142537101112131416151719182220[[#This Row],[Positiv Rate]]</f>
        <v>6.1051338805312967E-3</v>
      </c>
      <c r="M22" s="50">
        <f>Tabelle142537101112131416151719182220[[#This Row],[Positiv]]/Tabelle142537101112131416151719182220[[#This Row],[Test]]</f>
        <v>6.1051338805312967E-3</v>
      </c>
      <c r="N22" s="60">
        <v>151</v>
      </c>
    </row>
    <row r="23" spans="8:14" x14ac:dyDescent="0.25">
      <c r="I23" s="41">
        <v>28</v>
      </c>
      <c r="J23" s="42">
        <v>510551</v>
      </c>
      <c r="K23" s="42">
        <v>2992</v>
      </c>
      <c r="L23" s="43">
        <f>Tabelle142537101112131416151719182220[[#This Row],[Positiv Rate]]</f>
        <v>5.8603352064730066E-3</v>
      </c>
      <c r="M23" s="50">
        <f>Tabelle142537101112131416151719182220[[#This Row],[Positiv]]/Tabelle142537101112131416151719182220[[#This Row],[Test]]</f>
        <v>5.8603352064730066E-3</v>
      </c>
      <c r="N23" s="60">
        <v>179</v>
      </c>
    </row>
    <row r="24" spans="8:14" x14ac:dyDescent="0.25">
      <c r="I24" s="41">
        <v>29</v>
      </c>
      <c r="J24" s="42">
        <v>538701</v>
      </c>
      <c r="K24" s="42">
        <v>3497</v>
      </c>
      <c r="L24" s="43">
        <f>Tabelle142537101112131416151719182220[[#This Row],[Positiv Rate]]</f>
        <v>6.4915416901026729E-3</v>
      </c>
      <c r="M24" s="50">
        <f>Tabelle142537101112131416151719182220[[#This Row],[Positiv]]/Tabelle142537101112131416151719182220[[#This Row],[Test]]</f>
        <v>6.4915416901026729E-3</v>
      </c>
      <c r="N24" s="60">
        <v>177</v>
      </c>
    </row>
    <row r="25" spans="8:14" x14ac:dyDescent="0.25">
      <c r="I25" s="41">
        <v>30</v>
      </c>
      <c r="J25" s="42">
        <v>553429</v>
      </c>
      <c r="K25" s="42">
        <v>4458</v>
      </c>
      <c r="L25" s="43">
        <f>Tabelle142537101112131416151719182220[[#This Row],[Positiv Rate]]</f>
        <v>8.0552338240316278E-3</v>
      </c>
      <c r="M25" s="50">
        <f>Tabelle142537101112131416151719182220[[#This Row],[Positiv]]/Tabelle142537101112131416151719182220[[#This Row],[Test]]</f>
        <v>8.0552338240316278E-3</v>
      </c>
      <c r="N25" s="60">
        <v>182</v>
      </c>
    </row>
    <row r="26" spans="8:14" x14ac:dyDescent="0.25">
      <c r="I26" s="41">
        <v>31</v>
      </c>
      <c r="J26" s="42">
        <v>586620</v>
      </c>
      <c r="K26" s="42">
        <v>5738</v>
      </c>
      <c r="L26" s="43">
        <f>Tabelle142537101112131416151719182220[[#This Row],[Positiv Rate]]</f>
        <v>9.7814598888547946E-3</v>
      </c>
      <c r="M26" s="50">
        <f>Tabelle142537101112131416151719182220[[#This Row],[Positiv]]/Tabelle142537101112131416151719182220[[#This Row],[Test]]</f>
        <v>9.7814598888547946E-3</v>
      </c>
      <c r="N26" s="60">
        <v>170</v>
      </c>
    </row>
    <row r="27" spans="8:14" ht="15" customHeight="1" x14ac:dyDescent="0.25">
      <c r="H27" s="61"/>
      <c r="I27" s="41">
        <v>32</v>
      </c>
      <c r="J27" s="42">
        <v>716768</v>
      </c>
      <c r="K27" s="42">
        <v>7263</v>
      </c>
      <c r="L27" s="43">
        <f>Tabelle142537101112131416151719182220[[#This Row],[Positiv Rate]]</f>
        <v>1.013298584758248E-2</v>
      </c>
      <c r="M27" s="50">
        <f>Tabelle142537101112131416151719182220[[#This Row],[Positiv]]/Tabelle142537101112131416151719182220[[#This Row],[Test]]</f>
        <v>1.013298584758248E-2</v>
      </c>
      <c r="N27" s="60">
        <v>168</v>
      </c>
    </row>
    <row r="28" spans="8:14" ht="15" customHeight="1" x14ac:dyDescent="0.25">
      <c r="H28" s="61"/>
      <c r="I28" s="41">
        <v>33</v>
      </c>
      <c r="J28" s="42">
        <v>835384</v>
      </c>
      <c r="K28" s="42">
        <v>8121</v>
      </c>
      <c r="L28" s="43">
        <f>Tabelle142537101112131416151719182220[[#This Row],[Positiv Rate]]</f>
        <v>9.7212778793943858E-3</v>
      </c>
      <c r="M28" s="50">
        <f>Tabelle142537101112131416151719182220[[#This Row],[Positiv]]/Tabelle142537101112131416151719182220[[#This Row],[Test]]</f>
        <v>9.7212778793943858E-3</v>
      </c>
      <c r="N28" s="60">
        <v>183</v>
      </c>
    </row>
    <row r="29" spans="8:14" x14ac:dyDescent="0.25">
      <c r="H29" s="61"/>
      <c r="I29" s="41">
        <v>34</v>
      </c>
      <c r="J29" s="42">
        <v>1084446</v>
      </c>
      <c r="K29" s="42">
        <v>9143</v>
      </c>
      <c r="L29" s="43">
        <f>Tabelle142537101112131416151719182220[[#This Row],[Positiv Rate]]</f>
        <v>8.4310329882723526E-3</v>
      </c>
      <c r="M29" s="51">
        <f>Tabelle142537101112131416151719182220[[#This Row],[Positiv]]/Tabelle142537101112131416151719182220[[#This Row],[Test]]</f>
        <v>8.4310329882723526E-3</v>
      </c>
      <c r="N29" s="60">
        <v>196</v>
      </c>
    </row>
    <row r="30" spans="8:14" x14ac:dyDescent="0.25">
      <c r="H30" s="61"/>
      <c r="I30" s="41">
        <v>35</v>
      </c>
      <c r="J30" s="42">
        <v>1120883</v>
      </c>
      <c r="K30" s="42">
        <v>8323</v>
      </c>
      <c r="L30" s="43">
        <f>Tabelle142537101112131416151719182220[[#This Row],[Positiv Rate]]</f>
        <v>7.4253958709338975E-3</v>
      </c>
      <c r="M30" s="51">
        <f>Tabelle142537101112131416151719182220[[#This Row],[Positiv]]/Tabelle142537101112131416151719182220[[#This Row],[Test]]</f>
        <v>7.4253958709338975E-3</v>
      </c>
      <c r="N30" s="60">
        <v>191</v>
      </c>
    </row>
    <row r="31" spans="8:14" x14ac:dyDescent="0.25">
      <c r="H31" s="61"/>
      <c r="I31" s="41">
        <v>36</v>
      </c>
      <c r="J31" s="42">
        <v>1072316</v>
      </c>
      <c r="K31" s="42">
        <v>8294</v>
      </c>
      <c r="L31" s="43">
        <f>Tabelle142537101112131416151719182220[[#This Row],[Positiv Rate]]</f>
        <v>7.7346603053577486E-3</v>
      </c>
      <c r="M31" s="51">
        <f>Tabelle142537101112131416151719182220[[#This Row],[Positiv]]/Tabelle142537101112131416151719182220[[#This Row],[Test]]</f>
        <v>7.7346603053577486E-3</v>
      </c>
      <c r="N31" s="60">
        <v>192</v>
      </c>
    </row>
    <row r="32" spans="8:14" x14ac:dyDescent="0.25">
      <c r="I32" s="41">
        <v>37</v>
      </c>
      <c r="J32" s="42">
        <v>1164932</v>
      </c>
      <c r="K32" s="42">
        <v>10046</v>
      </c>
      <c r="L32" s="43">
        <f>Tabelle142537101112131416151719182220[[#This Row],[Positiv Rate]]</f>
        <v>8.6236793220548502E-3</v>
      </c>
      <c r="M32" s="51">
        <f>Tabelle142537101112131416151719182220[[#This Row],[Positiv]]/Tabelle142537101112131416151719182220[[#This Row],[Test]]</f>
        <v>8.6236793220548502E-3</v>
      </c>
      <c r="N32" s="60">
        <v>194</v>
      </c>
    </row>
    <row r="33" spans="9:14" x14ac:dyDescent="0.25">
      <c r="I33" s="41">
        <v>38</v>
      </c>
      <c r="J33" s="42">
        <v>1146565</v>
      </c>
      <c r="K33" s="42">
        <v>13261</v>
      </c>
      <c r="L33" s="43">
        <f>Tabelle142537101112131416151719182220[[#This Row],[Positiv Rate]]</f>
        <v>1.1565851042025529E-2</v>
      </c>
      <c r="M33" s="51">
        <f>Tabelle142537101112131416151719182220[[#This Row],[Positiv]]/Tabelle142537101112131416151719182220[[#This Row],[Test]]</f>
        <v>1.1565851042025529E-2</v>
      </c>
      <c r="N33" s="60">
        <v>203</v>
      </c>
    </row>
    <row r="34" spans="9:14" x14ac:dyDescent="0.25">
      <c r="I34" s="41">
        <v>39</v>
      </c>
      <c r="J34" s="21">
        <v>1155995</v>
      </c>
      <c r="K34" s="21">
        <v>14094</v>
      </c>
      <c r="L34" s="32">
        <f>Tabelle142537101112131416151719182220[[#This Row],[Positiv Rate]]</f>
        <v>1.2192094256463048E-2</v>
      </c>
      <c r="M34" s="51">
        <f>Tabelle142537101112131416151719182220[[#This Row],[Positiv]]/Tabelle142537101112131416151719182220[[#This Row],[Test]]</f>
        <v>1.2192094256463048E-2</v>
      </c>
      <c r="N34" s="60">
        <v>189</v>
      </c>
    </row>
    <row r="35" spans="9:14" x14ac:dyDescent="0.25">
      <c r="I35" s="41">
        <v>40</v>
      </c>
      <c r="J35" s="21">
        <v>1112967</v>
      </c>
      <c r="K35" s="21">
        <v>19407</v>
      </c>
      <c r="L35" s="32">
        <f>Tabelle142537101112131416151719182220[[#This Row],[Positiv Rate]]</f>
        <v>1.7437174687120104E-2</v>
      </c>
      <c r="M35" s="51">
        <f>Tabelle142537101112131416151719182220[[#This Row],[Positiv]]/Tabelle142537101112131416151719182220[[#This Row],[Test]]</f>
        <v>1.7437174687120104E-2</v>
      </c>
      <c r="N35" s="60">
        <v>193</v>
      </c>
    </row>
    <row r="36" spans="9:14" x14ac:dyDescent="0.25">
      <c r="I36" s="41">
        <v>41</v>
      </c>
      <c r="J36" s="21">
        <v>1188338</v>
      </c>
      <c r="K36" s="21">
        <v>29567</v>
      </c>
      <c r="L36" s="32">
        <f>Tabelle142537101112131416151719182220[[#This Row],[Positiv Rate]]</f>
        <v>2.4880968209381505E-2</v>
      </c>
      <c r="M36" s="51">
        <f>Tabelle142537101112131416151719182220[[#This Row],[Positiv]]/Tabelle142537101112131416151719182220[[#This Row],[Test]]</f>
        <v>2.4880968209381505E-2</v>
      </c>
      <c r="N36" s="60">
        <v>191</v>
      </c>
    </row>
    <row r="37" spans="9:14" x14ac:dyDescent="0.25">
      <c r="I37" s="41">
        <v>42</v>
      </c>
      <c r="J37" s="21">
        <v>1263716</v>
      </c>
      <c r="K37" s="21">
        <v>44759</v>
      </c>
      <c r="L37" s="32">
        <f>Tabelle142537101112131416151719182220[[#This Row],[Positiv Rate]]</f>
        <v>3.5418559233245446E-2</v>
      </c>
      <c r="M37" s="51">
        <f>Tabelle142537101112131416151719182220[[#This Row],[Positiv]]/Tabelle142537101112131416151719182220[[#This Row],[Test]]</f>
        <v>3.5418559233245446E-2</v>
      </c>
      <c r="N37" s="60">
        <v>200</v>
      </c>
    </row>
    <row r="38" spans="9:14" x14ac:dyDescent="0.25">
      <c r="I38" s="41">
        <v>43</v>
      </c>
      <c r="J38" s="21">
        <v>1418726</v>
      </c>
      <c r="K38" s="21">
        <v>78106</v>
      </c>
      <c r="L38" s="32">
        <f>Tabelle142537101112131416151719182220[[#This Row],[Positiv Rate]]</f>
        <v>5.5053618528172456E-2</v>
      </c>
      <c r="M38" s="51">
        <f>Tabelle142537101112131416151719182220[[#This Row],[Positiv]]/Tabelle142537101112131416151719182220[[#This Row],[Test]]</f>
        <v>5.5053618528172456E-2</v>
      </c>
      <c r="N38" s="60">
        <v>204</v>
      </c>
    </row>
    <row r="39" spans="9:14" x14ac:dyDescent="0.25">
      <c r="I39" s="41">
        <v>44</v>
      </c>
      <c r="J39" s="21">
        <v>1631343</v>
      </c>
      <c r="K39" s="21">
        <v>116673</v>
      </c>
      <c r="L39" s="32">
        <f>Tabelle142537101112131416151719182220[[#This Row],[Positiv Rate]]</f>
        <v>7.1519600721614035E-2</v>
      </c>
      <c r="M39" s="51">
        <f>Tabelle142537101112131416151719182220[[#This Row],[Positiv]]/Tabelle142537101112131416151719182220[[#This Row],[Test]]</f>
        <v>7.1519600721614035E-2</v>
      </c>
      <c r="N39" s="60">
        <v>204</v>
      </c>
    </row>
    <row r="40" spans="9:14" x14ac:dyDescent="0.25">
      <c r="I40" s="41">
        <v>45</v>
      </c>
      <c r="J40" s="21">
        <v>1608125</v>
      </c>
      <c r="K40" s="21">
        <v>126141</v>
      </c>
      <c r="L40" s="32">
        <f>Tabelle142537101112131416151719182220[[#This Row],[Positiv Rate]]</f>
        <v>7.8439797901282554E-2</v>
      </c>
      <c r="M40" s="51">
        <f>Tabelle142537101112131416151719182220[[#This Row],[Positiv]]/Tabelle142537101112131416151719182220[[#This Row],[Test]]</f>
        <v>7.8439797901282554E-2</v>
      </c>
      <c r="N40" s="60">
        <v>203</v>
      </c>
    </row>
    <row r="41" spans="9:14" x14ac:dyDescent="0.25">
      <c r="I41" s="41">
        <v>46</v>
      </c>
      <c r="J41" s="21">
        <v>1396088</v>
      </c>
      <c r="K41" s="21">
        <v>125200</v>
      </c>
      <c r="L41" s="32">
        <f>Tabelle142537101112131416151719182220[[#This Row],[Positiv Rate]]</f>
        <v>8.9679160625977736E-2</v>
      </c>
      <c r="M41" s="51">
        <f>Tabelle142537101112131416151719182220[[#This Row],[Positiv]]/Tabelle142537101112131416151719182220[[#This Row],[Test]]</f>
        <v>8.9679160625977736E-2</v>
      </c>
      <c r="N41" s="60">
        <v>199</v>
      </c>
    </row>
    <row r="42" spans="9:14" x14ac:dyDescent="0.25">
      <c r="I42" s="41">
        <v>47</v>
      </c>
      <c r="J42" s="21">
        <v>1363701</v>
      </c>
      <c r="K42" s="21">
        <v>127330</v>
      </c>
      <c r="L42" s="32">
        <f>Tabelle142537101112131416151719182220[[#This Row],[Positiv Rate]]</f>
        <v>9.3370907552315349E-2</v>
      </c>
      <c r="M42" s="51">
        <f>Tabelle142537101112131416151719182220[[#This Row],[Positiv]]/Tabelle142537101112131416151719182220[[#This Row],[Test]]</f>
        <v>9.3370907552315349E-2</v>
      </c>
      <c r="N42" s="60">
        <v>198</v>
      </c>
    </row>
    <row r="43" spans="9:14" x14ac:dyDescent="0.25">
      <c r="I43" s="41">
        <v>48</v>
      </c>
      <c r="J43" s="21">
        <v>1343157</v>
      </c>
      <c r="K43" s="21">
        <v>124687</v>
      </c>
      <c r="L43" s="32">
        <f>Tabelle142537101112131416151719182220[[#This Row],[Positiv Rate]]</f>
        <v>9.2831292246550484E-2</v>
      </c>
      <c r="M43" s="51">
        <f>Tabelle142537101112131416151719182220[[#This Row],[Positiv]]/Tabelle142537101112131416151719182220[[#This Row],[Test]]</f>
        <v>9.2831292246550484E-2</v>
      </c>
      <c r="N43" s="60">
        <v>201</v>
      </c>
    </row>
    <row r="44" spans="9:14" x14ac:dyDescent="0.25">
      <c r="I44" s="41">
        <v>49</v>
      </c>
      <c r="J44" s="21">
        <v>1308629</v>
      </c>
      <c r="K44" s="21">
        <v>133681</v>
      </c>
      <c r="L44" s="32">
        <f>Tabelle142537101112131416151719182220[[#This Row],[Positiv Rate]]</f>
        <v>0.10215347512549393</v>
      </c>
      <c r="M44" s="51">
        <f>Tabelle142537101112131416151719182220[[#This Row],[Positiv]]/Tabelle142537101112131416151719182220[[#This Row],[Test]]</f>
        <v>0.10215347512549393</v>
      </c>
      <c r="N44" s="60">
        <v>200</v>
      </c>
    </row>
    <row r="45" spans="9:14" x14ac:dyDescent="0.25">
      <c r="I45" s="41">
        <v>50</v>
      </c>
      <c r="J45" s="21">
        <v>1465732</v>
      </c>
      <c r="K45" s="21">
        <v>168483</v>
      </c>
      <c r="L45" s="32">
        <f>Tabelle142537101112131416151719182220[[#This Row],[Positiv Rate]]</f>
        <v>0.11494802596927678</v>
      </c>
      <c r="M45" s="51">
        <f>Tabelle142537101112131416151719182220[[#This Row],[Positiv]]/Tabelle142537101112131416151719182220[[#This Row],[Test]]</f>
        <v>0.11494802596927678</v>
      </c>
      <c r="N45" s="60">
        <v>194</v>
      </c>
    </row>
    <row r="46" spans="9:14" ht="15.75" thickBot="1" x14ac:dyDescent="0.3"/>
    <row r="47" spans="9:14" x14ac:dyDescent="0.25">
      <c r="I47" s="35" t="s">
        <v>6</v>
      </c>
      <c r="J47" s="36">
        <f>SUM(Tabelle142537101112131416151719182220[Test])</f>
        <v>31974158</v>
      </c>
      <c r="K47" s="37">
        <f>SUM(Tabelle142537101112131416151719182220[Positiv])</f>
        <v>1421702</v>
      </c>
    </row>
  </sheetData>
  <mergeCells count="1">
    <mergeCell ref="H27:H31"/>
  </mergeCells>
  <pageMargins left="0" right="0" top="0" bottom="0" header="0.31496062992125984" footer="0.31496062992125984"/>
  <pageSetup paperSize="9" orientation="portrait" horizontalDpi="4294967293" verticalDpi="4294967293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6C24E-313B-4155-B129-2FEBA9B05D32}">
  <sheetPr>
    <pageSetUpPr fitToPage="1"/>
  </sheetPr>
  <dimension ref="B2:S29"/>
  <sheetViews>
    <sheetView zoomScale="70" zoomScaleNormal="70" workbookViewId="0">
      <selection activeCell="O14" sqref="O14"/>
    </sheetView>
  </sheetViews>
  <sheetFormatPr baseColWidth="10" defaultRowHeight="15" x14ac:dyDescent="0.25"/>
  <cols>
    <col min="3" max="3" width="12" bestFit="1" customWidth="1"/>
    <col min="14" max="14" width="12" bestFit="1" customWidth="1"/>
  </cols>
  <sheetData>
    <row r="2" spans="2:19" x14ac:dyDescent="0.25">
      <c r="B2" s="23" t="str">
        <f>M2</f>
        <v>Stand:</v>
      </c>
      <c r="C2" s="22">
        <f>N2</f>
        <v>44058</v>
      </c>
      <c r="M2" t="s">
        <v>9</v>
      </c>
      <c r="N2" s="22">
        <v>44058</v>
      </c>
    </row>
    <row r="3" spans="2:19" x14ac:dyDescent="0.25">
      <c r="L3" s="17" t="s">
        <v>8</v>
      </c>
      <c r="M3" s="16" t="s">
        <v>7</v>
      </c>
    </row>
    <row r="5" spans="2:19" ht="30" x14ac:dyDescent="0.25">
      <c r="O5" s="3" t="s">
        <v>0</v>
      </c>
      <c r="P5" s="3" t="s">
        <v>1</v>
      </c>
      <c r="Q5" s="3" t="s">
        <v>2</v>
      </c>
      <c r="R5" s="4" t="s">
        <v>3</v>
      </c>
      <c r="S5" s="4" t="s">
        <v>4</v>
      </c>
    </row>
    <row r="6" spans="2:19" x14ac:dyDescent="0.25">
      <c r="O6" s="1">
        <v>10</v>
      </c>
      <c r="P6" s="2">
        <v>124716</v>
      </c>
      <c r="Q6" s="2">
        <v>3892</v>
      </c>
      <c r="R6" s="15">
        <v>3.1</v>
      </c>
      <c r="S6" s="1">
        <v>90</v>
      </c>
    </row>
    <row r="7" spans="2:19" x14ac:dyDescent="0.25">
      <c r="O7" s="1">
        <v>11</v>
      </c>
      <c r="P7" s="2">
        <v>127457</v>
      </c>
      <c r="Q7" s="2">
        <v>7582</v>
      </c>
      <c r="R7" s="15">
        <v>5.9</v>
      </c>
      <c r="S7" s="1">
        <v>114</v>
      </c>
    </row>
    <row r="8" spans="2:19" x14ac:dyDescent="0.25">
      <c r="O8" s="1">
        <v>12</v>
      </c>
      <c r="P8" s="2">
        <v>348619</v>
      </c>
      <c r="Q8" s="2">
        <v>23820</v>
      </c>
      <c r="R8" s="15">
        <v>6.8</v>
      </c>
      <c r="S8" s="1">
        <v>152</v>
      </c>
    </row>
    <row r="9" spans="2:19" x14ac:dyDescent="0.25">
      <c r="O9" s="1">
        <v>13</v>
      </c>
      <c r="P9" s="2">
        <v>361515</v>
      </c>
      <c r="Q9" s="2">
        <v>31414</v>
      </c>
      <c r="R9" s="15">
        <v>8.6999999999999993</v>
      </c>
      <c r="S9" s="1">
        <v>151</v>
      </c>
    </row>
    <row r="10" spans="2:19" x14ac:dyDescent="0.25">
      <c r="O10" s="1">
        <v>14</v>
      </c>
      <c r="P10" s="2">
        <v>408348</v>
      </c>
      <c r="Q10" s="2">
        <v>36885</v>
      </c>
      <c r="R10" s="15">
        <v>9</v>
      </c>
      <c r="S10" s="1">
        <v>154</v>
      </c>
    </row>
    <row r="11" spans="2:19" x14ac:dyDescent="0.25">
      <c r="O11" s="1">
        <v>15</v>
      </c>
      <c r="P11" s="2">
        <v>380197</v>
      </c>
      <c r="Q11" s="2">
        <v>30791</v>
      </c>
      <c r="R11" s="15">
        <v>8.1</v>
      </c>
      <c r="S11" s="1">
        <v>164</v>
      </c>
    </row>
    <row r="12" spans="2:19" x14ac:dyDescent="0.25">
      <c r="O12" s="1">
        <v>16</v>
      </c>
      <c r="P12" s="2">
        <v>331902</v>
      </c>
      <c r="Q12" s="2">
        <v>22082</v>
      </c>
      <c r="R12" s="15">
        <v>6.7</v>
      </c>
      <c r="S12" s="1">
        <v>168</v>
      </c>
    </row>
    <row r="13" spans="2:19" x14ac:dyDescent="0.25">
      <c r="O13" s="1">
        <v>17</v>
      </c>
      <c r="P13" s="2">
        <v>363890</v>
      </c>
      <c r="Q13" s="2">
        <v>18083</v>
      </c>
      <c r="R13" s="15">
        <v>5</v>
      </c>
      <c r="S13" s="1">
        <v>178</v>
      </c>
    </row>
    <row r="14" spans="2:19" x14ac:dyDescent="0.25">
      <c r="O14" s="1">
        <v>18</v>
      </c>
      <c r="P14" s="2">
        <v>326788</v>
      </c>
      <c r="Q14" s="2">
        <v>12608</v>
      </c>
      <c r="R14" s="15">
        <v>3.9</v>
      </c>
      <c r="S14" s="1">
        <v>175</v>
      </c>
    </row>
    <row r="15" spans="2:19" x14ac:dyDescent="0.25">
      <c r="O15" s="1">
        <v>19</v>
      </c>
      <c r="P15" s="2">
        <v>403875</v>
      </c>
      <c r="Q15" s="2">
        <v>10755</v>
      </c>
      <c r="R15" s="15">
        <v>2.7</v>
      </c>
      <c r="S15" s="1">
        <v>182</v>
      </c>
    </row>
    <row r="16" spans="2:19" x14ac:dyDescent="0.25">
      <c r="O16" s="1">
        <v>20</v>
      </c>
      <c r="P16" s="2">
        <v>432666</v>
      </c>
      <c r="Q16" s="2">
        <v>7233</v>
      </c>
      <c r="R16" s="15">
        <v>1.7</v>
      </c>
      <c r="S16" s="1">
        <v>183</v>
      </c>
    </row>
    <row r="17" spans="15:19" x14ac:dyDescent="0.25">
      <c r="O17" s="1">
        <v>21</v>
      </c>
      <c r="P17" s="2">
        <v>353467</v>
      </c>
      <c r="Q17" s="2">
        <v>5218</v>
      </c>
      <c r="R17" s="15">
        <v>1.5</v>
      </c>
      <c r="S17" s="1">
        <v>179</v>
      </c>
    </row>
    <row r="18" spans="15:19" x14ac:dyDescent="0.25">
      <c r="O18" s="1">
        <v>22</v>
      </c>
      <c r="P18" s="2">
        <v>405269</v>
      </c>
      <c r="Q18" s="2">
        <v>4310</v>
      </c>
      <c r="R18" s="15">
        <v>1.1000000000000001</v>
      </c>
      <c r="S18" s="1">
        <v>178</v>
      </c>
    </row>
    <row r="19" spans="15:19" x14ac:dyDescent="0.25">
      <c r="O19" s="1">
        <v>23</v>
      </c>
      <c r="P19" s="2">
        <v>340986</v>
      </c>
      <c r="Q19" s="2">
        <v>3208</v>
      </c>
      <c r="R19" s="15">
        <v>0.9</v>
      </c>
      <c r="S19" s="1">
        <v>176</v>
      </c>
    </row>
    <row r="20" spans="15:19" x14ac:dyDescent="0.25">
      <c r="O20" s="1">
        <v>24</v>
      </c>
      <c r="P20" s="2">
        <v>326645</v>
      </c>
      <c r="Q20" s="2">
        <v>2816</v>
      </c>
      <c r="R20" s="15">
        <v>0.9</v>
      </c>
      <c r="S20" s="1">
        <v>172</v>
      </c>
    </row>
    <row r="21" spans="15:19" x14ac:dyDescent="0.25">
      <c r="O21" s="1">
        <v>25</v>
      </c>
      <c r="P21" s="2">
        <v>387484</v>
      </c>
      <c r="Q21" s="2">
        <v>5309</v>
      </c>
      <c r="R21" s="15">
        <v>1.4</v>
      </c>
      <c r="S21" s="1">
        <v>174</v>
      </c>
    </row>
    <row r="22" spans="15:19" x14ac:dyDescent="0.25">
      <c r="O22" s="1">
        <v>26</v>
      </c>
      <c r="P22" s="2">
        <v>467004</v>
      </c>
      <c r="Q22" s="2">
        <v>3674</v>
      </c>
      <c r="R22" s="15">
        <v>0.8</v>
      </c>
      <c r="S22" s="1">
        <v>179</v>
      </c>
    </row>
    <row r="23" spans="15:19" x14ac:dyDescent="0.25">
      <c r="O23" s="1">
        <v>27</v>
      </c>
      <c r="P23" s="2">
        <v>505518</v>
      </c>
      <c r="Q23" s="2">
        <v>3080</v>
      </c>
      <c r="R23" s="15">
        <v>0.6</v>
      </c>
      <c r="S23" s="1">
        <v>150</v>
      </c>
    </row>
    <row r="24" spans="15:19" x14ac:dyDescent="0.25">
      <c r="O24" s="1">
        <v>28</v>
      </c>
      <c r="P24" s="2">
        <v>509298</v>
      </c>
      <c r="Q24" s="2">
        <v>2989</v>
      </c>
      <c r="R24" s="15">
        <v>0.6</v>
      </c>
      <c r="S24" s="1">
        <v>177</v>
      </c>
    </row>
    <row r="25" spans="15:19" x14ac:dyDescent="0.25">
      <c r="O25" s="1">
        <v>29</v>
      </c>
      <c r="P25" s="2">
        <v>537334</v>
      </c>
      <c r="Q25" s="2">
        <v>3480</v>
      </c>
      <c r="R25" s="15">
        <v>0.6</v>
      </c>
      <c r="S25" s="1">
        <v>173</v>
      </c>
    </row>
    <row r="26" spans="15:19" x14ac:dyDescent="0.25">
      <c r="O26" s="1">
        <v>30</v>
      </c>
      <c r="P26" s="2">
        <v>569868</v>
      </c>
      <c r="Q26" s="2">
        <v>4462</v>
      </c>
      <c r="R26" s="15">
        <v>0.8</v>
      </c>
      <c r="S26" s="1">
        <v>171</v>
      </c>
    </row>
    <row r="27" spans="15:19" x14ac:dyDescent="0.25">
      <c r="O27" s="1">
        <v>31</v>
      </c>
      <c r="P27" s="2">
        <v>573802</v>
      </c>
      <c r="Q27" s="2">
        <v>5551</v>
      </c>
      <c r="R27" s="15">
        <v>1</v>
      </c>
      <c r="S27" s="1">
        <v>161</v>
      </c>
    </row>
    <row r="28" spans="15:19" ht="15.75" thickBot="1" x14ac:dyDescent="0.3"/>
    <row r="29" spans="15:19" ht="15.75" thickBot="1" x14ac:dyDescent="0.3">
      <c r="O29" s="6" t="s">
        <v>6</v>
      </c>
      <c r="P29" s="7">
        <f>SUM(Tabelle18[Test])</f>
        <v>8586648</v>
      </c>
      <c r="Q29" s="8">
        <f>SUM(Tabelle18[Positiv])</f>
        <v>249242</v>
      </c>
    </row>
  </sheetData>
  <pageMargins left="0.7" right="0.7" top="0.78740157499999996" bottom="0.78740157499999996" header="0.3" footer="0.3"/>
  <pageSetup paperSize="9" scale="60" fitToHeight="0" orientation="landscape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73CC-83D9-4D68-8A6C-96C801E68C2E}">
  <sheetPr>
    <pageSetUpPr fitToPage="1"/>
  </sheetPr>
  <dimension ref="B2:S27"/>
  <sheetViews>
    <sheetView zoomScale="70" zoomScaleNormal="70" workbookViewId="0">
      <selection activeCell="O14" sqref="O14"/>
    </sheetView>
  </sheetViews>
  <sheetFormatPr baseColWidth="10" defaultRowHeight="15" x14ac:dyDescent="0.25"/>
  <cols>
    <col min="3" max="3" width="12.42578125" bestFit="1" customWidth="1"/>
    <col min="14" max="14" width="12.42578125" bestFit="1" customWidth="1"/>
  </cols>
  <sheetData>
    <row r="2" spans="2:19" x14ac:dyDescent="0.25">
      <c r="B2" s="23" t="str">
        <f>M2</f>
        <v>Stand:</v>
      </c>
      <c r="C2" s="22">
        <f>N2</f>
        <v>44050</v>
      </c>
      <c r="M2" s="23" t="s">
        <v>9</v>
      </c>
      <c r="N2" s="22">
        <v>44050</v>
      </c>
    </row>
    <row r="3" spans="2:19" ht="30" x14ac:dyDescent="0.25">
      <c r="O3" s="3" t="s">
        <v>0</v>
      </c>
      <c r="P3" s="3" t="s">
        <v>1</v>
      </c>
      <c r="Q3" s="3" t="s">
        <v>2</v>
      </c>
      <c r="R3" s="4" t="s">
        <v>3</v>
      </c>
      <c r="S3" s="4" t="s">
        <v>4</v>
      </c>
    </row>
    <row r="4" spans="2:19" x14ac:dyDescent="0.25">
      <c r="O4" s="1">
        <v>10</v>
      </c>
      <c r="P4" s="2">
        <v>124716</v>
      </c>
      <c r="Q4" s="2">
        <v>3892</v>
      </c>
      <c r="R4" s="11">
        <v>3.1</v>
      </c>
      <c r="S4" s="1">
        <v>90</v>
      </c>
    </row>
    <row r="5" spans="2:19" x14ac:dyDescent="0.25">
      <c r="O5" s="1">
        <v>11</v>
      </c>
      <c r="P5" s="2">
        <v>127457</v>
      </c>
      <c r="Q5" s="2">
        <v>7582</v>
      </c>
      <c r="R5" s="11">
        <v>5.9</v>
      </c>
      <c r="S5" s="1">
        <v>114</v>
      </c>
    </row>
    <row r="6" spans="2:19" x14ac:dyDescent="0.25">
      <c r="O6" s="1">
        <v>12</v>
      </c>
      <c r="P6" s="2">
        <v>348619</v>
      </c>
      <c r="Q6" s="2">
        <v>23820</v>
      </c>
      <c r="R6" s="11">
        <v>6.8</v>
      </c>
      <c r="S6" s="1">
        <v>152</v>
      </c>
    </row>
    <row r="7" spans="2:19" x14ac:dyDescent="0.25">
      <c r="O7" s="1">
        <v>13</v>
      </c>
      <c r="P7" s="2">
        <v>361515</v>
      </c>
      <c r="Q7" s="2">
        <v>31414</v>
      </c>
      <c r="R7" s="11">
        <v>8.6999999999999993</v>
      </c>
      <c r="S7" s="1">
        <v>151</v>
      </c>
    </row>
    <row r="8" spans="2:19" x14ac:dyDescent="0.25">
      <c r="O8" s="1">
        <v>14</v>
      </c>
      <c r="P8" s="2">
        <v>408348</v>
      </c>
      <c r="Q8" s="2">
        <v>36885</v>
      </c>
      <c r="R8" s="11">
        <v>9</v>
      </c>
      <c r="S8" s="1">
        <v>154</v>
      </c>
    </row>
    <row r="9" spans="2:19" x14ac:dyDescent="0.25">
      <c r="O9" s="1">
        <v>15</v>
      </c>
      <c r="P9" s="2">
        <v>380197</v>
      </c>
      <c r="Q9" s="2">
        <v>30791</v>
      </c>
      <c r="R9" s="11">
        <v>8.1</v>
      </c>
      <c r="S9" s="1">
        <v>164</v>
      </c>
    </row>
    <row r="10" spans="2:19" x14ac:dyDescent="0.25">
      <c r="O10" s="1">
        <v>16</v>
      </c>
      <c r="P10" s="2">
        <v>331902</v>
      </c>
      <c r="Q10" s="2">
        <v>22082</v>
      </c>
      <c r="R10" s="11">
        <v>6.7</v>
      </c>
      <c r="S10" s="1">
        <v>168</v>
      </c>
    </row>
    <row r="11" spans="2:19" x14ac:dyDescent="0.25">
      <c r="O11" s="1">
        <v>17</v>
      </c>
      <c r="P11" s="2">
        <v>363890</v>
      </c>
      <c r="Q11" s="2">
        <v>18083</v>
      </c>
      <c r="R11" s="11">
        <v>5</v>
      </c>
      <c r="S11" s="1">
        <v>178</v>
      </c>
    </row>
    <row r="12" spans="2:19" x14ac:dyDescent="0.25">
      <c r="O12" s="1">
        <v>18</v>
      </c>
      <c r="P12" s="2">
        <v>326788</v>
      </c>
      <c r="Q12" s="2">
        <v>12608</v>
      </c>
      <c r="R12" s="11">
        <v>3.9</v>
      </c>
      <c r="S12" s="1">
        <v>175</v>
      </c>
    </row>
    <row r="13" spans="2:19" x14ac:dyDescent="0.25">
      <c r="O13" s="1">
        <v>19</v>
      </c>
      <c r="P13" s="2">
        <v>403875</v>
      </c>
      <c r="Q13" s="2">
        <v>10755</v>
      </c>
      <c r="R13" s="11">
        <v>2.7</v>
      </c>
      <c r="S13" s="1">
        <v>182</v>
      </c>
    </row>
    <row r="14" spans="2:19" x14ac:dyDescent="0.25">
      <c r="O14" s="1">
        <v>20</v>
      </c>
      <c r="P14" s="2">
        <v>432666</v>
      </c>
      <c r="Q14" s="2">
        <v>7233</v>
      </c>
      <c r="R14" s="11">
        <v>1.7</v>
      </c>
      <c r="S14" s="1">
        <v>183</v>
      </c>
    </row>
    <row r="15" spans="2:19" x14ac:dyDescent="0.25">
      <c r="O15" s="1">
        <v>21</v>
      </c>
      <c r="P15" s="2">
        <v>353467</v>
      </c>
      <c r="Q15" s="2">
        <v>5218</v>
      </c>
      <c r="R15" s="11">
        <v>1.5</v>
      </c>
      <c r="S15" s="1">
        <v>179</v>
      </c>
    </row>
    <row r="16" spans="2:19" x14ac:dyDescent="0.25">
      <c r="O16" s="1">
        <v>22</v>
      </c>
      <c r="P16" s="2">
        <v>405269</v>
      </c>
      <c r="Q16" s="2">
        <v>4310</v>
      </c>
      <c r="R16" s="11">
        <v>1.1000000000000001</v>
      </c>
      <c r="S16" s="1">
        <v>178</v>
      </c>
    </row>
    <row r="17" spans="15:19" x14ac:dyDescent="0.25">
      <c r="O17" s="1">
        <v>23</v>
      </c>
      <c r="P17" s="2">
        <v>340986</v>
      </c>
      <c r="Q17" s="2">
        <v>3208</v>
      </c>
      <c r="R17" s="11">
        <v>0.9</v>
      </c>
      <c r="S17" s="1">
        <v>176</v>
      </c>
    </row>
    <row r="18" spans="15:19" x14ac:dyDescent="0.25">
      <c r="O18" s="1">
        <v>24</v>
      </c>
      <c r="P18" s="2">
        <v>326645</v>
      </c>
      <c r="Q18" s="2">
        <v>2816</v>
      </c>
      <c r="R18" s="11">
        <v>0.9</v>
      </c>
      <c r="S18" s="1">
        <v>172</v>
      </c>
    </row>
    <row r="19" spans="15:19" x14ac:dyDescent="0.25">
      <c r="O19" s="1">
        <v>25</v>
      </c>
      <c r="P19" s="2">
        <v>387249</v>
      </c>
      <c r="Q19" s="2">
        <v>5307</v>
      </c>
      <c r="R19" s="11">
        <v>1.4</v>
      </c>
      <c r="S19" s="1">
        <v>174</v>
      </c>
    </row>
    <row r="20" spans="15:19" x14ac:dyDescent="0.25">
      <c r="O20" s="1">
        <v>26</v>
      </c>
      <c r="P20" s="2">
        <v>466743</v>
      </c>
      <c r="Q20" s="2">
        <v>3673</v>
      </c>
      <c r="R20" s="11">
        <v>0.8</v>
      </c>
      <c r="S20" s="1">
        <v>179</v>
      </c>
    </row>
    <row r="21" spans="15:19" x14ac:dyDescent="0.25">
      <c r="O21" s="1">
        <v>27</v>
      </c>
      <c r="P21" s="2">
        <v>505518</v>
      </c>
      <c r="Q21" s="2">
        <v>3080</v>
      </c>
      <c r="R21" s="11">
        <v>0.6</v>
      </c>
      <c r="S21" s="1">
        <v>150</v>
      </c>
    </row>
    <row r="22" spans="15:19" x14ac:dyDescent="0.25">
      <c r="O22" s="1">
        <v>28</v>
      </c>
      <c r="P22" s="2">
        <v>509398</v>
      </c>
      <c r="Q22" s="2">
        <v>2989</v>
      </c>
      <c r="R22" s="11">
        <v>0.6</v>
      </c>
      <c r="S22" s="1">
        <v>177</v>
      </c>
    </row>
    <row r="23" spans="15:19" x14ac:dyDescent="0.25">
      <c r="O23" s="1">
        <v>29</v>
      </c>
      <c r="P23" s="2">
        <v>537334</v>
      </c>
      <c r="Q23" s="2">
        <v>3480</v>
      </c>
      <c r="R23" s="11">
        <v>0.6</v>
      </c>
      <c r="S23" s="1">
        <v>173</v>
      </c>
    </row>
    <row r="24" spans="15:19" x14ac:dyDescent="0.25">
      <c r="O24" s="1">
        <v>30</v>
      </c>
      <c r="P24" s="2">
        <v>563553</v>
      </c>
      <c r="Q24" s="2">
        <v>4364</v>
      </c>
      <c r="R24" s="11">
        <v>0.8</v>
      </c>
      <c r="S24" s="1">
        <v>171</v>
      </c>
    </row>
    <row r="26" spans="15:19" ht="15.75" thickBot="1" x14ac:dyDescent="0.3"/>
    <row r="27" spans="15:19" ht="15.75" thickBot="1" x14ac:dyDescent="0.3">
      <c r="O27" s="12" t="s">
        <v>6</v>
      </c>
      <c r="P27" s="13">
        <f>SUM(Tabelle1[Test])</f>
        <v>8006135</v>
      </c>
      <c r="Q27" s="14">
        <f>SUM(Tabelle1[Positiv])</f>
        <v>243590</v>
      </c>
    </row>
  </sheetData>
  <pageMargins left="0.7" right="0.7" top="0.78740157499999996" bottom="0.78740157499999996" header="0.3" footer="0.3"/>
  <pageSetup paperSize="9" scale="59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82353-E634-4B7A-96A7-D48627697655}">
  <dimension ref="B3:N45"/>
  <sheetViews>
    <sheetView showGridLines="0" zoomScale="85" zoomScaleNormal="85" workbookViewId="0">
      <selection activeCell="S16" sqref="S16"/>
    </sheetView>
  </sheetViews>
  <sheetFormatPr baseColWidth="10" defaultRowHeight="15" x14ac:dyDescent="0.25"/>
  <cols>
    <col min="7" max="7" width="33" customWidth="1"/>
    <col min="8" max="8" width="26.140625" customWidth="1"/>
    <col min="11" max="11" width="9" customWidth="1"/>
    <col min="12" max="12" width="7.28515625" customWidth="1"/>
    <col min="13" max="13" width="0.7109375" customWidth="1"/>
    <col min="14" max="14" width="6.5703125" hidden="1" customWidth="1"/>
    <col min="15" max="15" width="6.5703125" customWidth="1"/>
  </cols>
  <sheetData>
    <row r="3" spans="2:14" ht="15.75" thickBot="1" x14ac:dyDescent="0.3"/>
    <row r="4" spans="2:14" ht="18.75" customHeight="1" x14ac:dyDescent="0.25">
      <c r="H4" s="23" t="s">
        <v>9</v>
      </c>
      <c r="I4" s="38" t="s">
        <v>0</v>
      </c>
      <c r="J4" s="39" t="s">
        <v>1</v>
      </c>
      <c r="K4" s="39" t="s">
        <v>2</v>
      </c>
      <c r="L4" s="39" t="s">
        <v>10</v>
      </c>
      <c r="M4" s="52" t="s">
        <v>3</v>
      </c>
      <c r="N4" s="4" t="s">
        <v>4</v>
      </c>
    </row>
    <row r="5" spans="2:14" ht="18.75" customHeight="1" x14ac:dyDescent="0.25">
      <c r="H5" s="22">
        <v>44174</v>
      </c>
      <c r="I5" s="41">
        <v>10</v>
      </c>
      <c r="J5" s="42">
        <v>124716</v>
      </c>
      <c r="K5" s="42">
        <v>3892</v>
      </c>
      <c r="L5" s="43">
        <f>Tabelle1425371011121314161517191822[[#This Row],[Positiv Rate]]</f>
        <v>3.1206902081529233E-2</v>
      </c>
      <c r="M5" s="50">
        <f>Tabelle1425371011121314161517191822[[#This Row],[Positiv]]/Tabelle1425371011121314161517191822[[#This Row],[Test]]</f>
        <v>3.1206902081529233E-2</v>
      </c>
      <c r="N5" s="59">
        <v>90</v>
      </c>
    </row>
    <row r="6" spans="2:14" ht="15.75" customHeight="1" x14ac:dyDescent="0.25">
      <c r="H6" s="23" t="s">
        <v>11</v>
      </c>
      <c r="I6" s="41">
        <v>11</v>
      </c>
      <c r="J6" s="42">
        <v>127457</v>
      </c>
      <c r="K6" s="42">
        <v>7582</v>
      </c>
      <c r="L6" s="43">
        <f>Tabelle1425371011121314161517191822[[#This Row],[Positiv Rate]]</f>
        <v>5.9486728857575499E-2</v>
      </c>
      <c r="M6" s="50">
        <f>Tabelle1425371011121314161517191822[[#This Row],[Positiv]]/Tabelle1425371011121314161517191822[[#This Row],[Test]]</f>
        <v>5.9486728857575499E-2</v>
      </c>
      <c r="N6" s="59">
        <v>114</v>
      </c>
    </row>
    <row r="7" spans="2:14" x14ac:dyDescent="0.25">
      <c r="H7" s="33" t="s">
        <v>12</v>
      </c>
      <c r="I7" s="41">
        <v>12</v>
      </c>
      <c r="J7" s="42">
        <v>348619</v>
      </c>
      <c r="K7" s="42">
        <v>23820</v>
      </c>
      <c r="L7" s="43">
        <f>Tabelle1425371011121314161517191822[[#This Row],[Positiv Rate]]</f>
        <v>6.8326740653836995E-2</v>
      </c>
      <c r="M7" s="50">
        <f>Tabelle1425371011121314161517191822[[#This Row],[Positiv]]/Tabelle1425371011121314161517191822[[#This Row],[Test]]</f>
        <v>6.8326740653836995E-2</v>
      </c>
      <c r="N7" s="59">
        <v>152</v>
      </c>
    </row>
    <row r="8" spans="2:14" x14ac:dyDescent="0.25">
      <c r="I8" s="41">
        <v>13</v>
      </c>
      <c r="J8" s="42">
        <v>361515</v>
      </c>
      <c r="K8" s="42">
        <v>31414</v>
      </c>
      <c r="L8" s="43">
        <f>Tabelle1425371011121314161517191822[[#This Row],[Positiv Rate]]</f>
        <v>8.6895426192550793E-2</v>
      </c>
      <c r="M8" s="50">
        <f>Tabelle1425371011121314161517191822[[#This Row],[Positiv]]/Tabelle1425371011121314161517191822[[#This Row],[Test]]</f>
        <v>8.6895426192550793E-2</v>
      </c>
      <c r="N8" s="59">
        <v>151</v>
      </c>
    </row>
    <row r="9" spans="2:14" x14ac:dyDescent="0.25">
      <c r="I9" s="41">
        <v>14</v>
      </c>
      <c r="J9" s="42">
        <v>408348</v>
      </c>
      <c r="K9" s="42">
        <v>36885</v>
      </c>
      <c r="L9" s="43">
        <f>Tabelle1425371011121314161517191822[[#This Row],[Positiv Rate]]</f>
        <v>9.0327367833318642E-2</v>
      </c>
      <c r="M9" s="50">
        <f>Tabelle1425371011121314161517191822[[#This Row],[Positiv]]/Tabelle1425371011121314161517191822[[#This Row],[Test]]</f>
        <v>9.0327367833318642E-2</v>
      </c>
      <c r="N9" s="59">
        <v>154</v>
      </c>
    </row>
    <row r="10" spans="2:14" x14ac:dyDescent="0.25">
      <c r="I10" s="41">
        <v>15</v>
      </c>
      <c r="J10" s="42">
        <v>380197</v>
      </c>
      <c r="K10" s="42">
        <v>30791</v>
      </c>
      <c r="L10" s="43">
        <f>Tabelle1425371011121314161517191822[[#This Row],[Positiv Rate]]</f>
        <v>8.0986962022320003E-2</v>
      </c>
      <c r="M10" s="50">
        <f>Tabelle1425371011121314161517191822[[#This Row],[Positiv]]/Tabelle1425371011121314161517191822[[#This Row],[Test]]</f>
        <v>8.0986962022320003E-2</v>
      </c>
      <c r="N10" s="60">
        <v>164</v>
      </c>
    </row>
    <row r="11" spans="2:14" x14ac:dyDescent="0.25">
      <c r="I11" s="41">
        <v>16</v>
      </c>
      <c r="J11" s="42">
        <v>331902</v>
      </c>
      <c r="K11" s="42">
        <v>22082</v>
      </c>
      <c r="L11" s="43">
        <f>Tabelle1425371011121314161517191822[[#This Row],[Positiv Rate]]</f>
        <v>6.65316870642539E-2</v>
      </c>
      <c r="M11" s="50">
        <f>Tabelle1425371011121314161517191822[[#This Row],[Positiv]]/Tabelle1425371011121314161517191822[[#This Row],[Test]]</f>
        <v>6.65316870642539E-2</v>
      </c>
      <c r="N11" s="60">
        <v>168</v>
      </c>
    </row>
    <row r="12" spans="2:14" x14ac:dyDescent="0.25">
      <c r="B12" s="23" t="str">
        <f>H4</f>
        <v>Stand:</v>
      </c>
      <c r="C12" s="22">
        <f>H5</f>
        <v>44174</v>
      </c>
      <c r="I12" s="41">
        <v>17</v>
      </c>
      <c r="J12" s="42">
        <v>363890</v>
      </c>
      <c r="K12" s="42">
        <v>18083</v>
      </c>
      <c r="L12" s="43">
        <f>Tabelle1425371011121314161517191822[[#This Row],[Positiv Rate]]</f>
        <v>4.9693588721866501E-2</v>
      </c>
      <c r="M12" s="50">
        <f>Tabelle1425371011121314161517191822[[#This Row],[Positiv]]/Tabelle1425371011121314161517191822[[#This Row],[Test]]</f>
        <v>4.9693588721866501E-2</v>
      </c>
      <c r="N12" s="60">
        <v>178</v>
      </c>
    </row>
    <row r="13" spans="2:14" x14ac:dyDescent="0.25">
      <c r="I13" s="41">
        <v>18</v>
      </c>
      <c r="J13" s="42">
        <v>326788</v>
      </c>
      <c r="K13" s="42">
        <v>12608</v>
      </c>
      <c r="L13" s="43">
        <f>Tabelle1425371011121314161517191822[[#This Row],[Positiv Rate]]</f>
        <v>3.8581588063209174E-2</v>
      </c>
      <c r="M13" s="50">
        <f>Tabelle1425371011121314161517191822[[#This Row],[Positiv]]/Tabelle1425371011121314161517191822[[#This Row],[Test]]</f>
        <v>3.8581588063209174E-2</v>
      </c>
      <c r="N13" s="60">
        <v>175</v>
      </c>
    </row>
    <row r="14" spans="2:14" x14ac:dyDescent="0.25">
      <c r="I14" s="41">
        <v>19</v>
      </c>
      <c r="J14" s="42">
        <v>403875</v>
      </c>
      <c r="K14" s="42">
        <v>10755</v>
      </c>
      <c r="L14" s="43">
        <f>Tabelle1425371011121314161517191822[[#This Row],[Positiv Rate]]</f>
        <v>2.6629526462395543E-2</v>
      </c>
      <c r="M14" s="50">
        <f>Tabelle1425371011121314161517191822[[#This Row],[Positiv]]/Tabelle1425371011121314161517191822[[#This Row],[Test]]</f>
        <v>2.6629526462395543E-2</v>
      </c>
      <c r="N14" s="60">
        <v>182</v>
      </c>
    </row>
    <row r="15" spans="2:14" x14ac:dyDescent="0.25">
      <c r="I15" s="41">
        <v>20</v>
      </c>
      <c r="J15" s="42">
        <v>432076</v>
      </c>
      <c r="K15" s="42">
        <v>7080</v>
      </c>
      <c r="L15" s="43">
        <f>Tabelle1425371011121314161517191822[[#This Row],[Positiv Rate]]</f>
        <v>1.638600616558198E-2</v>
      </c>
      <c r="M15" s="50">
        <f>Tabelle1425371011121314161517191822[[#This Row],[Positiv]]/Tabelle1425371011121314161517191822[[#This Row],[Test]]</f>
        <v>1.638600616558198E-2</v>
      </c>
      <c r="N15" s="60">
        <v>185</v>
      </c>
    </row>
    <row r="16" spans="2:14" x14ac:dyDescent="0.25">
      <c r="I16" s="41">
        <v>21</v>
      </c>
      <c r="J16" s="42">
        <v>354260</v>
      </c>
      <c r="K16" s="42">
        <v>5228</v>
      </c>
      <c r="L16" s="43">
        <f>Tabelle1425371011121314161517191822[[#This Row],[Positiv Rate]]</f>
        <v>1.4757522723423474E-2</v>
      </c>
      <c r="M16" s="50">
        <f>Tabelle1425371011121314161517191822[[#This Row],[Positiv]]/Tabelle1425371011121314161517191822[[#This Row],[Test]]</f>
        <v>1.4757522723423474E-2</v>
      </c>
      <c r="N16" s="60">
        <v>178</v>
      </c>
    </row>
    <row r="17" spans="8:14" x14ac:dyDescent="0.25">
      <c r="I17" s="41">
        <v>22</v>
      </c>
      <c r="J17" s="42">
        <v>401589</v>
      </c>
      <c r="K17" s="42">
        <v>4267</v>
      </c>
      <c r="L17" s="43">
        <f>Tabelle1425371011121314161517191822[[#This Row],[Positiv Rate]]</f>
        <v>1.0625291031377852E-2</v>
      </c>
      <c r="M17" s="50">
        <f>Tabelle1425371011121314161517191822[[#This Row],[Positiv]]/Tabelle1425371011121314161517191822[[#This Row],[Test]]</f>
        <v>1.0625291031377852E-2</v>
      </c>
      <c r="N17" s="60">
        <v>173</v>
      </c>
    </row>
    <row r="18" spans="8:14" x14ac:dyDescent="0.25">
      <c r="I18" s="41">
        <v>23</v>
      </c>
      <c r="J18" s="42">
        <v>337217</v>
      </c>
      <c r="K18" s="42">
        <v>3085</v>
      </c>
      <c r="L18" s="43">
        <f>Tabelle1425371011121314161517191822[[#This Row],[Positiv Rate]]</f>
        <v>9.1484118534949314E-3</v>
      </c>
      <c r="M18" s="50">
        <f>Tabelle1425371011121314161517191822[[#This Row],[Positiv]]/Tabelle1425371011121314161517191822[[#This Row],[Test]]</f>
        <v>9.1484118534949314E-3</v>
      </c>
      <c r="N18" s="60">
        <v>175</v>
      </c>
    </row>
    <row r="19" spans="8:14" x14ac:dyDescent="0.25">
      <c r="I19" s="41">
        <v>24</v>
      </c>
      <c r="J19" s="42">
        <v>327196</v>
      </c>
      <c r="K19" s="42">
        <v>2816</v>
      </c>
      <c r="L19" s="43">
        <f>Tabelle1425371011121314161517191822[[#This Row],[Positiv Rate]]</f>
        <v>8.6064621816892631E-3</v>
      </c>
      <c r="M19" s="50">
        <f>Tabelle1425371011121314161517191822[[#This Row],[Positiv]]/Tabelle1425371011121314161517191822[[#This Row],[Test]]</f>
        <v>8.6064621816892631E-3</v>
      </c>
      <c r="N19" s="60">
        <v>173</v>
      </c>
    </row>
    <row r="20" spans="8:14" x14ac:dyDescent="0.25">
      <c r="I20" s="41">
        <v>25</v>
      </c>
      <c r="J20" s="42">
        <v>386316</v>
      </c>
      <c r="K20" s="42">
        <v>5276</v>
      </c>
      <c r="L20" s="43">
        <f>Tabelle1425371011121314161517191822[[#This Row],[Positiv Rate]]</f>
        <v>1.3657213265823833E-2</v>
      </c>
      <c r="M20" s="50">
        <f>Tabelle1425371011121314161517191822[[#This Row],[Positiv]]/Tabelle1425371011121314161517191822[[#This Row],[Test]]</f>
        <v>1.3657213265823833E-2</v>
      </c>
      <c r="N20" s="60">
        <v>174</v>
      </c>
    </row>
    <row r="21" spans="8:14" x14ac:dyDescent="0.25">
      <c r="I21" s="41">
        <v>26</v>
      </c>
      <c r="J21" s="42">
        <v>464626</v>
      </c>
      <c r="K21" s="42">
        <v>3682</v>
      </c>
      <c r="L21" s="43">
        <f>Tabelle1425371011121314161517191822[[#This Row],[Positiv Rate]]</f>
        <v>7.9246533771248281E-3</v>
      </c>
      <c r="M21" s="50">
        <f>Tabelle1425371011121314161517191822[[#This Row],[Positiv]]/Tabelle1425371011121314161517191822[[#This Row],[Test]]</f>
        <v>7.9246533771248281E-3</v>
      </c>
      <c r="N21" s="60">
        <v>179</v>
      </c>
    </row>
    <row r="22" spans="8:14" x14ac:dyDescent="0.25">
      <c r="I22" s="41">
        <v>27</v>
      </c>
      <c r="J22" s="42">
        <v>506459</v>
      </c>
      <c r="K22" s="42">
        <v>3092</v>
      </c>
      <c r="L22" s="43">
        <f>Tabelle1425371011121314161517191822[[#This Row],[Positiv Rate]]</f>
        <v>6.1051338805312967E-3</v>
      </c>
      <c r="M22" s="50">
        <f>Tabelle1425371011121314161517191822[[#This Row],[Positiv]]/Tabelle1425371011121314161517191822[[#This Row],[Test]]</f>
        <v>6.1051338805312967E-3</v>
      </c>
      <c r="N22" s="60">
        <v>151</v>
      </c>
    </row>
    <row r="23" spans="8:14" x14ac:dyDescent="0.25">
      <c r="I23" s="41">
        <v>28</v>
      </c>
      <c r="J23" s="42">
        <v>510551</v>
      </c>
      <c r="K23" s="42">
        <v>2992</v>
      </c>
      <c r="L23" s="43">
        <f>Tabelle1425371011121314161517191822[[#This Row],[Positiv Rate]]</f>
        <v>5.8603352064730066E-3</v>
      </c>
      <c r="M23" s="50">
        <f>Tabelle1425371011121314161517191822[[#This Row],[Positiv]]/Tabelle1425371011121314161517191822[[#This Row],[Test]]</f>
        <v>5.8603352064730066E-3</v>
      </c>
      <c r="N23" s="60">
        <v>179</v>
      </c>
    </row>
    <row r="24" spans="8:14" x14ac:dyDescent="0.25">
      <c r="I24" s="41">
        <v>29</v>
      </c>
      <c r="J24" s="42">
        <v>538701</v>
      </c>
      <c r="K24" s="42">
        <v>3497</v>
      </c>
      <c r="L24" s="43">
        <f>Tabelle1425371011121314161517191822[[#This Row],[Positiv Rate]]</f>
        <v>6.4915416901026729E-3</v>
      </c>
      <c r="M24" s="50">
        <f>Tabelle1425371011121314161517191822[[#This Row],[Positiv]]/Tabelle1425371011121314161517191822[[#This Row],[Test]]</f>
        <v>6.4915416901026729E-3</v>
      </c>
      <c r="N24" s="60">
        <v>177</v>
      </c>
    </row>
    <row r="25" spans="8:14" x14ac:dyDescent="0.25">
      <c r="I25" s="41">
        <v>30</v>
      </c>
      <c r="J25" s="42">
        <v>553429</v>
      </c>
      <c r="K25" s="42">
        <v>4458</v>
      </c>
      <c r="L25" s="43">
        <f>Tabelle1425371011121314161517191822[[#This Row],[Positiv Rate]]</f>
        <v>8.0552338240316278E-3</v>
      </c>
      <c r="M25" s="50">
        <f>Tabelle1425371011121314161517191822[[#This Row],[Positiv]]/Tabelle1425371011121314161517191822[[#This Row],[Test]]</f>
        <v>8.0552338240316278E-3</v>
      </c>
      <c r="N25" s="60">
        <v>182</v>
      </c>
    </row>
    <row r="26" spans="8:14" x14ac:dyDescent="0.25">
      <c r="I26" s="41">
        <v>31</v>
      </c>
      <c r="J26" s="42">
        <v>586620</v>
      </c>
      <c r="K26" s="42">
        <v>5738</v>
      </c>
      <c r="L26" s="43">
        <f>Tabelle1425371011121314161517191822[[#This Row],[Positiv Rate]]</f>
        <v>9.7814598888547946E-3</v>
      </c>
      <c r="M26" s="50">
        <f>Tabelle1425371011121314161517191822[[#This Row],[Positiv]]/Tabelle1425371011121314161517191822[[#This Row],[Test]]</f>
        <v>9.7814598888547946E-3</v>
      </c>
      <c r="N26" s="60">
        <v>170</v>
      </c>
    </row>
    <row r="27" spans="8:14" ht="15" customHeight="1" x14ac:dyDescent="0.25">
      <c r="H27" s="61"/>
      <c r="I27" s="41">
        <v>32</v>
      </c>
      <c r="J27" s="42">
        <v>716768</v>
      </c>
      <c r="K27" s="42">
        <v>7263</v>
      </c>
      <c r="L27" s="43">
        <f>Tabelle1425371011121314161517191822[[#This Row],[Positiv Rate]]</f>
        <v>1.013298584758248E-2</v>
      </c>
      <c r="M27" s="50">
        <f>Tabelle1425371011121314161517191822[[#This Row],[Positiv]]/Tabelle1425371011121314161517191822[[#This Row],[Test]]</f>
        <v>1.013298584758248E-2</v>
      </c>
      <c r="N27" s="60">
        <v>168</v>
      </c>
    </row>
    <row r="28" spans="8:14" ht="15" customHeight="1" x14ac:dyDescent="0.25">
      <c r="H28" s="61"/>
      <c r="I28" s="41">
        <v>33</v>
      </c>
      <c r="J28" s="42">
        <v>835384</v>
      </c>
      <c r="K28" s="42">
        <v>8121</v>
      </c>
      <c r="L28" s="43">
        <f>Tabelle1425371011121314161517191822[[#This Row],[Positiv Rate]]</f>
        <v>9.7212778793943858E-3</v>
      </c>
      <c r="M28" s="50">
        <f>Tabelle1425371011121314161517191822[[#This Row],[Positiv]]/Tabelle1425371011121314161517191822[[#This Row],[Test]]</f>
        <v>9.7212778793943858E-3</v>
      </c>
      <c r="N28" s="60">
        <v>183</v>
      </c>
    </row>
    <row r="29" spans="8:14" x14ac:dyDescent="0.25">
      <c r="H29" s="61"/>
      <c r="I29" s="41">
        <v>34</v>
      </c>
      <c r="J29" s="42">
        <v>1084446</v>
      </c>
      <c r="K29" s="42">
        <v>9143</v>
      </c>
      <c r="L29" s="43">
        <f>Tabelle1425371011121314161517191822[[#This Row],[Positiv Rate]]</f>
        <v>8.4310329882723526E-3</v>
      </c>
      <c r="M29" s="51">
        <f>Tabelle1425371011121314161517191822[[#This Row],[Positiv]]/Tabelle1425371011121314161517191822[[#This Row],[Test]]</f>
        <v>8.4310329882723526E-3</v>
      </c>
      <c r="N29" s="60">
        <v>196</v>
      </c>
    </row>
    <row r="30" spans="8:14" x14ac:dyDescent="0.25">
      <c r="H30" s="61"/>
      <c r="I30" s="41">
        <v>35</v>
      </c>
      <c r="J30" s="42">
        <v>1120883</v>
      </c>
      <c r="K30" s="42">
        <v>8323</v>
      </c>
      <c r="L30" s="43">
        <f>Tabelle1425371011121314161517191822[[#This Row],[Positiv Rate]]</f>
        <v>7.4253958709338975E-3</v>
      </c>
      <c r="M30" s="51">
        <f>Tabelle1425371011121314161517191822[[#This Row],[Positiv]]/Tabelle1425371011121314161517191822[[#This Row],[Test]]</f>
        <v>7.4253958709338975E-3</v>
      </c>
      <c r="N30" s="60">
        <v>191</v>
      </c>
    </row>
    <row r="31" spans="8:14" x14ac:dyDescent="0.25">
      <c r="H31" s="61"/>
      <c r="I31" s="41">
        <v>36</v>
      </c>
      <c r="J31" s="42">
        <v>1072316</v>
      </c>
      <c r="K31" s="42">
        <v>8294</v>
      </c>
      <c r="L31" s="43">
        <f>Tabelle1425371011121314161517191822[[#This Row],[Positiv Rate]]</f>
        <v>7.7346603053577486E-3</v>
      </c>
      <c r="M31" s="51">
        <f>Tabelle1425371011121314161517191822[[#This Row],[Positiv]]/Tabelle1425371011121314161517191822[[#This Row],[Test]]</f>
        <v>7.7346603053577486E-3</v>
      </c>
      <c r="N31" s="60">
        <v>192</v>
      </c>
    </row>
    <row r="32" spans="8:14" x14ac:dyDescent="0.25">
      <c r="I32" s="41">
        <v>37</v>
      </c>
      <c r="J32" s="42">
        <v>1164932</v>
      </c>
      <c r="K32" s="42">
        <v>10046</v>
      </c>
      <c r="L32" s="43">
        <f>Tabelle1425371011121314161517191822[[#This Row],[Positiv Rate]]</f>
        <v>8.6236793220548502E-3</v>
      </c>
      <c r="M32" s="51">
        <f>Tabelle1425371011121314161517191822[[#This Row],[Positiv]]/Tabelle1425371011121314161517191822[[#This Row],[Test]]</f>
        <v>8.6236793220548502E-3</v>
      </c>
      <c r="N32" s="60">
        <v>194</v>
      </c>
    </row>
    <row r="33" spans="9:14" x14ac:dyDescent="0.25">
      <c r="I33" s="41">
        <v>38</v>
      </c>
      <c r="J33" s="42">
        <v>1146565</v>
      </c>
      <c r="K33" s="42">
        <v>13261</v>
      </c>
      <c r="L33" s="43">
        <f>Tabelle1425371011121314161517191822[[#This Row],[Positiv Rate]]</f>
        <v>1.1565851042025529E-2</v>
      </c>
      <c r="M33" s="51">
        <f>Tabelle1425371011121314161517191822[[#This Row],[Positiv]]/Tabelle1425371011121314161517191822[[#This Row],[Test]]</f>
        <v>1.1565851042025529E-2</v>
      </c>
      <c r="N33" s="60">
        <v>203</v>
      </c>
    </row>
    <row r="34" spans="9:14" x14ac:dyDescent="0.25">
      <c r="I34" s="41">
        <v>39</v>
      </c>
      <c r="J34" s="21">
        <v>1155995</v>
      </c>
      <c r="K34" s="21">
        <v>14094</v>
      </c>
      <c r="L34" s="32">
        <f>Tabelle1425371011121314161517191822[[#This Row],[Positiv Rate]]</f>
        <v>1.2192094256463048E-2</v>
      </c>
      <c r="M34" s="51">
        <f>Tabelle1425371011121314161517191822[[#This Row],[Positiv]]/Tabelle1425371011121314161517191822[[#This Row],[Test]]</f>
        <v>1.2192094256463048E-2</v>
      </c>
      <c r="N34" s="60">
        <v>189</v>
      </c>
    </row>
    <row r="35" spans="9:14" x14ac:dyDescent="0.25">
      <c r="I35" s="41">
        <v>40</v>
      </c>
      <c r="J35" s="21">
        <v>1112967</v>
      </c>
      <c r="K35" s="21">
        <v>19407</v>
      </c>
      <c r="L35" s="32">
        <f>Tabelle1425371011121314161517191822[[#This Row],[Positiv Rate]]</f>
        <v>1.7437174687120104E-2</v>
      </c>
      <c r="M35" s="51">
        <f>Tabelle1425371011121314161517191822[[#This Row],[Positiv]]/Tabelle1425371011121314161517191822[[#This Row],[Test]]</f>
        <v>1.7437174687120104E-2</v>
      </c>
      <c r="N35" s="60">
        <v>193</v>
      </c>
    </row>
    <row r="36" spans="9:14" x14ac:dyDescent="0.25">
      <c r="I36" s="41">
        <v>41</v>
      </c>
      <c r="J36" s="21">
        <v>1188338</v>
      </c>
      <c r="K36" s="21">
        <v>29567</v>
      </c>
      <c r="L36" s="32">
        <f>Tabelle1425371011121314161517191822[[#This Row],[Positiv Rate]]</f>
        <v>2.4880968209381505E-2</v>
      </c>
      <c r="M36" s="51">
        <f>Tabelle1425371011121314161517191822[[#This Row],[Positiv]]/Tabelle1425371011121314161517191822[[#This Row],[Test]]</f>
        <v>2.4880968209381505E-2</v>
      </c>
      <c r="N36" s="60">
        <v>191</v>
      </c>
    </row>
    <row r="37" spans="9:14" x14ac:dyDescent="0.25">
      <c r="I37" s="41">
        <v>42</v>
      </c>
      <c r="J37" s="21">
        <v>1263716</v>
      </c>
      <c r="K37" s="21">
        <v>44759</v>
      </c>
      <c r="L37" s="32">
        <f>Tabelle1425371011121314161517191822[[#This Row],[Positiv Rate]]</f>
        <v>3.5418559233245446E-2</v>
      </c>
      <c r="M37" s="51">
        <f>Tabelle1425371011121314161517191822[[#This Row],[Positiv]]/Tabelle1425371011121314161517191822[[#This Row],[Test]]</f>
        <v>3.5418559233245446E-2</v>
      </c>
      <c r="N37" s="60">
        <v>200</v>
      </c>
    </row>
    <row r="38" spans="9:14" x14ac:dyDescent="0.25">
      <c r="I38" s="41">
        <v>43</v>
      </c>
      <c r="J38" s="21">
        <v>1418726</v>
      </c>
      <c r="K38" s="21">
        <v>78106</v>
      </c>
      <c r="L38" s="32">
        <f>Tabelle1425371011121314161517191822[[#This Row],[Positiv Rate]]</f>
        <v>5.5053618528172456E-2</v>
      </c>
      <c r="M38" s="51">
        <f>Tabelle1425371011121314161517191822[[#This Row],[Positiv]]/Tabelle1425371011121314161517191822[[#This Row],[Test]]</f>
        <v>5.5053618528172456E-2</v>
      </c>
      <c r="N38" s="60">
        <v>204</v>
      </c>
    </row>
    <row r="39" spans="9:14" x14ac:dyDescent="0.25">
      <c r="I39" s="41">
        <v>44</v>
      </c>
      <c r="J39" s="21">
        <v>1631343</v>
      </c>
      <c r="K39" s="21">
        <v>116673</v>
      </c>
      <c r="L39" s="32">
        <f>Tabelle1425371011121314161517191822[[#This Row],[Positiv Rate]]</f>
        <v>7.1519600721614035E-2</v>
      </c>
      <c r="M39" s="51">
        <f>Tabelle1425371011121314161517191822[[#This Row],[Positiv]]/Tabelle1425371011121314161517191822[[#This Row],[Test]]</f>
        <v>7.1519600721614035E-2</v>
      </c>
      <c r="N39" s="60">
        <v>204</v>
      </c>
    </row>
    <row r="40" spans="9:14" x14ac:dyDescent="0.25">
      <c r="I40" s="41">
        <v>45</v>
      </c>
      <c r="J40" s="21">
        <v>1608125</v>
      </c>
      <c r="K40" s="21">
        <v>126141</v>
      </c>
      <c r="L40" s="32">
        <f>Tabelle1425371011121314161517191822[[#This Row],[Positiv Rate]]</f>
        <v>7.8439797901282554E-2</v>
      </c>
      <c r="M40" s="51">
        <f>Tabelle1425371011121314161517191822[[#This Row],[Positiv]]/Tabelle1425371011121314161517191822[[#This Row],[Test]]</f>
        <v>7.8439797901282554E-2</v>
      </c>
      <c r="N40" s="60">
        <v>203</v>
      </c>
    </row>
    <row r="41" spans="9:14" x14ac:dyDescent="0.25">
      <c r="I41" s="41">
        <v>46</v>
      </c>
      <c r="J41" s="21">
        <v>1396088</v>
      </c>
      <c r="K41" s="21">
        <v>125200</v>
      </c>
      <c r="L41" s="32">
        <f>Tabelle1425371011121314161517191822[[#This Row],[Positiv Rate]]</f>
        <v>8.9679160625977736E-2</v>
      </c>
      <c r="M41" s="51">
        <f>Tabelle1425371011121314161517191822[[#This Row],[Positiv]]/Tabelle1425371011121314161517191822[[#This Row],[Test]]</f>
        <v>8.9679160625977736E-2</v>
      </c>
      <c r="N41" s="60">
        <v>199</v>
      </c>
    </row>
    <row r="42" spans="9:14" x14ac:dyDescent="0.25">
      <c r="I42" s="41">
        <v>47</v>
      </c>
      <c r="J42" s="21">
        <v>1363701</v>
      </c>
      <c r="K42" s="21">
        <v>127330</v>
      </c>
      <c r="L42" s="32">
        <f>Tabelle1425371011121314161517191822[[#This Row],[Positiv Rate]]</f>
        <v>9.3370907552315349E-2</v>
      </c>
      <c r="M42" s="51">
        <f>Tabelle1425371011121314161517191822[[#This Row],[Positiv]]/Tabelle1425371011121314161517191822[[#This Row],[Test]]</f>
        <v>9.3370907552315349E-2</v>
      </c>
      <c r="N42" s="60">
        <v>198</v>
      </c>
    </row>
    <row r="43" spans="9:14" x14ac:dyDescent="0.25">
      <c r="I43" s="41">
        <v>48</v>
      </c>
      <c r="J43" s="21">
        <v>1340093</v>
      </c>
      <c r="K43" s="21">
        <v>124511</v>
      </c>
      <c r="L43" s="32">
        <f>Tabelle1425371011121314161517191822[[#This Row],[Positiv Rate]]</f>
        <v>9.2912208331809812E-2</v>
      </c>
      <c r="M43" s="51">
        <f>Tabelle1425371011121314161517191822[[#This Row],[Positiv]]/Tabelle1425371011121314161517191822[[#This Row],[Test]]</f>
        <v>9.2912208331809812E-2</v>
      </c>
      <c r="N43" s="60">
        <v>199</v>
      </c>
    </row>
    <row r="44" spans="9:14" ht="15.75" thickBot="1" x14ac:dyDescent="0.3">
      <c r="I44" s="41">
        <v>49</v>
      </c>
      <c r="J44" s="21">
        <v>1297303</v>
      </c>
      <c r="K44" s="21">
        <v>132961</v>
      </c>
      <c r="L44" s="32">
        <f>Tabelle1425371011121314161517191822[[#This Row],[Positiv Rate]]</f>
        <v>0.10249032030296701</v>
      </c>
      <c r="M44" s="51">
        <f>Tabelle1425371011121314161517191822[[#This Row],[Positiv]]/Tabelle1425371011121314161517191822[[#This Row],[Test]]</f>
        <v>0.10249032030296701</v>
      </c>
      <c r="N44" s="60">
        <v>193</v>
      </c>
    </row>
    <row r="45" spans="9:14" x14ac:dyDescent="0.25">
      <c r="I45" s="35" t="s">
        <v>6</v>
      </c>
      <c r="J45" s="36">
        <f>SUM(Tabelle1425371011121314161517191822[Test])</f>
        <v>30494036</v>
      </c>
      <c r="K45" s="37">
        <f>SUM(Tabelle1425371011121314161517191822[Positiv])</f>
        <v>1252323</v>
      </c>
    </row>
  </sheetData>
  <mergeCells count="1">
    <mergeCell ref="H27:H31"/>
  </mergeCells>
  <pageMargins left="0" right="0" top="0" bottom="0" header="0.31496062992125984" footer="0.31496062992125984"/>
  <pageSetup paperSize="9" orientation="portrait" horizontalDpi="4294967293" vertic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661C-EF9C-43F9-9D8A-57ADC8E4A3B4}">
  <dimension ref="B3:N44"/>
  <sheetViews>
    <sheetView showGridLines="0" zoomScale="85" zoomScaleNormal="85" workbookViewId="0">
      <selection activeCell="Q18" sqref="Q18"/>
    </sheetView>
  </sheetViews>
  <sheetFormatPr baseColWidth="10" defaultRowHeight="15" x14ac:dyDescent="0.25"/>
  <cols>
    <col min="7" max="7" width="33" customWidth="1"/>
    <col min="8" max="8" width="26.140625" customWidth="1"/>
    <col min="11" max="11" width="9" customWidth="1"/>
    <col min="12" max="12" width="6.5703125" customWidth="1"/>
    <col min="13" max="13" width="0.7109375" customWidth="1"/>
    <col min="14" max="14" width="6.5703125" hidden="1" customWidth="1"/>
    <col min="15" max="15" width="6.5703125" customWidth="1"/>
  </cols>
  <sheetData>
    <row r="3" spans="2:14" ht="15.75" thickBot="1" x14ac:dyDescent="0.3"/>
    <row r="4" spans="2:14" ht="18.75" customHeight="1" x14ac:dyDescent="0.25">
      <c r="H4" s="23" t="s">
        <v>9</v>
      </c>
      <c r="I4" s="38" t="s">
        <v>0</v>
      </c>
      <c r="J4" s="39" t="s">
        <v>1</v>
      </c>
      <c r="K4" s="39" t="s">
        <v>2</v>
      </c>
      <c r="L4" s="39" t="s">
        <v>10</v>
      </c>
      <c r="M4" s="52" t="s">
        <v>3</v>
      </c>
      <c r="N4" s="4" t="s">
        <v>4</v>
      </c>
    </row>
    <row r="5" spans="2:14" ht="18.75" customHeight="1" x14ac:dyDescent="0.25">
      <c r="H5" s="22">
        <v>44146</v>
      </c>
      <c r="I5" s="41">
        <v>10</v>
      </c>
      <c r="J5" s="42">
        <v>124716</v>
      </c>
      <c r="K5" s="42">
        <v>3892</v>
      </c>
      <c r="L5" s="43">
        <f>Tabelle14253710111213141615171918[[#This Row],[Positiv Rate]]</f>
        <v>3.1206902081529233E-2</v>
      </c>
      <c r="M5" s="50">
        <f>Tabelle14253710111213141615171918[[#This Row],[Positiv]]/Tabelle14253710111213141615171918[[#This Row],[Test]]</f>
        <v>3.1206902081529233E-2</v>
      </c>
      <c r="N5" s="59">
        <v>90</v>
      </c>
    </row>
    <row r="6" spans="2:14" ht="15.75" customHeight="1" x14ac:dyDescent="0.25">
      <c r="H6" s="23" t="s">
        <v>11</v>
      </c>
      <c r="I6" s="41">
        <v>11</v>
      </c>
      <c r="J6" s="42">
        <v>127457</v>
      </c>
      <c r="K6" s="42">
        <v>7582</v>
      </c>
      <c r="L6" s="43">
        <f>Tabelle14253710111213141615171918[[#This Row],[Positiv Rate]]</f>
        <v>5.9486728857575499E-2</v>
      </c>
      <c r="M6" s="50">
        <f>Tabelle14253710111213141615171918[[#This Row],[Positiv]]/Tabelle14253710111213141615171918[[#This Row],[Test]]</f>
        <v>5.9486728857575499E-2</v>
      </c>
      <c r="N6" s="59">
        <v>114</v>
      </c>
    </row>
    <row r="7" spans="2:14" x14ac:dyDescent="0.25">
      <c r="H7" s="33" t="s">
        <v>12</v>
      </c>
      <c r="I7" s="41">
        <v>12</v>
      </c>
      <c r="J7" s="42">
        <v>348619</v>
      </c>
      <c r="K7" s="42">
        <v>23820</v>
      </c>
      <c r="L7" s="43">
        <f>Tabelle14253710111213141615171918[[#This Row],[Positiv Rate]]</f>
        <v>6.8326740653836995E-2</v>
      </c>
      <c r="M7" s="50">
        <f>Tabelle14253710111213141615171918[[#This Row],[Positiv]]/Tabelle14253710111213141615171918[[#This Row],[Test]]</f>
        <v>6.8326740653836995E-2</v>
      </c>
      <c r="N7" s="59">
        <v>152</v>
      </c>
    </row>
    <row r="8" spans="2:14" x14ac:dyDescent="0.25">
      <c r="I8" s="41">
        <v>13</v>
      </c>
      <c r="J8" s="42">
        <v>361515</v>
      </c>
      <c r="K8" s="42">
        <v>31414</v>
      </c>
      <c r="L8" s="43">
        <f>Tabelle14253710111213141615171918[[#This Row],[Positiv Rate]]</f>
        <v>8.6895426192550793E-2</v>
      </c>
      <c r="M8" s="50">
        <f>Tabelle14253710111213141615171918[[#This Row],[Positiv]]/Tabelle14253710111213141615171918[[#This Row],[Test]]</f>
        <v>8.6895426192550793E-2</v>
      </c>
      <c r="N8" s="59">
        <v>151</v>
      </c>
    </row>
    <row r="9" spans="2:14" x14ac:dyDescent="0.25">
      <c r="I9" s="41">
        <v>14</v>
      </c>
      <c r="J9" s="42">
        <v>408348</v>
      </c>
      <c r="K9" s="42">
        <v>36885</v>
      </c>
      <c r="L9" s="43">
        <f>Tabelle14253710111213141615171918[[#This Row],[Positiv Rate]]</f>
        <v>9.0327367833318642E-2</v>
      </c>
      <c r="M9" s="50">
        <f>Tabelle14253710111213141615171918[[#This Row],[Positiv]]/Tabelle14253710111213141615171918[[#This Row],[Test]]</f>
        <v>9.0327367833318642E-2</v>
      </c>
      <c r="N9" s="59">
        <v>154</v>
      </c>
    </row>
    <row r="10" spans="2:14" x14ac:dyDescent="0.25">
      <c r="I10" s="41">
        <v>15</v>
      </c>
      <c r="J10" s="42">
        <v>380197</v>
      </c>
      <c r="K10" s="42">
        <v>30791</v>
      </c>
      <c r="L10" s="43">
        <f>Tabelle14253710111213141615171918[[#This Row],[Positiv Rate]]</f>
        <v>8.0986962022320003E-2</v>
      </c>
      <c r="M10" s="50">
        <f>Tabelle14253710111213141615171918[[#This Row],[Positiv]]/Tabelle14253710111213141615171918[[#This Row],[Test]]</f>
        <v>8.0986962022320003E-2</v>
      </c>
      <c r="N10" s="60">
        <v>164</v>
      </c>
    </row>
    <row r="11" spans="2:14" x14ac:dyDescent="0.25">
      <c r="I11" s="41">
        <v>16</v>
      </c>
      <c r="J11" s="42">
        <v>331902</v>
      </c>
      <c r="K11" s="42">
        <v>22082</v>
      </c>
      <c r="L11" s="43">
        <f>Tabelle14253710111213141615171918[[#This Row],[Positiv Rate]]</f>
        <v>6.65316870642539E-2</v>
      </c>
      <c r="M11" s="50">
        <f>Tabelle14253710111213141615171918[[#This Row],[Positiv]]/Tabelle14253710111213141615171918[[#This Row],[Test]]</f>
        <v>6.65316870642539E-2</v>
      </c>
      <c r="N11" s="60">
        <v>168</v>
      </c>
    </row>
    <row r="12" spans="2:14" x14ac:dyDescent="0.25">
      <c r="B12" s="23" t="str">
        <f>H4</f>
        <v>Stand:</v>
      </c>
      <c r="C12" s="22">
        <f>H5</f>
        <v>44146</v>
      </c>
      <c r="I12" s="41">
        <v>17</v>
      </c>
      <c r="J12" s="42">
        <v>363890</v>
      </c>
      <c r="K12" s="42">
        <v>18083</v>
      </c>
      <c r="L12" s="43">
        <f>Tabelle14253710111213141615171918[[#This Row],[Positiv Rate]]</f>
        <v>4.9693588721866501E-2</v>
      </c>
      <c r="M12" s="50">
        <f>Tabelle14253710111213141615171918[[#This Row],[Positiv]]/Tabelle14253710111213141615171918[[#This Row],[Test]]</f>
        <v>4.9693588721866501E-2</v>
      </c>
      <c r="N12" s="60">
        <v>178</v>
      </c>
    </row>
    <row r="13" spans="2:14" x14ac:dyDescent="0.25">
      <c r="I13" s="41">
        <v>18</v>
      </c>
      <c r="J13" s="42">
        <v>326788</v>
      </c>
      <c r="K13" s="42">
        <v>12608</v>
      </c>
      <c r="L13" s="43">
        <f>Tabelle14253710111213141615171918[[#This Row],[Positiv Rate]]</f>
        <v>3.8581588063209174E-2</v>
      </c>
      <c r="M13" s="50">
        <f>Tabelle14253710111213141615171918[[#This Row],[Positiv]]/Tabelle14253710111213141615171918[[#This Row],[Test]]</f>
        <v>3.8581588063209174E-2</v>
      </c>
      <c r="N13" s="60">
        <v>175</v>
      </c>
    </row>
    <row r="14" spans="2:14" x14ac:dyDescent="0.25">
      <c r="I14" s="41">
        <v>19</v>
      </c>
      <c r="J14" s="42">
        <v>403875</v>
      </c>
      <c r="K14" s="42">
        <v>10755</v>
      </c>
      <c r="L14" s="43">
        <f>Tabelle14253710111213141615171918[[#This Row],[Positiv Rate]]</f>
        <v>2.6629526462395543E-2</v>
      </c>
      <c r="M14" s="50">
        <f>Tabelle14253710111213141615171918[[#This Row],[Positiv]]/Tabelle14253710111213141615171918[[#This Row],[Test]]</f>
        <v>2.6629526462395543E-2</v>
      </c>
      <c r="N14" s="60">
        <v>182</v>
      </c>
    </row>
    <row r="15" spans="2:14" x14ac:dyDescent="0.25">
      <c r="I15" s="41">
        <v>20</v>
      </c>
      <c r="J15" s="42">
        <v>432076</v>
      </c>
      <c r="K15" s="42">
        <v>7080</v>
      </c>
      <c r="L15" s="43">
        <f>Tabelle14253710111213141615171918[[#This Row],[Positiv Rate]]</f>
        <v>1.638600616558198E-2</v>
      </c>
      <c r="M15" s="50">
        <f>Tabelle14253710111213141615171918[[#This Row],[Positiv]]/Tabelle14253710111213141615171918[[#This Row],[Test]]</f>
        <v>1.638600616558198E-2</v>
      </c>
      <c r="N15" s="60">
        <v>185</v>
      </c>
    </row>
    <row r="16" spans="2:14" x14ac:dyDescent="0.25">
      <c r="I16" s="41">
        <v>21</v>
      </c>
      <c r="J16" s="42">
        <v>354260</v>
      </c>
      <c r="K16" s="42">
        <v>5228</v>
      </c>
      <c r="L16" s="43">
        <f>Tabelle14253710111213141615171918[[#This Row],[Positiv Rate]]</f>
        <v>1.4757522723423474E-2</v>
      </c>
      <c r="M16" s="50">
        <f>Tabelle14253710111213141615171918[[#This Row],[Positiv]]/Tabelle14253710111213141615171918[[#This Row],[Test]]</f>
        <v>1.4757522723423474E-2</v>
      </c>
      <c r="N16" s="60">
        <v>178</v>
      </c>
    </row>
    <row r="17" spans="8:14" x14ac:dyDescent="0.25">
      <c r="I17" s="41">
        <v>22</v>
      </c>
      <c r="J17" s="42">
        <v>401589</v>
      </c>
      <c r="K17" s="42">
        <v>4267</v>
      </c>
      <c r="L17" s="43">
        <f>Tabelle14253710111213141615171918[[#This Row],[Positiv Rate]]</f>
        <v>1.0625291031377852E-2</v>
      </c>
      <c r="M17" s="50">
        <f>Tabelle14253710111213141615171918[[#This Row],[Positiv]]/Tabelle14253710111213141615171918[[#This Row],[Test]]</f>
        <v>1.0625291031377852E-2</v>
      </c>
      <c r="N17" s="60">
        <v>173</v>
      </c>
    </row>
    <row r="18" spans="8:14" x14ac:dyDescent="0.25">
      <c r="I18" s="41">
        <v>23</v>
      </c>
      <c r="J18" s="42">
        <v>337217</v>
      </c>
      <c r="K18" s="42">
        <v>3085</v>
      </c>
      <c r="L18" s="43">
        <f>Tabelle14253710111213141615171918[[#This Row],[Positiv Rate]]</f>
        <v>9.1484118534949314E-3</v>
      </c>
      <c r="M18" s="50">
        <f>Tabelle14253710111213141615171918[[#This Row],[Positiv]]/Tabelle14253710111213141615171918[[#This Row],[Test]]</f>
        <v>9.1484118534949314E-3</v>
      </c>
      <c r="N18" s="60">
        <v>175</v>
      </c>
    </row>
    <row r="19" spans="8:14" x14ac:dyDescent="0.25">
      <c r="I19" s="41">
        <v>24</v>
      </c>
      <c r="J19" s="42">
        <v>327196</v>
      </c>
      <c r="K19" s="42">
        <v>2816</v>
      </c>
      <c r="L19" s="43">
        <f>Tabelle14253710111213141615171918[[#This Row],[Positiv Rate]]</f>
        <v>8.6064621816892631E-3</v>
      </c>
      <c r="M19" s="50">
        <f>Tabelle14253710111213141615171918[[#This Row],[Positiv]]/Tabelle14253710111213141615171918[[#This Row],[Test]]</f>
        <v>8.6064621816892631E-3</v>
      </c>
      <c r="N19" s="60">
        <v>173</v>
      </c>
    </row>
    <row r="20" spans="8:14" x14ac:dyDescent="0.25">
      <c r="I20" s="41">
        <v>25</v>
      </c>
      <c r="J20" s="42">
        <v>386316</v>
      </c>
      <c r="K20" s="42">
        <v>5276</v>
      </c>
      <c r="L20" s="43">
        <f>Tabelle14253710111213141615171918[[#This Row],[Positiv Rate]]</f>
        <v>1.3657213265823833E-2</v>
      </c>
      <c r="M20" s="50">
        <f>Tabelle14253710111213141615171918[[#This Row],[Positiv]]/Tabelle14253710111213141615171918[[#This Row],[Test]]</f>
        <v>1.3657213265823833E-2</v>
      </c>
      <c r="N20" s="60">
        <v>174</v>
      </c>
    </row>
    <row r="21" spans="8:14" x14ac:dyDescent="0.25">
      <c r="I21" s="41">
        <v>26</v>
      </c>
      <c r="J21" s="42">
        <v>464626</v>
      </c>
      <c r="K21" s="42">
        <v>3682</v>
      </c>
      <c r="L21" s="43">
        <f>Tabelle14253710111213141615171918[[#This Row],[Positiv Rate]]</f>
        <v>7.9246533771248281E-3</v>
      </c>
      <c r="M21" s="50">
        <f>Tabelle14253710111213141615171918[[#This Row],[Positiv]]/Tabelle14253710111213141615171918[[#This Row],[Test]]</f>
        <v>7.9246533771248281E-3</v>
      </c>
      <c r="N21" s="60">
        <v>179</v>
      </c>
    </row>
    <row r="22" spans="8:14" x14ac:dyDescent="0.25">
      <c r="I22" s="41">
        <v>27</v>
      </c>
      <c r="J22" s="42">
        <v>506459</v>
      </c>
      <c r="K22" s="42">
        <v>3092</v>
      </c>
      <c r="L22" s="43">
        <f>Tabelle14253710111213141615171918[[#This Row],[Positiv Rate]]</f>
        <v>6.1051338805312967E-3</v>
      </c>
      <c r="M22" s="50">
        <f>Tabelle14253710111213141615171918[[#This Row],[Positiv]]/Tabelle14253710111213141615171918[[#This Row],[Test]]</f>
        <v>6.1051338805312967E-3</v>
      </c>
      <c r="N22" s="60">
        <v>151</v>
      </c>
    </row>
    <row r="23" spans="8:14" x14ac:dyDescent="0.25">
      <c r="I23" s="41">
        <v>28</v>
      </c>
      <c r="J23" s="42">
        <v>510551</v>
      </c>
      <c r="K23" s="42">
        <v>2992</v>
      </c>
      <c r="L23" s="43">
        <f>Tabelle14253710111213141615171918[[#This Row],[Positiv Rate]]</f>
        <v>5.8603352064730066E-3</v>
      </c>
      <c r="M23" s="50">
        <f>Tabelle14253710111213141615171918[[#This Row],[Positiv]]/Tabelle14253710111213141615171918[[#This Row],[Test]]</f>
        <v>5.8603352064730066E-3</v>
      </c>
      <c r="N23" s="60">
        <v>179</v>
      </c>
    </row>
    <row r="24" spans="8:14" x14ac:dyDescent="0.25">
      <c r="I24" s="41">
        <v>29</v>
      </c>
      <c r="J24" s="42">
        <v>538701</v>
      </c>
      <c r="K24" s="42">
        <v>3497</v>
      </c>
      <c r="L24" s="43">
        <f>Tabelle14253710111213141615171918[[#This Row],[Positiv Rate]]</f>
        <v>6.4915416901026729E-3</v>
      </c>
      <c r="M24" s="50">
        <f>Tabelle14253710111213141615171918[[#This Row],[Positiv]]/Tabelle14253710111213141615171918[[#This Row],[Test]]</f>
        <v>6.4915416901026729E-3</v>
      </c>
      <c r="N24" s="60">
        <v>177</v>
      </c>
    </row>
    <row r="25" spans="8:14" x14ac:dyDescent="0.25">
      <c r="I25" s="41">
        <v>30</v>
      </c>
      <c r="J25" s="42">
        <v>553429</v>
      </c>
      <c r="K25" s="42">
        <v>4458</v>
      </c>
      <c r="L25" s="43">
        <f>Tabelle14253710111213141615171918[[#This Row],[Positiv Rate]]</f>
        <v>8.0552338240316278E-3</v>
      </c>
      <c r="M25" s="50">
        <f>Tabelle14253710111213141615171918[[#This Row],[Positiv]]/Tabelle14253710111213141615171918[[#This Row],[Test]]</f>
        <v>8.0552338240316278E-3</v>
      </c>
      <c r="N25" s="60">
        <v>182</v>
      </c>
    </row>
    <row r="26" spans="8:14" x14ac:dyDescent="0.25">
      <c r="I26" s="41">
        <v>31</v>
      </c>
      <c r="J26" s="42">
        <v>586620</v>
      </c>
      <c r="K26" s="42">
        <v>5738</v>
      </c>
      <c r="L26" s="43">
        <f>Tabelle14253710111213141615171918[[#This Row],[Positiv Rate]]</f>
        <v>9.7814598888547946E-3</v>
      </c>
      <c r="M26" s="50">
        <f>Tabelle14253710111213141615171918[[#This Row],[Positiv]]/Tabelle14253710111213141615171918[[#This Row],[Test]]</f>
        <v>9.7814598888547946E-3</v>
      </c>
      <c r="N26" s="60">
        <v>170</v>
      </c>
    </row>
    <row r="27" spans="8:14" ht="15" customHeight="1" x14ac:dyDescent="0.25">
      <c r="H27" s="61"/>
      <c r="I27" s="41">
        <v>32</v>
      </c>
      <c r="J27" s="42">
        <v>716768</v>
      </c>
      <c r="K27" s="42">
        <v>7263</v>
      </c>
      <c r="L27" s="43">
        <f>Tabelle14253710111213141615171918[[#This Row],[Positiv Rate]]</f>
        <v>1.013298584758248E-2</v>
      </c>
      <c r="M27" s="50">
        <f>Tabelle14253710111213141615171918[[#This Row],[Positiv]]/Tabelle14253710111213141615171918[[#This Row],[Test]]</f>
        <v>1.013298584758248E-2</v>
      </c>
      <c r="N27" s="60">
        <v>168</v>
      </c>
    </row>
    <row r="28" spans="8:14" ht="15" customHeight="1" x14ac:dyDescent="0.25">
      <c r="H28" s="61"/>
      <c r="I28" s="41">
        <v>33</v>
      </c>
      <c r="J28" s="42">
        <v>835384</v>
      </c>
      <c r="K28" s="42">
        <v>8121</v>
      </c>
      <c r="L28" s="43">
        <f>Tabelle14253710111213141615171918[[#This Row],[Positiv Rate]]</f>
        <v>9.7212778793943858E-3</v>
      </c>
      <c r="M28" s="50">
        <f>Tabelle14253710111213141615171918[[#This Row],[Positiv]]/Tabelle14253710111213141615171918[[#This Row],[Test]]</f>
        <v>9.7212778793943858E-3</v>
      </c>
      <c r="N28" s="60">
        <v>183</v>
      </c>
    </row>
    <row r="29" spans="8:14" x14ac:dyDescent="0.25">
      <c r="H29" s="61"/>
      <c r="I29" s="41">
        <v>34</v>
      </c>
      <c r="J29" s="42">
        <v>1084446</v>
      </c>
      <c r="K29" s="42">
        <v>9143</v>
      </c>
      <c r="L29" s="43">
        <f>Tabelle14253710111213141615171918[[#This Row],[Positiv Rate]]</f>
        <v>8.4310329882723526E-3</v>
      </c>
      <c r="M29" s="51">
        <f>Tabelle14253710111213141615171918[[#This Row],[Positiv]]/Tabelle14253710111213141615171918[[#This Row],[Test]]</f>
        <v>8.4310329882723526E-3</v>
      </c>
      <c r="N29" s="60">
        <v>196</v>
      </c>
    </row>
    <row r="30" spans="8:14" x14ac:dyDescent="0.25">
      <c r="H30" s="61"/>
      <c r="I30" s="41">
        <v>35</v>
      </c>
      <c r="J30" s="42">
        <v>1120883</v>
      </c>
      <c r="K30" s="42">
        <v>8323</v>
      </c>
      <c r="L30" s="43">
        <f>Tabelle14253710111213141615171918[[#This Row],[Positiv Rate]]</f>
        <v>7.4253958709338975E-3</v>
      </c>
      <c r="M30" s="51">
        <f>Tabelle14253710111213141615171918[[#This Row],[Positiv]]/Tabelle14253710111213141615171918[[#This Row],[Test]]</f>
        <v>7.4253958709338975E-3</v>
      </c>
      <c r="N30" s="60">
        <v>191</v>
      </c>
    </row>
    <row r="31" spans="8:14" x14ac:dyDescent="0.25">
      <c r="H31" s="61"/>
      <c r="I31" s="41">
        <v>36</v>
      </c>
      <c r="J31" s="42">
        <v>1072316</v>
      </c>
      <c r="K31" s="42">
        <v>8294</v>
      </c>
      <c r="L31" s="43">
        <f>Tabelle14253710111213141615171918[[#This Row],[Positiv Rate]]</f>
        <v>7.7346603053577486E-3</v>
      </c>
      <c r="M31" s="51">
        <f>Tabelle14253710111213141615171918[[#This Row],[Positiv]]/Tabelle14253710111213141615171918[[#This Row],[Test]]</f>
        <v>7.7346603053577486E-3</v>
      </c>
      <c r="N31" s="60">
        <v>192</v>
      </c>
    </row>
    <row r="32" spans="8:14" x14ac:dyDescent="0.25">
      <c r="I32" s="41">
        <v>37</v>
      </c>
      <c r="J32" s="42">
        <v>1164932</v>
      </c>
      <c r="K32" s="42">
        <v>10046</v>
      </c>
      <c r="L32" s="43">
        <f>Tabelle14253710111213141615171918[[#This Row],[Positiv Rate]]</f>
        <v>8.6236793220548502E-3</v>
      </c>
      <c r="M32" s="51">
        <f>Tabelle14253710111213141615171918[[#This Row],[Positiv]]/Tabelle14253710111213141615171918[[#This Row],[Test]]</f>
        <v>8.6236793220548502E-3</v>
      </c>
      <c r="N32" s="60">
        <v>194</v>
      </c>
    </row>
    <row r="33" spans="9:14" x14ac:dyDescent="0.25">
      <c r="I33" s="41">
        <v>38</v>
      </c>
      <c r="J33" s="42">
        <v>1146565</v>
      </c>
      <c r="K33" s="42">
        <v>13261</v>
      </c>
      <c r="L33" s="43">
        <f>Tabelle14253710111213141615171918[[#This Row],[Positiv Rate]]</f>
        <v>1.1565851042025529E-2</v>
      </c>
      <c r="M33" s="51">
        <f>Tabelle14253710111213141615171918[[#This Row],[Positiv]]/Tabelle14253710111213141615171918[[#This Row],[Test]]</f>
        <v>1.1565851042025529E-2</v>
      </c>
      <c r="N33" s="60">
        <v>203</v>
      </c>
    </row>
    <row r="34" spans="9:14" x14ac:dyDescent="0.25">
      <c r="I34" s="41">
        <v>39</v>
      </c>
      <c r="J34" s="21">
        <v>1155995</v>
      </c>
      <c r="K34" s="21">
        <v>14094</v>
      </c>
      <c r="L34" s="32">
        <f>Tabelle14253710111213141615171918[[#This Row],[Positiv Rate]]</f>
        <v>1.2192094256463048E-2</v>
      </c>
      <c r="M34" s="51">
        <f>Tabelle14253710111213141615171918[[#This Row],[Positiv]]/Tabelle14253710111213141615171918[[#This Row],[Test]]</f>
        <v>1.2192094256463048E-2</v>
      </c>
      <c r="N34" s="60">
        <v>189</v>
      </c>
    </row>
    <row r="35" spans="9:14" x14ac:dyDescent="0.25">
      <c r="I35" s="41">
        <v>40</v>
      </c>
      <c r="J35" s="21">
        <v>1112967</v>
      </c>
      <c r="K35" s="21">
        <v>19407</v>
      </c>
      <c r="L35" s="32">
        <f>Tabelle14253710111213141615171918[[#This Row],[Positiv Rate]]</f>
        <v>1.7437174687120104E-2</v>
      </c>
      <c r="M35" s="51">
        <f>Tabelle14253710111213141615171918[[#This Row],[Positiv]]/Tabelle14253710111213141615171918[[#This Row],[Test]]</f>
        <v>1.7437174687120104E-2</v>
      </c>
      <c r="N35" s="60">
        <v>193</v>
      </c>
    </row>
    <row r="36" spans="9:14" x14ac:dyDescent="0.25">
      <c r="I36" s="41">
        <v>41</v>
      </c>
      <c r="J36" s="21">
        <v>1188338</v>
      </c>
      <c r="K36" s="21">
        <v>29567</v>
      </c>
      <c r="L36" s="32">
        <f>Tabelle14253710111213141615171918[[#This Row],[Positiv Rate]]</f>
        <v>2.4880968209381505E-2</v>
      </c>
      <c r="M36" s="51">
        <f>Tabelle14253710111213141615171918[[#This Row],[Positiv]]/Tabelle14253710111213141615171918[[#This Row],[Test]]</f>
        <v>2.4880968209381505E-2</v>
      </c>
      <c r="N36" s="60">
        <v>191</v>
      </c>
    </row>
    <row r="37" spans="9:14" x14ac:dyDescent="0.25">
      <c r="I37" s="41">
        <v>42</v>
      </c>
      <c r="J37" s="21">
        <v>1263716</v>
      </c>
      <c r="K37" s="21">
        <v>44759</v>
      </c>
      <c r="L37" s="32">
        <f>Tabelle14253710111213141615171918[[#This Row],[Positiv Rate]]</f>
        <v>3.5418559233245446E-2</v>
      </c>
      <c r="M37" s="51">
        <f>Tabelle14253710111213141615171918[[#This Row],[Positiv]]/Tabelle14253710111213141615171918[[#This Row],[Test]]</f>
        <v>3.5418559233245446E-2</v>
      </c>
      <c r="N37" s="60">
        <v>200</v>
      </c>
    </row>
    <row r="38" spans="9:14" x14ac:dyDescent="0.25">
      <c r="I38" s="41">
        <v>43</v>
      </c>
      <c r="J38" s="21">
        <v>1409437</v>
      </c>
      <c r="K38" s="21">
        <v>77575</v>
      </c>
      <c r="L38" s="32">
        <f>Tabelle14253710111213141615171918[[#This Row],[Positiv Rate]]</f>
        <v>5.5039707344138121E-2</v>
      </c>
      <c r="M38" s="51">
        <f>Tabelle14253710111213141615171918[[#This Row],[Positiv]]/Tabelle14253710111213141615171918[[#This Row],[Test]]</f>
        <v>5.5039707344138121E-2</v>
      </c>
      <c r="N38" s="60">
        <v>203</v>
      </c>
    </row>
    <row r="39" spans="9:14" x14ac:dyDescent="0.25">
      <c r="I39" s="41">
        <v>44</v>
      </c>
      <c r="J39" s="21">
        <v>1626132</v>
      </c>
      <c r="K39" s="21">
        <v>116411</v>
      </c>
      <c r="L39" s="32">
        <f>Tabelle14253710111213141615171918[[#This Row],[Positiv Rate]]</f>
        <v>7.158766938969284E-2</v>
      </c>
      <c r="M39" s="51">
        <f>Tabelle14253710111213141615171918[[#This Row],[Positiv]]/Tabelle14253710111213141615171918[[#This Row],[Test]]</f>
        <v>7.158766938969284E-2</v>
      </c>
      <c r="N39" s="60">
        <v>203</v>
      </c>
    </row>
    <row r="40" spans="9:14" x14ac:dyDescent="0.25">
      <c r="I40" s="41">
        <v>45</v>
      </c>
      <c r="J40" s="21">
        <v>1602839</v>
      </c>
      <c r="K40" s="21">
        <v>125867</v>
      </c>
      <c r="L40" s="32">
        <f>Tabelle14253710111213141615171918[[#This Row],[Positiv Rate]]</f>
        <v>7.852753770029304E-2</v>
      </c>
      <c r="M40" s="51">
        <f>Tabelle14253710111213141615171918[[#This Row],[Positiv]]/Tabelle14253710111213141615171918[[#This Row],[Test]]</f>
        <v>7.852753770029304E-2</v>
      </c>
      <c r="N40" s="60">
        <v>202</v>
      </c>
    </row>
    <row r="41" spans="9:14" x14ac:dyDescent="0.25">
      <c r="I41" s="41">
        <v>46</v>
      </c>
      <c r="J41" s="21">
        <v>1390324</v>
      </c>
      <c r="K41" s="21">
        <v>124966</v>
      </c>
      <c r="L41" s="32">
        <f>Tabelle14253710111213141615171918[[#This Row],[Positiv Rate]]</f>
        <v>8.9882646059479668E-2</v>
      </c>
      <c r="M41" s="51">
        <f>Tabelle14253710111213141615171918[[#This Row],[Positiv]]/Tabelle14253710111213141615171918[[#This Row],[Test]]</f>
        <v>8.9882646059479668E-2</v>
      </c>
      <c r="N41" s="60">
        <v>198</v>
      </c>
    </row>
    <row r="42" spans="9:14" x14ac:dyDescent="0.25">
      <c r="I42" s="41">
        <v>47</v>
      </c>
      <c r="J42" s="21">
        <v>1360981</v>
      </c>
      <c r="K42" s="21">
        <v>127178</v>
      </c>
      <c r="L42" s="32">
        <f>Tabelle14253710111213141615171918[[#This Row],[Positiv Rate]]</f>
        <v>9.3445830617767622E-2</v>
      </c>
      <c r="M42" s="51">
        <f>Tabelle14253710111213141615171918[[#This Row],[Positiv]]/Tabelle14253710111213141615171918[[#This Row],[Test]]</f>
        <v>9.3445830617767622E-2</v>
      </c>
      <c r="N42" s="60">
        <v>197</v>
      </c>
    </row>
    <row r="43" spans="9:14" ht="15.75" thickBot="1" x14ac:dyDescent="0.3">
      <c r="I43" s="41">
        <v>48</v>
      </c>
      <c r="J43" s="21">
        <v>1312802</v>
      </c>
      <c r="K43" s="21">
        <v>121830</v>
      </c>
      <c r="L43" s="32">
        <f>Tabelle14253710111213141615171918[[#This Row],[Positiv Rate]]</f>
        <v>9.2801503958708162E-2</v>
      </c>
      <c r="M43" s="51">
        <f>Tabelle14253710111213141615171918[[#This Row],[Positiv]]/Tabelle14253710111213141615171918[[#This Row],[Test]]</f>
        <v>9.2801503958708162E-2</v>
      </c>
      <c r="N43" s="60">
        <v>185</v>
      </c>
    </row>
    <row r="44" spans="9:14" x14ac:dyDescent="0.25">
      <c r="I44" s="35" t="s">
        <v>6</v>
      </c>
      <c r="J44" s="36">
        <f>SUM(Tabelle14253710111213141615171918[Test])</f>
        <v>29141172</v>
      </c>
      <c r="K44" s="37">
        <f>SUM(Tabelle14253710111213141615171918[Positiv])</f>
        <v>1115228</v>
      </c>
    </row>
  </sheetData>
  <mergeCells count="1">
    <mergeCell ref="H27:H31"/>
  </mergeCells>
  <pageMargins left="0" right="0" top="0" bottom="0" header="0.31496062992125984" footer="0.31496062992125984"/>
  <pageSetup paperSize="9" orientation="portrait" horizontalDpi="4294967293" verticalDpi="4294967293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AF357-F178-4F51-B97D-4A441891C6F2}">
  <dimension ref="B3:N44"/>
  <sheetViews>
    <sheetView showGridLines="0" zoomScale="85" zoomScaleNormal="85" workbookViewId="0">
      <selection activeCell="G6" sqref="G6"/>
    </sheetView>
  </sheetViews>
  <sheetFormatPr baseColWidth="10" defaultRowHeight="15" x14ac:dyDescent="0.25"/>
  <cols>
    <col min="7" max="7" width="33" customWidth="1"/>
    <col min="8" max="8" width="26.140625" customWidth="1"/>
    <col min="11" max="11" width="9" customWidth="1"/>
    <col min="12" max="12" width="6.5703125" customWidth="1"/>
    <col min="13" max="13" width="0.7109375" customWidth="1"/>
    <col min="14" max="14" width="6.5703125" hidden="1" customWidth="1"/>
    <col min="15" max="15" width="6.5703125" customWidth="1"/>
  </cols>
  <sheetData>
    <row r="3" spans="2:14" ht="15.75" thickBot="1" x14ac:dyDescent="0.3"/>
    <row r="4" spans="2:14" ht="18.75" customHeight="1" x14ac:dyDescent="0.25">
      <c r="H4" s="23" t="s">
        <v>9</v>
      </c>
      <c r="I4" s="38" t="s">
        <v>0</v>
      </c>
      <c r="J4" s="39" t="s">
        <v>1</v>
      </c>
      <c r="K4" s="39" t="s">
        <v>2</v>
      </c>
      <c r="L4" s="39" t="s">
        <v>10</v>
      </c>
      <c r="M4" s="52" t="s">
        <v>3</v>
      </c>
      <c r="N4" s="4" t="s">
        <v>4</v>
      </c>
    </row>
    <row r="5" spans="2:14" ht="18.75" customHeight="1" x14ac:dyDescent="0.25">
      <c r="H5" s="22">
        <v>44146</v>
      </c>
      <c r="I5" s="41">
        <v>10</v>
      </c>
      <c r="J5" s="42">
        <v>124716</v>
      </c>
      <c r="K5" s="42">
        <v>3892</v>
      </c>
      <c r="L5" s="43">
        <f>Tabelle142537101112131416151719[[#This Row],[Positiv Rate]]</f>
        <v>3.1206902081529233E-2</v>
      </c>
      <c r="M5" s="50">
        <f>Tabelle142537101112131416151719[[#This Row],[Positiv]]/Tabelle142537101112131416151719[[#This Row],[Test]]</f>
        <v>3.1206902081529233E-2</v>
      </c>
      <c r="N5" s="59">
        <v>90</v>
      </c>
    </row>
    <row r="6" spans="2:14" ht="15.75" customHeight="1" x14ac:dyDescent="0.25">
      <c r="H6" s="23" t="s">
        <v>11</v>
      </c>
      <c r="I6" s="41">
        <v>11</v>
      </c>
      <c r="J6" s="42">
        <v>127457</v>
      </c>
      <c r="K6" s="42">
        <v>7582</v>
      </c>
      <c r="L6" s="43">
        <f>Tabelle142537101112131416151719[[#This Row],[Positiv Rate]]</f>
        <v>5.9486728857575499E-2</v>
      </c>
      <c r="M6" s="50">
        <f>Tabelle142537101112131416151719[[#This Row],[Positiv]]/Tabelle142537101112131416151719[[#This Row],[Test]]</f>
        <v>5.9486728857575499E-2</v>
      </c>
      <c r="N6" s="59">
        <v>114</v>
      </c>
    </row>
    <row r="7" spans="2:14" x14ac:dyDescent="0.25">
      <c r="H7" s="33" t="s">
        <v>12</v>
      </c>
      <c r="I7" s="41">
        <v>12</v>
      </c>
      <c r="J7" s="42">
        <v>348619</v>
      </c>
      <c r="K7" s="42">
        <v>23820</v>
      </c>
      <c r="L7" s="43">
        <f>Tabelle142537101112131416151719[[#This Row],[Positiv Rate]]</f>
        <v>6.8326740653836995E-2</v>
      </c>
      <c r="M7" s="50">
        <f>Tabelle142537101112131416151719[[#This Row],[Positiv]]/Tabelle142537101112131416151719[[#This Row],[Test]]</f>
        <v>6.8326740653836995E-2</v>
      </c>
      <c r="N7" s="59">
        <v>152</v>
      </c>
    </row>
    <row r="8" spans="2:14" x14ac:dyDescent="0.25">
      <c r="I8" s="41">
        <v>13</v>
      </c>
      <c r="J8" s="42">
        <v>361515</v>
      </c>
      <c r="K8" s="42">
        <v>31414</v>
      </c>
      <c r="L8" s="43">
        <f>Tabelle142537101112131416151719[[#This Row],[Positiv Rate]]</f>
        <v>8.6895426192550793E-2</v>
      </c>
      <c r="M8" s="50">
        <f>Tabelle142537101112131416151719[[#This Row],[Positiv]]/Tabelle142537101112131416151719[[#This Row],[Test]]</f>
        <v>8.6895426192550793E-2</v>
      </c>
      <c r="N8" s="59">
        <v>151</v>
      </c>
    </row>
    <row r="9" spans="2:14" x14ac:dyDescent="0.25">
      <c r="I9" s="41">
        <v>14</v>
      </c>
      <c r="J9" s="42">
        <v>408348</v>
      </c>
      <c r="K9" s="42">
        <v>36885</v>
      </c>
      <c r="L9" s="43">
        <f>Tabelle142537101112131416151719[[#This Row],[Positiv Rate]]</f>
        <v>9.0327367833318642E-2</v>
      </c>
      <c r="M9" s="50">
        <f>Tabelle142537101112131416151719[[#This Row],[Positiv]]/Tabelle142537101112131416151719[[#This Row],[Test]]</f>
        <v>9.0327367833318642E-2</v>
      </c>
      <c r="N9" s="59">
        <v>154</v>
      </c>
    </row>
    <row r="10" spans="2:14" x14ac:dyDescent="0.25">
      <c r="I10" s="41">
        <v>15</v>
      </c>
      <c r="J10" s="42">
        <v>380197</v>
      </c>
      <c r="K10" s="42">
        <v>30791</v>
      </c>
      <c r="L10" s="43">
        <f>Tabelle142537101112131416151719[[#This Row],[Positiv Rate]]</f>
        <v>8.0986962022320003E-2</v>
      </c>
      <c r="M10" s="50">
        <f>Tabelle142537101112131416151719[[#This Row],[Positiv]]/Tabelle142537101112131416151719[[#This Row],[Test]]</f>
        <v>8.0986962022320003E-2</v>
      </c>
      <c r="N10" s="60">
        <v>164</v>
      </c>
    </row>
    <row r="11" spans="2:14" x14ac:dyDescent="0.25">
      <c r="I11" s="41">
        <v>16</v>
      </c>
      <c r="J11" s="42">
        <v>331902</v>
      </c>
      <c r="K11" s="42">
        <v>22082</v>
      </c>
      <c r="L11" s="43">
        <f>Tabelle142537101112131416151719[[#This Row],[Positiv Rate]]</f>
        <v>6.65316870642539E-2</v>
      </c>
      <c r="M11" s="50">
        <f>Tabelle142537101112131416151719[[#This Row],[Positiv]]/Tabelle142537101112131416151719[[#This Row],[Test]]</f>
        <v>6.65316870642539E-2</v>
      </c>
      <c r="N11" s="60">
        <v>168</v>
      </c>
    </row>
    <row r="12" spans="2:14" x14ac:dyDescent="0.25">
      <c r="B12" s="23" t="str">
        <f>H4</f>
        <v>Stand:</v>
      </c>
      <c r="C12" s="22">
        <f>H5</f>
        <v>44146</v>
      </c>
      <c r="I12" s="41">
        <v>17</v>
      </c>
      <c r="J12" s="42">
        <v>363890</v>
      </c>
      <c r="K12" s="42">
        <v>18083</v>
      </c>
      <c r="L12" s="43">
        <f>Tabelle142537101112131416151719[[#This Row],[Positiv Rate]]</f>
        <v>4.9693588721866501E-2</v>
      </c>
      <c r="M12" s="50">
        <f>Tabelle142537101112131416151719[[#This Row],[Positiv]]/Tabelle142537101112131416151719[[#This Row],[Test]]</f>
        <v>4.9693588721866501E-2</v>
      </c>
      <c r="N12" s="60">
        <v>178</v>
      </c>
    </row>
    <row r="13" spans="2:14" x14ac:dyDescent="0.25">
      <c r="I13" s="41">
        <v>18</v>
      </c>
      <c r="J13" s="42">
        <v>326788</v>
      </c>
      <c r="K13" s="42">
        <v>12608</v>
      </c>
      <c r="L13" s="43">
        <f>Tabelle142537101112131416151719[[#This Row],[Positiv Rate]]</f>
        <v>3.8581588063209174E-2</v>
      </c>
      <c r="M13" s="50">
        <f>Tabelle142537101112131416151719[[#This Row],[Positiv]]/Tabelle142537101112131416151719[[#This Row],[Test]]</f>
        <v>3.8581588063209174E-2</v>
      </c>
      <c r="N13" s="60">
        <v>175</v>
      </c>
    </row>
    <row r="14" spans="2:14" x14ac:dyDescent="0.25">
      <c r="I14" s="41">
        <v>19</v>
      </c>
      <c r="J14" s="42">
        <v>403875</v>
      </c>
      <c r="K14" s="42">
        <v>10755</v>
      </c>
      <c r="L14" s="43">
        <f>Tabelle142537101112131416151719[[#This Row],[Positiv Rate]]</f>
        <v>2.6629526462395543E-2</v>
      </c>
      <c r="M14" s="50">
        <f>Tabelle142537101112131416151719[[#This Row],[Positiv]]/Tabelle142537101112131416151719[[#This Row],[Test]]</f>
        <v>2.6629526462395543E-2</v>
      </c>
      <c r="N14" s="60">
        <v>182</v>
      </c>
    </row>
    <row r="15" spans="2:14" x14ac:dyDescent="0.25">
      <c r="I15" s="41">
        <v>20</v>
      </c>
      <c r="J15" s="42">
        <v>432076</v>
      </c>
      <c r="K15" s="42">
        <v>7080</v>
      </c>
      <c r="L15" s="43">
        <f>Tabelle142537101112131416151719[[#This Row],[Positiv Rate]]</f>
        <v>1.638600616558198E-2</v>
      </c>
      <c r="M15" s="50">
        <f>Tabelle142537101112131416151719[[#This Row],[Positiv]]/Tabelle142537101112131416151719[[#This Row],[Test]]</f>
        <v>1.638600616558198E-2</v>
      </c>
      <c r="N15" s="60">
        <v>185</v>
      </c>
    </row>
    <row r="16" spans="2:14" x14ac:dyDescent="0.25">
      <c r="I16" s="41">
        <v>21</v>
      </c>
      <c r="J16" s="42">
        <v>354260</v>
      </c>
      <c r="K16" s="42">
        <v>5228</v>
      </c>
      <c r="L16" s="43">
        <f>Tabelle142537101112131416151719[[#This Row],[Positiv Rate]]</f>
        <v>1.4757522723423474E-2</v>
      </c>
      <c r="M16" s="50">
        <f>Tabelle142537101112131416151719[[#This Row],[Positiv]]/Tabelle142537101112131416151719[[#This Row],[Test]]</f>
        <v>1.4757522723423474E-2</v>
      </c>
      <c r="N16" s="60">
        <v>178</v>
      </c>
    </row>
    <row r="17" spans="8:14" x14ac:dyDescent="0.25">
      <c r="I17" s="41">
        <v>22</v>
      </c>
      <c r="J17" s="42">
        <v>401589</v>
      </c>
      <c r="K17" s="42">
        <v>4267</v>
      </c>
      <c r="L17" s="43">
        <f>Tabelle142537101112131416151719[[#This Row],[Positiv Rate]]</f>
        <v>1.0625291031377852E-2</v>
      </c>
      <c r="M17" s="50">
        <f>Tabelle142537101112131416151719[[#This Row],[Positiv]]/Tabelle142537101112131416151719[[#This Row],[Test]]</f>
        <v>1.0625291031377852E-2</v>
      </c>
      <c r="N17" s="60">
        <v>173</v>
      </c>
    </row>
    <row r="18" spans="8:14" x14ac:dyDescent="0.25">
      <c r="I18" s="41">
        <v>23</v>
      </c>
      <c r="J18" s="42">
        <v>337217</v>
      </c>
      <c r="K18" s="42">
        <v>3085</v>
      </c>
      <c r="L18" s="43">
        <f>Tabelle142537101112131416151719[[#This Row],[Positiv Rate]]</f>
        <v>9.1484118534949314E-3</v>
      </c>
      <c r="M18" s="50">
        <f>Tabelle142537101112131416151719[[#This Row],[Positiv]]/Tabelle142537101112131416151719[[#This Row],[Test]]</f>
        <v>9.1484118534949314E-3</v>
      </c>
      <c r="N18" s="60">
        <v>175</v>
      </c>
    </row>
    <row r="19" spans="8:14" x14ac:dyDescent="0.25">
      <c r="I19" s="41">
        <v>24</v>
      </c>
      <c r="J19" s="42">
        <v>327196</v>
      </c>
      <c r="K19" s="42">
        <v>2816</v>
      </c>
      <c r="L19" s="43">
        <f>Tabelle142537101112131416151719[[#This Row],[Positiv Rate]]</f>
        <v>8.6064621816892631E-3</v>
      </c>
      <c r="M19" s="50">
        <f>Tabelle142537101112131416151719[[#This Row],[Positiv]]/Tabelle142537101112131416151719[[#This Row],[Test]]</f>
        <v>8.6064621816892631E-3</v>
      </c>
      <c r="N19" s="60">
        <v>173</v>
      </c>
    </row>
    <row r="20" spans="8:14" x14ac:dyDescent="0.25">
      <c r="I20" s="41">
        <v>25</v>
      </c>
      <c r="J20" s="42">
        <v>386316</v>
      </c>
      <c r="K20" s="42">
        <v>5276</v>
      </c>
      <c r="L20" s="43">
        <f>Tabelle142537101112131416151719[[#This Row],[Positiv Rate]]</f>
        <v>1.3657213265823833E-2</v>
      </c>
      <c r="M20" s="50">
        <f>Tabelle142537101112131416151719[[#This Row],[Positiv]]/Tabelle142537101112131416151719[[#This Row],[Test]]</f>
        <v>1.3657213265823833E-2</v>
      </c>
      <c r="N20" s="60">
        <v>174</v>
      </c>
    </row>
    <row r="21" spans="8:14" x14ac:dyDescent="0.25">
      <c r="I21" s="41">
        <v>26</v>
      </c>
      <c r="J21" s="42">
        <v>464626</v>
      </c>
      <c r="K21" s="42">
        <v>3682</v>
      </c>
      <c r="L21" s="43">
        <f>Tabelle142537101112131416151719[[#This Row],[Positiv Rate]]</f>
        <v>7.9246533771248281E-3</v>
      </c>
      <c r="M21" s="50">
        <f>Tabelle142537101112131416151719[[#This Row],[Positiv]]/Tabelle142537101112131416151719[[#This Row],[Test]]</f>
        <v>7.9246533771248281E-3</v>
      </c>
      <c r="N21" s="60">
        <v>179</v>
      </c>
    </row>
    <row r="22" spans="8:14" x14ac:dyDescent="0.25">
      <c r="I22" s="41">
        <v>27</v>
      </c>
      <c r="J22" s="42">
        <v>506459</v>
      </c>
      <c r="K22" s="42">
        <v>3092</v>
      </c>
      <c r="L22" s="43">
        <f>Tabelle142537101112131416151719[[#This Row],[Positiv Rate]]</f>
        <v>6.1051338805312967E-3</v>
      </c>
      <c r="M22" s="50">
        <f>Tabelle142537101112131416151719[[#This Row],[Positiv]]/Tabelle142537101112131416151719[[#This Row],[Test]]</f>
        <v>6.1051338805312967E-3</v>
      </c>
      <c r="N22" s="60">
        <v>151</v>
      </c>
    </row>
    <row r="23" spans="8:14" x14ac:dyDescent="0.25">
      <c r="I23" s="41">
        <v>28</v>
      </c>
      <c r="J23" s="42">
        <v>510551</v>
      </c>
      <c r="K23" s="42">
        <v>2992</v>
      </c>
      <c r="L23" s="43">
        <f>Tabelle142537101112131416151719[[#This Row],[Positiv Rate]]</f>
        <v>5.8603352064730066E-3</v>
      </c>
      <c r="M23" s="50">
        <f>Tabelle142537101112131416151719[[#This Row],[Positiv]]/Tabelle142537101112131416151719[[#This Row],[Test]]</f>
        <v>5.8603352064730066E-3</v>
      </c>
      <c r="N23" s="60">
        <v>179</v>
      </c>
    </row>
    <row r="24" spans="8:14" x14ac:dyDescent="0.25">
      <c r="I24" s="41">
        <v>29</v>
      </c>
      <c r="J24" s="42">
        <v>538701</v>
      </c>
      <c r="K24" s="42">
        <v>3497</v>
      </c>
      <c r="L24" s="43">
        <f>Tabelle142537101112131416151719[[#This Row],[Positiv Rate]]</f>
        <v>6.4915416901026729E-3</v>
      </c>
      <c r="M24" s="50">
        <f>Tabelle142537101112131416151719[[#This Row],[Positiv]]/Tabelle142537101112131416151719[[#This Row],[Test]]</f>
        <v>6.4915416901026729E-3</v>
      </c>
      <c r="N24" s="60">
        <v>177</v>
      </c>
    </row>
    <row r="25" spans="8:14" x14ac:dyDescent="0.25">
      <c r="I25" s="41">
        <v>30</v>
      </c>
      <c r="J25" s="42">
        <v>595955</v>
      </c>
      <c r="K25" s="42">
        <v>4565</v>
      </c>
      <c r="L25" s="43">
        <f>Tabelle142537101112131416151719[[#This Row],[Positiv Rate]]</f>
        <v>7.6599743269206572E-3</v>
      </c>
      <c r="M25" s="50">
        <f>Tabelle142537101112131416151719[[#This Row],[Positiv]]/Tabelle142537101112131416151719[[#This Row],[Test]]</f>
        <v>7.6599743269206572E-3</v>
      </c>
      <c r="N25" s="60">
        <v>183</v>
      </c>
    </row>
    <row r="26" spans="8:14" x14ac:dyDescent="0.25">
      <c r="I26" s="41">
        <v>31</v>
      </c>
      <c r="J26" s="42">
        <v>586620</v>
      </c>
      <c r="K26" s="42">
        <v>5738</v>
      </c>
      <c r="L26" s="43">
        <f>Tabelle142537101112131416151719[[#This Row],[Positiv Rate]]</f>
        <v>9.7814598888547946E-3</v>
      </c>
      <c r="M26" s="50">
        <f>Tabelle142537101112131416151719[[#This Row],[Positiv]]/Tabelle142537101112131416151719[[#This Row],[Test]]</f>
        <v>9.7814598888547946E-3</v>
      </c>
      <c r="N26" s="60">
        <v>170</v>
      </c>
    </row>
    <row r="27" spans="8:14" ht="15" customHeight="1" x14ac:dyDescent="0.25">
      <c r="H27" s="61"/>
      <c r="I27" s="41">
        <v>32</v>
      </c>
      <c r="J27" s="42">
        <v>716768</v>
      </c>
      <c r="K27" s="42">
        <v>7263</v>
      </c>
      <c r="L27" s="43">
        <f>Tabelle142537101112131416151719[[#This Row],[Positiv Rate]]</f>
        <v>1.013298584758248E-2</v>
      </c>
      <c r="M27" s="50">
        <f>Tabelle142537101112131416151719[[#This Row],[Positiv]]/Tabelle142537101112131416151719[[#This Row],[Test]]</f>
        <v>1.013298584758248E-2</v>
      </c>
      <c r="N27" s="60">
        <v>168</v>
      </c>
    </row>
    <row r="28" spans="8:14" ht="15" customHeight="1" x14ac:dyDescent="0.25">
      <c r="H28" s="61"/>
      <c r="I28" s="41">
        <v>33</v>
      </c>
      <c r="J28" s="42">
        <v>835384</v>
      </c>
      <c r="K28" s="42">
        <v>8121</v>
      </c>
      <c r="L28" s="43">
        <f>Tabelle142537101112131416151719[[#This Row],[Positiv Rate]]</f>
        <v>9.7212778793943858E-3</v>
      </c>
      <c r="M28" s="50">
        <f>Tabelle142537101112131416151719[[#This Row],[Positiv]]/Tabelle142537101112131416151719[[#This Row],[Test]]</f>
        <v>9.7212778793943858E-3</v>
      </c>
      <c r="N28" s="60">
        <v>183</v>
      </c>
    </row>
    <row r="29" spans="8:14" x14ac:dyDescent="0.25">
      <c r="H29" s="61"/>
      <c r="I29" s="41">
        <v>34</v>
      </c>
      <c r="J29" s="42">
        <v>1084446</v>
      </c>
      <c r="K29" s="42">
        <v>9143</v>
      </c>
      <c r="L29" s="43">
        <f>Tabelle142537101112131416151719[[#This Row],[Positiv Rate]]</f>
        <v>8.4310329882723526E-3</v>
      </c>
      <c r="M29" s="51">
        <f>Tabelle142537101112131416151719[[#This Row],[Positiv]]/Tabelle142537101112131416151719[[#This Row],[Test]]</f>
        <v>8.4310329882723526E-3</v>
      </c>
      <c r="N29" s="60">
        <v>196</v>
      </c>
    </row>
    <row r="30" spans="8:14" x14ac:dyDescent="0.25">
      <c r="H30" s="61"/>
      <c r="I30" s="41">
        <v>35</v>
      </c>
      <c r="J30" s="42">
        <v>1120883</v>
      </c>
      <c r="K30" s="42">
        <v>8323</v>
      </c>
      <c r="L30" s="43">
        <f>Tabelle142537101112131416151719[[#This Row],[Positiv Rate]]</f>
        <v>7.4253958709338975E-3</v>
      </c>
      <c r="M30" s="51">
        <f>Tabelle142537101112131416151719[[#This Row],[Positiv]]/Tabelle142537101112131416151719[[#This Row],[Test]]</f>
        <v>7.4253958709338975E-3</v>
      </c>
      <c r="N30" s="60">
        <v>191</v>
      </c>
    </row>
    <row r="31" spans="8:14" x14ac:dyDescent="0.25">
      <c r="H31" s="61"/>
      <c r="I31" s="41">
        <v>36</v>
      </c>
      <c r="J31" s="42">
        <v>1072316</v>
      </c>
      <c r="K31" s="42">
        <v>8294</v>
      </c>
      <c r="L31" s="43">
        <f>Tabelle142537101112131416151719[[#This Row],[Positiv Rate]]</f>
        <v>7.7346603053577486E-3</v>
      </c>
      <c r="M31" s="51">
        <f>Tabelle142537101112131416151719[[#This Row],[Positiv]]/Tabelle142537101112131416151719[[#This Row],[Test]]</f>
        <v>7.7346603053577486E-3</v>
      </c>
      <c r="N31" s="60">
        <v>192</v>
      </c>
    </row>
    <row r="32" spans="8:14" x14ac:dyDescent="0.25">
      <c r="I32" s="41">
        <v>37</v>
      </c>
      <c r="J32" s="42">
        <v>1164932</v>
      </c>
      <c r="K32" s="42">
        <v>10046</v>
      </c>
      <c r="L32" s="43">
        <f>Tabelle142537101112131416151719[[#This Row],[Positiv Rate]]</f>
        <v>8.6236793220548502E-3</v>
      </c>
      <c r="M32" s="51">
        <f>Tabelle142537101112131416151719[[#This Row],[Positiv]]/Tabelle142537101112131416151719[[#This Row],[Test]]</f>
        <v>8.6236793220548502E-3</v>
      </c>
      <c r="N32" s="60">
        <v>194</v>
      </c>
    </row>
    <row r="33" spans="9:14" x14ac:dyDescent="0.25">
      <c r="I33" s="41">
        <v>38</v>
      </c>
      <c r="J33" s="42">
        <v>1146565</v>
      </c>
      <c r="K33" s="42">
        <v>13261</v>
      </c>
      <c r="L33" s="43">
        <f>Tabelle142537101112131416151719[[#This Row],[Positiv Rate]]</f>
        <v>1.1565851042025529E-2</v>
      </c>
      <c r="M33" s="51">
        <f>Tabelle142537101112131416151719[[#This Row],[Positiv]]/Tabelle142537101112131416151719[[#This Row],[Test]]</f>
        <v>1.1565851042025529E-2</v>
      </c>
      <c r="N33" s="60">
        <v>203</v>
      </c>
    </row>
    <row r="34" spans="9:14" x14ac:dyDescent="0.25">
      <c r="I34" s="41">
        <v>39</v>
      </c>
      <c r="J34" s="21">
        <v>1155995</v>
      </c>
      <c r="K34" s="21">
        <v>14094</v>
      </c>
      <c r="L34" s="32">
        <f>Tabelle142537101112131416151719[[#This Row],[Positiv Rate]]</f>
        <v>1.2192094256463048E-2</v>
      </c>
      <c r="M34" s="51">
        <f>Tabelle142537101112131416151719[[#This Row],[Positiv]]/Tabelle142537101112131416151719[[#This Row],[Test]]</f>
        <v>1.2192094256463048E-2</v>
      </c>
      <c r="N34" s="60">
        <v>189</v>
      </c>
    </row>
    <row r="35" spans="9:14" x14ac:dyDescent="0.25">
      <c r="I35" s="41">
        <v>40</v>
      </c>
      <c r="J35" s="21">
        <v>1112967</v>
      </c>
      <c r="K35" s="21">
        <v>19407</v>
      </c>
      <c r="L35" s="32">
        <f>Tabelle142537101112131416151719[[#This Row],[Positiv Rate]]</f>
        <v>1.7437174687120104E-2</v>
      </c>
      <c r="M35" s="51">
        <f>Tabelle142537101112131416151719[[#This Row],[Positiv]]/Tabelle142537101112131416151719[[#This Row],[Test]]</f>
        <v>1.7437174687120104E-2</v>
      </c>
      <c r="N35" s="60">
        <v>193</v>
      </c>
    </row>
    <row r="36" spans="9:14" x14ac:dyDescent="0.25">
      <c r="I36" s="41">
        <v>41</v>
      </c>
      <c r="J36" s="21">
        <v>1188338</v>
      </c>
      <c r="K36" s="21">
        <v>29567</v>
      </c>
      <c r="L36" s="32">
        <f>Tabelle142537101112131416151719[[#This Row],[Positiv Rate]]</f>
        <v>2.4880968209381505E-2</v>
      </c>
      <c r="M36" s="51">
        <f>Tabelle142537101112131416151719[[#This Row],[Positiv]]/Tabelle142537101112131416151719[[#This Row],[Test]]</f>
        <v>2.4880968209381505E-2</v>
      </c>
      <c r="N36" s="60">
        <v>191</v>
      </c>
    </row>
    <row r="37" spans="9:14" x14ac:dyDescent="0.25">
      <c r="I37" s="41">
        <v>42</v>
      </c>
      <c r="J37" s="21">
        <v>1263716</v>
      </c>
      <c r="K37" s="21">
        <v>44759</v>
      </c>
      <c r="L37" s="32">
        <f>Tabelle142537101112131416151719[[#This Row],[Positiv Rate]]</f>
        <v>3.5418559233245446E-2</v>
      </c>
      <c r="M37" s="51">
        <f>Tabelle142537101112131416151719[[#This Row],[Positiv]]/Tabelle142537101112131416151719[[#This Row],[Test]]</f>
        <v>3.5418559233245446E-2</v>
      </c>
      <c r="N37" s="60">
        <v>200</v>
      </c>
    </row>
    <row r="38" spans="9:14" x14ac:dyDescent="0.25">
      <c r="I38" s="41">
        <v>43</v>
      </c>
      <c r="J38" s="21">
        <v>1409437</v>
      </c>
      <c r="K38" s="21">
        <v>77575</v>
      </c>
      <c r="L38" s="32">
        <f>Tabelle142537101112131416151719[[#This Row],[Positiv Rate]]</f>
        <v>5.5039707344138121E-2</v>
      </c>
      <c r="M38" s="51">
        <f>Tabelle142537101112131416151719[[#This Row],[Positiv]]/Tabelle142537101112131416151719[[#This Row],[Test]]</f>
        <v>5.5039707344138121E-2</v>
      </c>
      <c r="N38" s="60">
        <v>203</v>
      </c>
    </row>
    <row r="39" spans="9:14" x14ac:dyDescent="0.25">
      <c r="I39" s="41">
        <v>44</v>
      </c>
      <c r="J39" s="21">
        <v>1626132</v>
      </c>
      <c r="K39" s="21">
        <v>116411</v>
      </c>
      <c r="L39" s="32">
        <f>Tabelle142537101112131416151719[[#This Row],[Positiv Rate]]</f>
        <v>7.158766938969284E-2</v>
      </c>
      <c r="M39" s="51">
        <f>Tabelle142537101112131416151719[[#This Row],[Positiv]]/Tabelle142537101112131416151719[[#This Row],[Test]]</f>
        <v>7.158766938969284E-2</v>
      </c>
      <c r="N39" s="60">
        <v>203</v>
      </c>
    </row>
    <row r="40" spans="9:14" x14ac:dyDescent="0.25">
      <c r="I40" s="41">
        <v>45</v>
      </c>
      <c r="J40" s="21">
        <v>1602839</v>
      </c>
      <c r="K40" s="21">
        <v>125867</v>
      </c>
      <c r="L40" s="32">
        <f>Tabelle142537101112131416151719[[#This Row],[Positiv Rate]]</f>
        <v>7.852753770029304E-2</v>
      </c>
      <c r="M40" s="51">
        <f>Tabelle142537101112131416151719[[#This Row],[Positiv]]/Tabelle142537101112131416151719[[#This Row],[Test]]</f>
        <v>7.852753770029304E-2</v>
      </c>
      <c r="N40" s="60">
        <v>202</v>
      </c>
    </row>
    <row r="41" spans="9:14" x14ac:dyDescent="0.25">
      <c r="I41" s="41">
        <v>46</v>
      </c>
      <c r="J41" s="21">
        <v>1389381</v>
      </c>
      <c r="K41" s="21">
        <v>124915</v>
      </c>
      <c r="L41" s="32">
        <f>Tabelle142537101112131416151719[[#This Row],[Positiv Rate]]</f>
        <v>8.9906944171541145E-2</v>
      </c>
      <c r="M41" s="51">
        <f>Tabelle142537101112131416151719[[#This Row],[Positiv]]/Tabelle142537101112131416151719[[#This Row],[Test]]</f>
        <v>8.9906944171541145E-2</v>
      </c>
      <c r="N41" s="60">
        <v>197</v>
      </c>
    </row>
    <row r="42" spans="9:14" x14ac:dyDescent="0.25">
      <c r="I42" s="41">
        <v>47</v>
      </c>
      <c r="J42" s="21">
        <v>1350270</v>
      </c>
      <c r="K42" s="21">
        <v>126852</v>
      </c>
      <c r="L42" s="32">
        <f>Tabelle142537101112131416151719[[#This Row],[Positiv Rate]]</f>
        <v>9.3945655313381768E-2</v>
      </c>
      <c r="M42" s="51">
        <f>Tabelle142537101112131416151719[[#This Row],[Positiv]]/Tabelle142537101112131416151719[[#This Row],[Test]]</f>
        <v>9.3945655313381768E-2</v>
      </c>
      <c r="N42" s="60">
        <v>189</v>
      </c>
    </row>
    <row r="43" spans="9:14" ht="15.75" thickBot="1" x14ac:dyDescent="0.3"/>
    <row r="44" spans="9:14" x14ac:dyDescent="0.25">
      <c r="I44" s="35" t="s">
        <v>6</v>
      </c>
      <c r="J44" s="36">
        <f>SUM(Tabelle142537101112131416151719[Test])</f>
        <v>27859242</v>
      </c>
      <c r="K44" s="37">
        <f>SUM(Tabelle142537101112131416151719[Positiv])</f>
        <v>993128</v>
      </c>
    </row>
  </sheetData>
  <mergeCells count="1">
    <mergeCell ref="H27:H31"/>
  </mergeCells>
  <pageMargins left="0" right="0" top="0" bottom="0" header="0.31496062992125984" footer="0.31496062992125984"/>
  <pageSetup paperSize="9" orientation="portrait" horizontalDpi="4294967293" verticalDpi="4294967293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96C7C-E124-4B72-9852-6D45097BC10F}">
  <dimension ref="B1:U39"/>
  <sheetViews>
    <sheetView showGridLines="0" zoomScale="85" zoomScaleNormal="85" workbookViewId="0">
      <selection activeCell="O2" sqref="O2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6.5703125" customWidth="1"/>
    <col min="20" max="20" width="0.7109375" customWidth="1"/>
    <col min="21" max="21" width="6.5703125" hidden="1" customWidth="1"/>
    <col min="22" max="22" width="6.5703125" customWidth="1"/>
  </cols>
  <sheetData>
    <row r="1" spans="2:21" ht="18.75" customHeight="1" x14ac:dyDescent="0.25">
      <c r="O1" s="23" t="s">
        <v>9</v>
      </c>
      <c r="P1" s="38" t="s">
        <v>0</v>
      </c>
      <c r="Q1" s="39" t="s">
        <v>1</v>
      </c>
      <c r="R1" s="39" t="s">
        <v>2</v>
      </c>
      <c r="S1" s="39" t="s">
        <v>10</v>
      </c>
      <c r="T1" s="52" t="s">
        <v>3</v>
      </c>
      <c r="U1" s="4" t="s">
        <v>4</v>
      </c>
    </row>
    <row r="2" spans="2:21" ht="18.75" customHeight="1" x14ac:dyDescent="0.25">
      <c r="B2" s="23" t="str">
        <f>O1</f>
        <v>Stand:</v>
      </c>
      <c r="C2" s="22">
        <f>O2</f>
        <v>44146</v>
      </c>
      <c r="O2" s="22">
        <v>44146</v>
      </c>
      <c r="P2" s="41">
        <v>10</v>
      </c>
      <c r="Q2" s="42">
        <v>124716</v>
      </c>
      <c r="R2" s="42">
        <v>3892</v>
      </c>
      <c r="S2" s="43">
        <f>Tabelle1425371011121314161517[[#This Row],[Positiv Rate]]</f>
        <v>3.1206902081529233E-2</v>
      </c>
      <c r="T2" s="50">
        <f>Tabelle1425371011121314161517[[#This Row],[Positiv]]/Tabelle1425371011121314161517[[#This Row],[Test]]</f>
        <v>3.1206902081529233E-2</v>
      </c>
      <c r="U2" s="1">
        <v>90</v>
      </c>
    </row>
    <row r="3" spans="2:21" ht="15.75" customHeight="1" x14ac:dyDescent="0.25">
      <c r="O3" s="23" t="s">
        <v>11</v>
      </c>
      <c r="P3" s="41">
        <v>11</v>
      </c>
      <c r="Q3" s="42">
        <v>127457</v>
      </c>
      <c r="R3" s="42">
        <v>7582</v>
      </c>
      <c r="S3" s="43">
        <f>Tabelle1425371011121314161517[[#This Row],[Positiv Rate]]</f>
        <v>5.9486728857575499E-2</v>
      </c>
      <c r="T3" s="50">
        <f>Tabelle1425371011121314161517[[#This Row],[Positiv]]/Tabelle1425371011121314161517[[#This Row],[Test]]</f>
        <v>5.9486728857575499E-2</v>
      </c>
      <c r="U3" s="1">
        <v>114</v>
      </c>
    </row>
    <row r="4" spans="2:21" x14ac:dyDescent="0.25">
      <c r="O4" s="33" t="s">
        <v>12</v>
      </c>
      <c r="P4" s="41">
        <v>12</v>
      </c>
      <c r="Q4" s="42">
        <v>348619</v>
      </c>
      <c r="R4" s="42">
        <v>23820</v>
      </c>
      <c r="S4" s="43">
        <f>Tabelle1425371011121314161517[[#This Row],[Positiv Rate]]</f>
        <v>6.8326740653836995E-2</v>
      </c>
      <c r="T4" s="50">
        <f>Tabelle1425371011121314161517[[#This Row],[Positiv]]/Tabelle1425371011121314161517[[#This Row],[Test]]</f>
        <v>6.8326740653836995E-2</v>
      </c>
      <c r="U4" s="1">
        <v>152</v>
      </c>
    </row>
    <row r="5" spans="2:21" x14ac:dyDescent="0.25">
      <c r="P5" s="41">
        <v>13</v>
      </c>
      <c r="Q5" s="42">
        <v>361515</v>
      </c>
      <c r="R5" s="42">
        <v>31414</v>
      </c>
      <c r="S5" s="43">
        <f>Tabelle1425371011121314161517[[#This Row],[Positiv Rate]]</f>
        <v>8.6895426192550793E-2</v>
      </c>
      <c r="T5" s="50">
        <f>Tabelle1425371011121314161517[[#This Row],[Positiv]]/Tabelle1425371011121314161517[[#This Row],[Test]]</f>
        <v>8.6895426192550793E-2</v>
      </c>
      <c r="U5" s="1">
        <v>151</v>
      </c>
    </row>
    <row r="6" spans="2:21" x14ac:dyDescent="0.25">
      <c r="P6" s="41">
        <v>14</v>
      </c>
      <c r="Q6" s="42">
        <v>408348</v>
      </c>
      <c r="R6" s="42">
        <v>36885</v>
      </c>
      <c r="S6" s="43">
        <f>Tabelle1425371011121314161517[[#This Row],[Positiv Rate]]</f>
        <v>9.0327367833318642E-2</v>
      </c>
      <c r="T6" s="50">
        <f>Tabelle1425371011121314161517[[#This Row],[Positiv]]/Tabelle1425371011121314161517[[#This Row],[Test]]</f>
        <v>9.0327367833318642E-2</v>
      </c>
      <c r="U6" s="1">
        <v>154</v>
      </c>
    </row>
    <row r="7" spans="2:21" x14ac:dyDescent="0.25">
      <c r="P7" s="41">
        <v>15</v>
      </c>
      <c r="Q7" s="42">
        <v>380197</v>
      </c>
      <c r="R7" s="42">
        <v>30791</v>
      </c>
      <c r="S7" s="43">
        <f>Tabelle1425371011121314161517[[#This Row],[Positiv Rate]]</f>
        <v>8.0986962022320003E-2</v>
      </c>
      <c r="T7" s="50">
        <f>Tabelle1425371011121314161517[[#This Row],[Positiv]]/Tabelle1425371011121314161517[[#This Row],[Test]]</f>
        <v>8.0986962022320003E-2</v>
      </c>
      <c r="U7" s="1">
        <v>164</v>
      </c>
    </row>
    <row r="8" spans="2:21" x14ac:dyDescent="0.25">
      <c r="P8" s="41">
        <v>16</v>
      </c>
      <c r="Q8" s="42">
        <v>331902</v>
      </c>
      <c r="R8" s="42">
        <v>22082</v>
      </c>
      <c r="S8" s="43">
        <f>Tabelle1425371011121314161517[[#This Row],[Positiv Rate]]</f>
        <v>6.65316870642539E-2</v>
      </c>
      <c r="T8" s="50">
        <f>Tabelle1425371011121314161517[[#This Row],[Positiv]]/Tabelle1425371011121314161517[[#This Row],[Test]]</f>
        <v>6.65316870642539E-2</v>
      </c>
      <c r="U8" s="1">
        <v>168</v>
      </c>
    </row>
    <row r="9" spans="2:21" x14ac:dyDescent="0.25">
      <c r="P9" s="41">
        <v>17</v>
      </c>
      <c r="Q9" s="42">
        <v>363890</v>
      </c>
      <c r="R9" s="42">
        <v>18083</v>
      </c>
      <c r="S9" s="43">
        <f>Tabelle1425371011121314161517[[#This Row],[Positiv Rate]]</f>
        <v>4.9693588721866501E-2</v>
      </c>
      <c r="T9" s="50">
        <f>Tabelle1425371011121314161517[[#This Row],[Positiv]]/Tabelle1425371011121314161517[[#This Row],[Test]]</f>
        <v>4.9693588721866501E-2</v>
      </c>
      <c r="U9" s="1">
        <v>178</v>
      </c>
    </row>
    <row r="10" spans="2:21" x14ac:dyDescent="0.25">
      <c r="P10" s="41">
        <v>18</v>
      </c>
      <c r="Q10" s="42">
        <v>326788</v>
      </c>
      <c r="R10" s="42">
        <v>12608</v>
      </c>
      <c r="S10" s="43">
        <f>Tabelle1425371011121314161517[[#This Row],[Positiv Rate]]</f>
        <v>3.8581588063209174E-2</v>
      </c>
      <c r="T10" s="50">
        <f>Tabelle1425371011121314161517[[#This Row],[Positiv]]/Tabelle1425371011121314161517[[#This Row],[Test]]</f>
        <v>3.8581588063209174E-2</v>
      </c>
      <c r="U10" s="1">
        <v>175</v>
      </c>
    </row>
    <row r="11" spans="2:21" x14ac:dyDescent="0.25">
      <c r="P11" s="41">
        <v>19</v>
      </c>
      <c r="Q11" s="42">
        <v>403875</v>
      </c>
      <c r="R11" s="42">
        <v>10755</v>
      </c>
      <c r="S11" s="43">
        <f>Tabelle1425371011121314161517[[#This Row],[Positiv Rate]]</f>
        <v>2.6629526462395543E-2</v>
      </c>
      <c r="T11" s="50">
        <f>Tabelle1425371011121314161517[[#This Row],[Positiv]]/Tabelle1425371011121314161517[[#This Row],[Test]]</f>
        <v>2.6629526462395543E-2</v>
      </c>
      <c r="U11" s="1">
        <v>182</v>
      </c>
    </row>
    <row r="12" spans="2:21" x14ac:dyDescent="0.25">
      <c r="P12" s="41">
        <v>20</v>
      </c>
      <c r="Q12" s="42">
        <v>432076</v>
      </c>
      <c r="R12" s="42">
        <v>7080</v>
      </c>
      <c r="S12" s="43">
        <f>Tabelle1425371011121314161517[[#This Row],[Positiv Rate]]</f>
        <v>1.638600616558198E-2</v>
      </c>
      <c r="T12" s="50">
        <f>Tabelle1425371011121314161517[[#This Row],[Positiv]]/Tabelle1425371011121314161517[[#This Row],[Test]]</f>
        <v>1.638600616558198E-2</v>
      </c>
      <c r="U12" s="1">
        <v>185</v>
      </c>
    </row>
    <row r="13" spans="2:21" x14ac:dyDescent="0.25">
      <c r="P13" s="41">
        <v>21</v>
      </c>
      <c r="Q13" s="42">
        <v>354260</v>
      </c>
      <c r="R13" s="42">
        <v>5228</v>
      </c>
      <c r="S13" s="43">
        <f>Tabelle1425371011121314161517[[#This Row],[Positiv Rate]]</f>
        <v>1.4757522723423474E-2</v>
      </c>
      <c r="T13" s="50">
        <f>Tabelle1425371011121314161517[[#This Row],[Positiv]]/Tabelle1425371011121314161517[[#This Row],[Test]]</f>
        <v>1.4757522723423474E-2</v>
      </c>
      <c r="U13" s="1">
        <v>178</v>
      </c>
    </row>
    <row r="14" spans="2:21" x14ac:dyDescent="0.25">
      <c r="P14" s="41">
        <v>22</v>
      </c>
      <c r="Q14" s="42">
        <v>401589</v>
      </c>
      <c r="R14" s="42">
        <v>4267</v>
      </c>
      <c r="S14" s="43">
        <f>Tabelle1425371011121314161517[[#This Row],[Positiv Rate]]</f>
        <v>1.0625291031377852E-2</v>
      </c>
      <c r="T14" s="50">
        <f>Tabelle1425371011121314161517[[#This Row],[Positiv]]/Tabelle1425371011121314161517[[#This Row],[Test]]</f>
        <v>1.0625291031377852E-2</v>
      </c>
      <c r="U14" s="1">
        <v>173</v>
      </c>
    </row>
    <row r="15" spans="2:21" x14ac:dyDescent="0.25">
      <c r="P15" s="41">
        <v>23</v>
      </c>
      <c r="Q15" s="42">
        <v>337217</v>
      </c>
      <c r="R15" s="42">
        <v>3085</v>
      </c>
      <c r="S15" s="43">
        <f>Tabelle1425371011121314161517[[#This Row],[Positiv Rate]]</f>
        <v>9.1484118534949314E-3</v>
      </c>
      <c r="T15" s="50">
        <f>Tabelle1425371011121314161517[[#This Row],[Positiv]]/Tabelle1425371011121314161517[[#This Row],[Test]]</f>
        <v>9.1484118534949314E-3</v>
      </c>
      <c r="U15" s="1">
        <v>175</v>
      </c>
    </row>
    <row r="16" spans="2:21" x14ac:dyDescent="0.25">
      <c r="P16" s="41">
        <v>24</v>
      </c>
      <c r="Q16" s="42">
        <v>327196</v>
      </c>
      <c r="R16" s="42">
        <v>2816</v>
      </c>
      <c r="S16" s="43">
        <f>Tabelle1425371011121314161517[[#This Row],[Positiv Rate]]</f>
        <v>8.6064621816892631E-3</v>
      </c>
      <c r="T16" s="50">
        <f>Tabelle1425371011121314161517[[#This Row],[Positiv]]/Tabelle1425371011121314161517[[#This Row],[Test]]</f>
        <v>8.6064621816892631E-3</v>
      </c>
      <c r="U16" s="1">
        <v>173</v>
      </c>
    </row>
    <row r="17" spans="15:21" x14ac:dyDescent="0.25">
      <c r="P17" s="41">
        <v>25</v>
      </c>
      <c r="Q17" s="42">
        <v>386316</v>
      </c>
      <c r="R17" s="42">
        <v>5276</v>
      </c>
      <c r="S17" s="43">
        <f>Tabelle1425371011121314161517[[#This Row],[Positiv Rate]]</f>
        <v>1.3657213265823833E-2</v>
      </c>
      <c r="T17" s="50">
        <f>Tabelle1425371011121314161517[[#This Row],[Positiv]]/Tabelle1425371011121314161517[[#This Row],[Test]]</f>
        <v>1.3657213265823833E-2</v>
      </c>
      <c r="U17" s="1">
        <v>174</v>
      </c>
    </row>
    <row r="18" spans="15:21" x14ac:dyDescent="0.25">
      <c r="P18" s="41">
        <v>26</v>
      </c>
      <c r="Q18" s="42">
        <v>464626</v>
      </c>
      <c r="R18" s="42">
        <v>3682</v>
      </c>
      <c r="S18" s="43">
        <f>Tabelle1425371011121314161517[[#This Row],[Positiv Rate]]</f>
        <v>7.9246533771248281E-3</v>
      </c>
      <c r="T18" s="50">
        <f>Tabelle1425371011121314161517[[#This Row],[Positiv]]/Tabelle1425371011121314161517[[#This Row],[Test]]</f>
        <v>7.9246533771248281E-3</v>
      </c>
      <c r="U18" s="1">
        <v>179</v>
      </c>
    </row>
    <row r="19" spans="15:21" x14ac:dyDescent="0.25">
      <c r="P19" s="41">
        <v>27</v>
      </c>
      <c r="Q19" s="42">
        <v>506459</v>
      </c>
      <c r="R19" s="42">
        <v>3092</v>
      </c>
      <c r="S19" s="43">
        <f>Tabelle1425371011121314161517[[#This Row],[Positiv Rate]]</f>
        <v>6.1051338805312967E-3</v>
      </c>
      <c r="T19" s="50">
        <f>Tabelle1425371011121314161517[[#This Row],[Positiv]]/Tabelle1425371011121314161517[[#This Row],[Test]]</f>
        <v>6.1051338805312967E-3</v>
      </c>
      <c r="U19" s="1">
        <v>151</v>
      </c>
    </row>
    <row r="20" spans="15:21" x14ac:dyDescent="0.25">
      <c r="P20" s="41">
        <v>28</v>
      </c>
      <c r="Q20" s="42">
        <v>510551</v>
      </c>
      <c r="R20" s="42">
        <v>2992</v>
      </c>
      <c r="S20" s="43">
        <f>Tabelle1425371011121314161517[[#This Row],[Positiv Rate]]</f>
        <v>5.8603352064730066E-3</v>
      </c>
      <c r="T20" s="50">
        <f>Tabelle1425371011121314161517[[#This Row],[Positiv]]/Tabelle1425371011121314161517[[#This Row],[Test]]</f>
        <v>5.8603352064730066E-3</v>
      </c>
      <c r="U20" s="1">
        <v>179</v>
      </c>
    </row>
    <row r="21" spans="15:21" x14ac:dyDescent="0.25">
      <c r="P21" s="41">
        <v>29</v>
      </c>
      <c r="Q21" s="42">
        <v>538701</v>
      </c>
      <c r="R21" s="42">
        <v>3497</v>
      </c>
      <c r="S21" s="43">
        <f>Tabelle1425371011121314161517[[#This Row],[Positiv Rate]]</f>
        <v>6.4915416901026729E-3</v>
      </c>
      <c r="T21" s="50">
        <f>Tabelle1425371011121314161517[[#This Row],[Positiv]]/Tabelle1425371011121314161517[[#This Row],[Test]]</f>
        <v>6.4915416901026729E-3</v>
      </c>
      <c r="U21" s="1">
        <v>177</v>
      </c>
    </row>
    <row r="22" spans="15:21" x14ac:dyDescent="0.25">
      <c r="P22" s="41">
        <v>30</v>
      </c>
      <c r="Q22" s="42">
        <v>553429</v>
      </c>
      <c r="R22" s="42">
        <v>4458</v>
      </c>
      <c r="S22" s="43">
        <f>Tabelle1425371011121314161517[[#This Row],[Positiv Rate]]</f>
        <v>8.0552338240316278E-3</v>
      </c>
      <c r="T22" s="50">
        <f>Tabelle1425371011121314161517[[#This Row],[Positiv]]/Tabelle1425371011121314161517[[#This Row],[Test]]</f>
        <v>8.0552338240316278E-3</v>
      </c>
      <c r="U22" s="1">
        <v>182</v>
      </c>
    </row>
    <row r="23" spans="15:21" x14ac:dyDescent="0.25">
      <c r="P23" s="41">
        <v>31</v>
      </c>
      <c r="Q23" s="42">
        <v>586620</v>
      </c>
      <c r="R23" s="42">
        <v>5738</v>
      </c>
      <c r="S23" s="43">
        <f>Tabelle1425371011121314161517[[#This Row],[Positiv Rate]]</f>
        <v>9.7814598888547946E-3</v>
      </c>
      <c r="T23" s="50">
        <f>Tabelle1425371011121314161517[[#This Row],[Positiv]]/Tabelle1425371011121314161517[[#This Row],[Test]]</f>
        <v>9.7814598888547946E-3</v>
      </c>
      <c r="U23" s="1">
        <v>170</v>
      </c>
    </row>
    <row r="24" spans="15:21" ht="15" customHeight="1" x14ac:dyDescent="0.25">
      <c r="O24" s="61"/>
      <c r="P24" s="41">
        <v>32</v>
      </c>
      <c r="Q24" s="42">
        <v>716768</v>
      </c>
      <c r="R24" s="42">
        <v>7263</v>
      </c>
      <c r="S24" s="43">
        <f>Tabelle1425371011121314161517[[#This Row],[Positiv Rate]]</f>
        <v>1.013298584758248E-2</v>
      </c>
      <c r="T24" s="50">
        <f>Tabelle1425371011121314161517[[#This Row],[Positiv]]/Tabelle1425371011121314161517[[#This Row],[Test]]</f>
        <v>1.013298584758248E-2</v>
      </c>
      <c r="U24" s="1">
        <v>168</v>
      </c>
    </row>
    <row r="25" spans="15:21" ht="15" customHeight="1" x14ac:dyDescent="0.25">
      <c r="O25" s="61"/>
      <c r="P25" s="41">
        <v>33</v>
      </c>
      <c r="Q25" s="42">
        <v>835384</v>
      </c>
      <c r="R25" s="42">
        <v>8121</v>
      </c>
      <c r="S25" s="43">
        <f>Tabelle1425371011121314161517[[#This Row],[Positiv Rate]]</f>
        <v>9.7212778793943858E-3</v>
      </c>
      <c r="T25" s="50">
        <f>Tabelle1425371011121314161517[[#This Row],[Positiv]]/Tabelle1425371011121314161517[[#This Row],[Test]]</f>
        <v>9.7212778793943858E-3</v>
      </c>
      <c r="U25" s="1">
        <v>183</v>
      </c>
    </row>
    <row r="26" spans="15:21" x14ac:dyDescent="0.25">
      <c r="O26" s="61"/>
      <c r="P26" s="41">
        <v>34</v>
      </c>
      <c r="Q26" s="42">
        <v>1084446</v>
      </c>
      <c r="R26" s="42">
        <v>9143</v>
      </c>
      <c r="S26" s="43">
        <f>Tabelle1425371011121314161517[[#This Row],[Positiv Rate]]</f>
        <v>8.4310329882723526E-3</v>
      </c>
      <c r="T26" s="51">
        <f>Tabelle1425371011121314161517[[#This Row],[Positiv]]/Tabelle1425371011121314161517[[#This Row],[Test]]</f>
        <v>8.4310329882723526E-3</v>
      </c>
      <c r="U26" s="34">
        <v>196</v>
      </c>
    </row>
    <row r="27" spans="15:21" x14ac:dyDescent="0.25">
      <c r="O27" s="61"/>
      <c r="P27" s="41">
        <v>35</v>
      </c>
      <c r="Q27" s="42">
        <v>1120883</v>
      </c>
      <c r="R27" s="42">
        <v>8323</v>
      </c>
      <c r="S27" s="43">
        <f>Tabelle1425371011121314161517[[#This Row],[Positiv Rate]]</f>
        <v>7.4253958709338975E-3</v>
      </c>
      <c r="T27" s="51">
        <f>Tabelle1425371011121314161517[[#This Row],[Positiv]]/Tabelle1425371011121314161517[[#This Row],[Test]]</f>
        <v>7.4253958709338975E-3</v>
      </c>
      <c r="U27" s="34">
        <v>191</v>
      </c>
    </row>
    <row r="28" spans="15:21" x14ac:dyDescent="0.25">
      <c r="O28" s="61"/>
      <c r="P28" s="41">
        <v>36</v>
      </c>
      <c r="Q28" s="42">
        <v>1072316</v>
      </c>
      <c r="R28" s="42">
        <v>8294</v>
      </c>
      <c r="S28" s="43">
        <f>Tabelle1425371011121314161517[[#This Row],[Positiv Rate]]</f>
        <v>7.7346603053577486E-3</v>
      </c>
      <c r="T28" s="51">
        <f>Tabelle1425371011121314161517[[#This Row],[Positiv]]/Tabelle1425371011121314161517[[#This Row],[Test]]</f>
        <v>7.7346603053577486E-3</v>
      </c>
      <c r="U28" s="34">
        <v>192</v>
      </c>
    </row>
    <row r="29" spans="15:21" x14ac:dyDescent="0.25">
      <c r="P29" s="41">
        <v>37</v>
      </c>
      <c r="Q29" s="42">
        <v>1164932</v>
      </c>
      <c r="R29" s="42">
        <v>10046</v>
      </c>
      <c r="S29" s="43">
        <f>Tabelle1425371011121314161517[[#This Row],[Positiv Rate]]</f>
        <v>8.6236793220548502E-3</v>
      </c>
      <c r="T29" s="51">
        <f>Tabelle1425371011121314161517[[#This Row],[Positiv]]/Tabelle1425371011121314161517[[#This Row],[Test]]</f>
        <v>8.6236793220548502E-3</v>
      </c>
      <c r="U29" s="34">
        <v>194</v>
      </c>
    </row>
    <row r="30" spans="15:21" x14ac:dyDescent="0.25">
      <c r="P30" s="41">
        <v>38</v>
      </c>
      <c r="Q30" s="42">
        <v>1146565</v>
      </c>
      <c r="R30" s="42">
        <v>13261</v>
      </c>
      <c r="S30" s="43">
        <f>Tabelle1425371011121314161517[[#This Row],[Positiv Rate]]</f>
        <v>1.1565851042025529E-2</v>
      </c>
      <c r="T30" s="51">
        <f>Tabelle1425371011121314161517[[#This Row],[Positiv]]/Tabelle1425371011121314161517[[#This Row],[Test]]</f>
        <v>1.1565851042025529E-2</v>
      </c>
      <c r="U30" s="31">
        <v>203</v>
      </c>
    </row>
    <row r="31" spans="15:21" x14ac:dyDescent="0.25">
      <c r="P31" s="41">
        <v>39</v>
      </c>
      <c r="Q31" s="21">
        <v>1155995</v>
      </c>
      <c r="R31" s="21">
        <v>14094</v>
      </c>
      <c r="S31" s="32">
        <f>Tabelle1425371011121314161517[[#This Row],[Positiv Rate]]</f>
        <v>1.2192094256463048E-2</v>
      </c>
      <c r="T31" s="51">
        <f>Tabelle1425371011121314161517[[#This Row],[Positiv]]/Tabelle1425371011121314161517[[#This Row],[Test]]</f>
        <v>1.2192094256463048E-2</v>
      </c>
      <c r="U31" s="54">
        <v>189</v>
      </c>
    </row>
    <row r="32" spans="15:21" x14ac:dyDescent="0.25">
      <c r="P32" s="41">
        <v>40</v>
      </c>
      <c r="Q32" s="21">
        <v>1101413</v>
      </c>
      <c r="R32" s="21">
        <v>18290</v>
      </c>
      <c r="S32" s="32">
        <f>Tabelle1425371011121314161517[[#This Row],[Positiv Rate]]</f>
        <v>1.6605941640420077E-2</v>
      </c>
      <c r="T32" s="51">
        <f>Tabelle1425371011121314161517[[#This Row],[Positiv]]/Tabelle1425371011121314161517[[#This Row],[Test]]</f>
        <v>1.6605941640420077E-2</v>
      </c>
      <c r="U32" s="54">
        <v>191</v>
      </c>
    </row>
    <row r="33" spans="16:21" x14ac:dyDescent="0.25">
      <c r="P33" s="41">
        <v>41</v>
      </c>
      <c r="Q33" s="21">
        <v>1188338</v>
      </c>
      <c r="R33" s="21">
        <v>29567</v>
      </c>
      <c r="S33" s="32">
        <f>Tabelle1425371011121314161517[[#This Row],[Positiv Rate]]</f>
        <v>2.4880968209381505E-2</v>
      </c>
      <c r="T33" s="51">
        <f>Tabelle1425371011121314161517[[#This Row],[Positiv]]/Tabelle1425371011121314161517[[#This Row],[Test]]</f>
        <v>2.4880968209381505E-2</v>
      </c>
      <c r="U33" s="54">
        <v>191</v>
      </c>
    </row>
    <row r="34" spans="16:21" x14ac:dyDescent="0.25">
      <c r="P34" s="41">
        <v>42</v>
      </c>
      <c r="Q34" s="21">
        <v>1261398</v>
      </c>
      <c r="R34" s="21">
        <v>44733</v>
      </c>
      <c r="S34" s="32">
        <f>Tabelle1425371011121314161517[[#This Row],[Positiv Rate]]</f>
        <v>3.5463033871942086E-2</v>
      </c>
      <c r="T34" s="51">
        <f>Tabelle1425371011121314161517[[#This Row],[Positiv]]/Tabelle1425371011121314161517[[#This Row],[Test]]</f>
        <v>3.5463033871942086E-2</v>
      </c>
      <c r="U34" s="54">
        <v>198</v>
      </c>
    </row>
    <row r="35" spans="16:21" x14ac:dyDescent="0.25">
      <c r="P35" s="41">
        <v>43</v>
      </c>
      <c r="Q35" s="21">
        <v>1405543</v>
      </c>
      <c r="R35" s="21">
        <v>77393</v>
      </c>
      <c r="S35" s="32">
        <f>Tabelle1425371011121314161517[[#This Row],[Positiv Rate]]</f>
        <v>5.506270530321733E-2</v>
      </c>
      <c r="T35" s="51">
        <f>Tabelle1425371011121314161517[[#This Row],[Positiv]]/Tabelle1425371011121314161517[[#This Row],[Test]]</f>
        <v>5.506270530321733E-2</v>
      </c>
      <c r="U35" s="54">
        <v>201</v>
      </c>
    </row>
    <row r="36" spans="16:21" x14ac:dyDescent="0.25">
      <c r="P36" s="41">
        <v>44</v>
      </c>
      <c r="Q36" s="21">
        <v>1614670</v>
      </c>
      <c r="R36" s="21">
        <v>115758</v>
      </c>
      <c r="S36" s="32">
        <f>Tabelle1425371011121314161517[[#This Row],[Positiv Rate]]</f>
        <v>7.1691429208445068E-2</v>
      </c>
      <c r="T36" s="51">
        <f>Tabelle1425371011121314161517[[#This Row],[Positiv]]/Tabelle1425371011121314161517[[#This Row],[Test]]</f>
        <v>7.1691429208445068E-2</v>
      </c>
      <c r="U36" s="54">
        <v>198</v>
      </c>
    </row>
    <row r="37" spans="16:21" x14ac:dyDescent="0.25">
      <c r="P37" s="41">
        <v>45</v>
      </c>
      <c r="Q37" s="21">
        <v>1565418</v>
      </c>
      <c r="R37" s="21">
        <v>123383</v>
      </c>
      <c r="S37" s="32">
        <f>Tabelle1425371011121314161517[[#This Row],[Positiv Rate]]</f>
        <v>7.8817925946935583E-2</v>
      </c>
      <c r="T37" s="51">
        <f>Tabelle1425371011121314161517[[#This Row],[Positiv]]/Tabelle1425371011121314161517[[#This Row],[Test]]</f>
        <v>7.8817925946935583E-2</v>
      </c>
      <c r="U37" s="54">
        <v>188</v>
      </c>
    </row>
    <row r="38" spans="16:21" ht="15.75" thickBot="1" x14ac:dyDescent="0.3"/>
    <row r="39" spans="16:21" x14ac:dyDescent="0.25">
      <c r="P39" s="35" t="s">
        <v>6</v>
      </c>
      <c r="Q39" s="36">
        <f>SUM(Tabelle1425371011121314161517[Test])</f>
        <v>25010416</v>
      </c>
      <c r="R39" s="37">
        <f>SUM(Tabelle1425371011121314161517[Positiv])</f>
        <v>736792</v>
      </c>
    </row>
  </sheetData>
  <mergeCells count="1">
    <mergeCell ref="O24:O28"/>
  </mergeCells>
  <pageMargins left="0.70866141732283472" right="0.70866141732283472" top="0" bottom="0" header="0.31496062992125984" footer="0.31496062992125984"/>
  <pageSetup paperSize="9" orientation="landscape" horizontalDpi="4294967293" verticalDpi="4294967293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2D8E-5439-4852-A3C6-8A83779D7303}">
  <dimension ref="B1:U39"/>
  <sheetViews>
    <sheetView showGridLines="0" zoomScale="85" zoomScaleNormal="85" workbookViewId="0">
      <selection activeCell="W15" sqref="W15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6.5703125" customWidth="1"/>
    <col min="20" max="20" width="0.7109375" customWidth="1"/>
    <col min="21" max="21" width="6.5703125" hidden="1" customWidth="1"/>
    <col min="22" max="22" width="6.5703125" customWidth="1"/>
  </cols>
  <sheetData>
    <row r="1" spans="2:21" ht="15.75" thickBot="1" x14ac:dyDescent="0.3">
      <c r="O1" s="23" t="s">
        <v>9</v>
      </c>
    </row>
    <row r="2" spans="2:21" ht="18.75" customHeight="1" x14ac:dyDescent="0.25">
      <c r="B2" s="23" t="str">
        <f>O1</f>
        <v>Stand:</v>
      </c>
      <c r="C2" s="22">
        <f>O2</f>
        <v>44139</v>
      </c>
      <c r="O2" s="22">
        <v>44139</v>
      </c>
      <c r="P2" s="38" t="s">
        <v>0</v>
      </c>
      <c r="Q2" s="39" t="s">
        <v>1</v>
      </c>
      <c r="R2" s="39" t="s">
        <v>2</v>
      </c>
      <c r="S2" s="39" t="s">
        <v>10</v>
      </c>
      <c r="T2" s="52" t="s">
        <v>3</v>
      </c>
      <c r="U2" s="4" t="s">
        <v>4</v>
      </c>
    </row>
    <row r="3" spans="2:21" ht="15.75" customHeight="1" x14ac:dyDescent="0.25">
      <c r="O3" s="23" t="s">
        <v>11</v>
      </c>
      <c r="P3" s="41">
        <v>10</v>
      </c>
      <c r="Q3" s="42">
        <v>124716</v>
      </c>
      <c r="R3" s="42">
        <v>3892</v>
      </c>
      <c r="S3" s="43">
        <f>Tabelle14253710111213141615[[#This Row],[Positiv Rate]]</f>
        <v>3.1206902081529233E-2</v>
      </c>
      <c r="T3" s="50">
        <f>Tabelle14253710111213141615[[#This Row],[Positiv]]/Tabelle14253710111213141615[[#This Row],[Test]]</f>
        <v>3.1206902081529233E-2</v>
      </c>
      <c r="U3" s="1">
        <v>90</v>
      </c>
    </row>
    <row r="4" spans="2:21" x14ac:dyDescent="0.25">
      <c r="O4" s="33" t="s">
        <v>12</v>
      </c>
      <c r="P4" s="41">
        <v>11</v>
      </c>
      <c r="Q4" s="42">
        <v>127457</v>
      </c>
      <c r="R4" s="42">
        <v>7582</v>
      </c>
      <c r="S4" s="43">
        <f>Tabelle14253710111213141615[[#This Row],[Positiv Rate]]</f>
        <v>5.9486728857575499E-2</v>
      </c>
      <c r="T4" s="50">
        <f>Tabelle14253710111213141615[[#This Row],[Positiv]]/Tabelle14253710111213141615[[#This Row],[Test]]</f>
        <v>5.9486728857575499E-2</v>
      </c>
      <c r="U4" s="1">
        <v>114</v>
      </c>
    </row>
    <row r="5" spans="2:21" x14ac:dyDescent="0.25">
      <c r="P5" s="41">
        <v>12</v>
      </c>
      <c r="Q5" s="42">
        <v>348619</v>
      </c>
      <c r="R5" s="42">
        <v>23820</v>
      </c>
      <c r="S5" s="43">
        <f>Tabelle14253710111213141615[[#This Row],[Positiv Rate]]</f>
        <v>6.8326740653836995E-2</v>
      </c>
      <c r="T5" s="50">
        <f>Tabelle14253710111213141615[[#This Row],[Positiv]]/Tabelle14253710111213141615[[#This Row],[Test]]</f>
        <v>6.8326740653836995E-2</v>
      </c>
      <c r="U5" s="1">
        <v>152</v>
      </c>
    </row>
    <row r="6" spans="2:21" x14ac:dyDescent="0.25">
      <c r="P6" s="41">
        <v>13</v>
      </c>
      <c r="Q6" s="42">
        <v>361515</v>
      </c>
      <c r="R6" s="42">
        <v>31414</v>
      </c>
      <c r="S6" s="43">
        <f>Tabelle14253710111213141615[[#This Row],[Positiv Rate]]</f>
        <v>8.6895426192550793E-2</v>
      </c>
      <c r="T6" s="50">
        <f>Tabelle14253710111213141615[[#This Row],[Positiv]]/Tabelle14253710111213141615[[#This Row],[Test]]</f>
        <v>8.6895426192550793E-2</v>
      </c>
      <c r="U6" s="1">
        <v>151</v>
      </c>
    </row>
    <row r="7" spans="2:21" x14ac:dyDescent="0.25">
      <c r="P7" s="41">
        <v>14</v>
      </c>
      <c r="Q7" s="42">
        <v>408348</v>
      </c>
      <c r="R7" s="42">
        <v>36885</v>
      </c>
      <c r="S7" s="43">
        <f>Tabelle14253710111213141615[[#This Row],[Positiv Rate]]</f>
        <v>9.0327367833318642E-2</v>
      </c>
      <c r="T7" s="50">
        <f>Tabelle14253710111213141615[[#This Row],[Positiv]]/Tabelle14253710111213141615[[#This Row],[Test]]</f>
        <v>9.0327367833318642E-2</v>
      </c>
      <c r="U7" s="1">
        <v>154</v>
      </c>
    </row>
    <row r="8" spans="2:21" x14ac:dyDescent="0.25">
      <c r="P8" s="41">
        <v>15</v>
      </c>
      <c r="Q8" s="42">
        <v>380197</v>
      </c>
      <c r="R8" s="42">
        <v>30791</v>
      </c>
      <c r="S8" s="43">
        <f>Tabelle14253710111213141615[[#This Row],[Positiv Rate]]</f>
        <v>8.0986962022320003E-2</v>
      </c>
      <c r="T8" s="50">
        <f>Tabelle14253710111213141615[[#This Row],[Positiv]]/Tabelle14253710111213141615[[#This Row],[Test]]</f>
        <v>8.0986962022320003E-2</v>
      </c>
      <c r="U8" s="1">
        <v>164</v>
      </c>
    </row>
    <row r="9" spans="2:21" x14ac:dyDescent="0.25">
      <c r="P9" s="41">
        <v>16</v>
      </c>
      <c r="Q9" s="42">
        <v>331902</v>
      </c>
      <c r="R9" s="42">
        <v>22082</v>
      </c>
      <c r="S9" s="43">
        <f>Tabelle14253710111213141615[[#This Row],[Positiv Rate]]</f>
        <v>6.65316870642539E-2</v>
      </c>
      <c r="T9" s="50">
        <f>Tabelle14253710111213141615[[#This Row],[Positiv]]/Tabelle14253710111213141615[[#This Row],[Test]]</f>
        <v>6.65316870642539E-2</v>
      </c>
      <c r="U9" s="1">
        <v>168</v>
      </c>
    </row>
    <row r="10" spans="2:21" x14ac:dyDescent="0.25">
      <c r="P10" s="41">
        <v>17</v>
      </c>
      <c r="Q10" s="42">
        <v>363890</v>
      </c>
      <c r="R10" s="42">
        <v>18083</v>
      </c>
      <c r="S10" s="43">
        <f>Tabelle14253710111213141615[[#This Row],[Positiv Rate]]</f>
        <v>4.9693588721866501E-2</v>
      </c>
      <c r="T10" s="50">
        <f>Tabelle14253710111213141615[[#This Row],[Positiv]]/Tabelle14253710111213141615[[#This Row],[Test]]</f>
        <v>4.9693588721866501E-2</v>
      </c>
      <c r="U10" s="1">
        <v>178</v>
      </c>
    </row>
    <row r="11" spans="2:21" x14ac:dyDescent="0.25">
      <c r="P11" s="41">
        <v>18</v>
      </c>
      <c r="Q11" s="42">
        <v>326788</v>
      </c>
      <c r="R11" s="42">
        <v>12608</v>
      </c>
      <c r="S11" s="43">
        <f>Tabelle14253710111213141615[[#This Row],[Positiv Rate]]</f>
        <v>3.8581588063209174E-2</v>
      </c>
      <c r="T11" s="50">
        <f>Tabelle14253710111213141615[[#This Row],[Positiv]]/Tabelle14253710111213141615[[#This Row],[Test]]</f>
        <v>3.8581588063209174E-2</v>
      </c>
      <c r="U11" s="1">
        <v>175</v>
      </c>
    </row>
    <row r="12" spans="2:21" x14ac:dyDescent="0.25">
      <c r="P12" s="41">
        <v>19</v>
      </c>
      <c r="Q12" s="42">
        <v>403875</v>
      </c>
      <c r="R12" s="42">
        <v>10755</v>
      </c>
      <c r="S12" s="43">
        <f>Tabelle14253710111213141615[[#This Row],[Positiv Rate]]</f>
        <v>2.6629526462395543E-2</v>
      </c>
      <c r="T12" s="50">
        <f>Tabelle14253710111213141615[[#This Row],[Positiv]]/Tabelle14253710111213141615[[#This Row],[Test]]</f>
        <v>2.6629526462395543E-2</v>
      </c>
      <c r="U12" s="1">
        <v>182</v>
      </c>
    </row>
    <row r="13" spans="2:21" x14ac:dyDescent="0.25">
      <c r="P13" s="41">
        <v>20</v>
      </c>
      <c r="Q13" s="42">
        <v>432076</v>
      </c>
      <c r="R13" s="42">
        <v>7080</v>
      </c>
      <c r="S13" s="43">
        <f>Tabelle14253710111213141615[[#This Row],[Positiv Rate]]</f>
        <v>1.638600616558198E-2</v>
      </c>
      <c r="T13" s="50">
        <f>Tabelle14253710111213141615[[#This Row],[Positiv]]/Tabelle14253710111213141615[[#This Row],[Test]]</f>
        <v>1.638600616558198E-2</v>
      </c>
      <c r="U13" s="1">
        <v>185</v>
      </c>
    </row>
    <row r="14" spans="2:21" x14ac:dyDescent="0.25">
      <c r="P14" s="41">
        <v>21</v>
      </c>
      <c r="Q14" s="42">
        <v>354260</v>
      </c>
      <c r="R14" s="42">
        <v>5228</v>
      </c>
      <c r="S14" s="43">
        <f>Tabelle14253710111213141615[[#This Row],[Positiv Rate]]</f>
        <v>1.4757522723423474E-2</v>
      </c>
      <c r="T14" s="50">
        <f>Tabelle14253710111213141615[[#This Row],[Positiv]]/Tabelle14253710111213141615[[#This Row],[Test]]</f>
        <v>1.4757522723423474E-2</v>
      </c>
      <c r="U14" s="1">
        <v>178</v>
      </c>
    </row>
    <row r="15" spans="2:21" x14ac:dyDescent="0.25">
      <c r="P15" s="41">
        <v>22</v>
      </c>
      <c r="Q15" s="42">
        <v>401589</v>
      </c>
      <c r="R15" s="42">
        <v>4267</v>
      </c>
      <c r="S15" s="43">
        <f>Tabelle14253710111213141615[[#This Row],[Positiv Rate]]</f>
        <v>1.0625291031377852E-2</v>
      </c>
      <c r="T15" s="50">
        <f>Tabelle14253710111213141615[[#This Row],[Positiv]]/Tabelle14253710111213141615[[#This Row],[Test]]</f>
        <v>1.0625291031377852E-2</v>
      </c>
      <c r="U15" s="1">
        <v>173</v>
      </c>
    </row>
    <row r="16" spans="2:21" x14ac:dyDescent="0.25">
      <c r="P16" s="41">
        <v>23</v>
      </c>
      <c r="Q16" s="42">
        <v>337217</v>
      </c>
      <c r="R16" s="42">
        <v>3085</v>
      </c>
      <c r="S16" s="43">
        <f>Tabelle14253710111213141615[[#This Row],[Positiv Rate]]</f>
        <v>9.1484118534949314E-3</v>
      </c>
      <c r="T16" s="50">
        <f>Tabelle14253710111213141615[[#This Row],[Positiv]]/Tabelle14253710111213141615[[#This Row],[Test]]</f>
        <v>9.1484118534949314E-3</v>
      </c>
      <c r="U16" s="1">
        <v>175</v>
      </c>
    </row>
    <row r="17" spans="15:21" x14ac:dyDescent="0.25">
      <c r="P17" s="41">
        <v>24</v>
      </c>
      <c r="Q17" s="42">
        <v>327196</v>
      </c>
      <c r="R17" s="42">
        <v>2816</v>
      </c>
      <c r="S17" s="43">
        <f>Tabelle14253710111213141615[[#This Row],[Positiv Rate]]</f>
        <v>8.6064621816892631E-3</v>
      </c>
      <c r="T17" s="50">
        <f>Tabelle14253710111213141615[[#This Row],[Positiv]]/Tabelle14253710111213141615[[#This Row],[Test]]</f>
        <v>8.6064621816892631E-3</v>
      </c>
      <c r="U17" s="1">
        <v>173</v>
      </c>
    </row>
    <row r="18" spans="15:21" x14ac:dyDescent="0.25">
      <c r="P18" s="41">
        <v>25</v>
      </c>
      <c r="Q18" s="42">
        <v>386316</v>
      </c>
      <c r="R18" s="42">
        <v>5276</v>
      </c>
      <c r="S18" s="43">
        <f>Tabelle14253710111213141615[[#This Row],[Positiv Rate]]</f>
        <v>1.3657213265823833E-2</v>
      </c>
      <c r="T18" s="50">
        <f>Tabelle14253710111213141615[[#This Row],[Positiv]]/Tabelle14253710111213141615[[#This Row],[Test]]</f>
        <v>1.3657213265823833E-2</v>
      </c>
      <c r="U18" s="1">
        <v>174</v>
      </c>
    </row>
    <row r="19" spans="15:21" x14ac:dyDescent="0.25">
      <c r="P19" s="41">
        <v>26</v>
      </c>
      <c r="Q19" s="42">
        <v>464626</v>
      </c>
      <c r="R19" s="42">
        <v>3682</v>
      </c>
      <c r="S19" s="43">
        <f>Tabelle14253710111213141615[[#This Row],[Positiv Rate]]</f>
        <v>7.9246533771248281E-3</v>
      </c>
      <c r="T19" s="50">
        <f>Tabelle14253710111213141615[[#This Row],[Positiv]]/Tabelle14253710111213141615[[#This Row],[Test]]</f>
        <v>7.9246533771248281E-3</v>
      </c>
      <c r="U19" s="1">
        <v>179</v>
      </c>
    </row>
    <row r="20" spans="15:21" x14ac:dyDescent="0.25">
      <c r="P20" s="41">
        <v>27</v>
      </c>
      <c r="Q20" s="42">
        <v>506459</v>
      </c>
      <c r="R20" s="42">
        <v>3092</v>
      </c>
      <c r="S20" s="43">
        <f>Tabelle14253710111213141615[[#This Row],[Positiv Rate]]</f>
        <v>6.1051338805312967E-3</v>
      </c>
      <c r="T20" s="50">
        <f>Tabelle14253710111213141615[[#This Row],[Positiv]]/Tabelle14253710111213141615[[#This Row],[Test]]</f>
        <v>6.1051338805312967E-3</v>
      </c>
      <c r="U20" s="1">
        <v>151</v>
      </c>
    </row>
    <row r="21" spans="15:21" x14ac:dyDescent="0.25">
      <c r="P21" s="41">
        <v>28</v>
      </c>
      <c r="Q21" s="42">
        <v>510551</v>
      </c>
      <c r="R21" s="42">
        <v>2992</v>
      </c>
      <c r="S21" s="43">
        <f>Tabelle14253710111213141615[[#This Row],[Positiv Rate]]</f>
        <v>5.8603352064730066E-3</v>
      </c>
      <c r="T21" s="50">
        <f>Tabelle14253710111213141615[[#This Row],[Positiv]]/Tabelle14253710111213141615[[#This Row],[Test]]</f>
        <v>5.8603352064730066E-3</v>
      </c>
      <c r="U21" s="1">
        <v>179</v>
      </c>
    </row>
    <row r="22" spans="15:21" x14ac:dyDescent="0.25">
      <c r="P22" s="41">
        <v>29</v>
      </c>
      <c r="Q22" s="42">
        <v>538701</v>
      </c>
      <c r="R22" s="42">
        <v>3497</v>
      </c>
      <c r="S22" s="43">
        <f>Tabelle14253710111213141615[[#This Row],[Positiv Rate]]</f>
        <v>6.4915416901026729E-3</v>
      </c>
      <c r="T22" s="50">
        <f>Tabelle14253710111213141615[[#This Row],[Positiv]]/Tabelle14253710111213141615[[#This Row],[Test]]</f>
        <v>6.4915416901026729E-3</v>
      </c>
      <c r="U22" s="1">
        <v>177</v>
      </c>
    </row>
    <row r="23" spans="15:21" x14ac:dyDescent="0.25">
      <c r="P23" s="41">
        <v>30</v>
      </c>
      <c r="Q23" s="42">
        <v>553429</v>
      </c>
      <c r="R23" s="42">
        <v>4458</v>
      </c>
      <c r="S23" s="43">
        <f>Tabelle14253710111213141615[[#This Row],[Positiv Rate]]</f>
        <v>8.0552338240316278E-3</v>
      </c>
      <c r="T23" s="50">
        <f>Tabelle14253710111213141615[[#This Row],[Positiv]]/Tabelle14253710111213141615[[#This Row],[Test]]</f>
        <v>8.0552338240316278E-3</v>
      </c>
      <c r="U23" s="1">
        <v>182</v>
      </c>
    </row>
    <row r="24" spans="15:21" ht="15" customHeight="1" x14ac:dyDescent="0.25">
      <c r="O24" s="61"/>
      <c r="P24" s="41">
        <v>31</v>
      </c>
      <c r="Q24" s="42">
        <v>586620</v>
      </c>
      <c r="R24" s="42">
        <v>5738</v>
      </c>
      <c r="S24" s="43">
        <f>Tabelle14253710111213141615[[#This Row],[Positiv Rate]]</f>
        <v>9.7814598888547946E-3</v>
      </c>
      <c r="T24" s="50">
        <f>Tabelle14253710111213141615[[#This Row],[Positiv]]/Tabelle14253710111213141615[[#This Row],[Test]]</f>
        <v>9.7814598888547946E-3</v>
      </c>
      <c r="U24" s="1">
        <v>170</v>
      </c>
    </row>
    <row r="25" spans="15:21" ht="15" customHeight="1" x14ac:dyDescent="0.25">
      <c r="O25" s="61"/>
      <c r="P25" s="41">
        <v>32</v>
      </c>
      <c r="Q25" s="42">
        <v>716768</v>
      </c>
      <c r="R25" s="42">
        <v>7263</v>
      </c>
      <c r="S25" s="43">
        <f>Tabelle14253710111213141615[[#This Row],[Positiv Rate]]</f>
        <v>1.013298584758248E-2</v>
      </c>
      <c r="T25" s="50">
        <f>Tabelle14253710111213141615[[#This Row],[Positiv]]/Tabelle14253710111213141615[[#This Row],[Test]]</f>
        <v>1.013298584758248E-2</v>
      </c>
      <c r="U25" s="1">
        <v>168</v>
      </c>
    </row>
    <row r="26" spans="15:21" x14ac:dyDescent="0.25">
      <c r="O26" s="61"/>
      <c r="P26" s="41">
        <v>33</v>
      </c>
      <c r="Q26" s="42">
        <v>835384</v>
      </c>
      <c r="R26" s="42">
        <v>8121</v>
      </c>
      <c r="S26" s="43">
        <f>Tabelle14253710111213141615[[#This Row],[Positiv Rate]]</f>
        <v>9.7212778793943858E-3</v>
      </c>
      <c r="T26" s="50">
        <f>Tabelle14253710111213141615[[#This Row],[Positiv]]/Tabelle14253710111213141615[[#This Row],[Test]]</f>
        <v>9.7212778793943858E-3</v>
      </c>
      <c r="U26" s="1">
        <v>183</v>
      </c>
    </row>
    <row r="27" spans="15:21" x14ac:dyDescent="0.25">
      <c r="O27" s="61"/>
      <c r="P27" s="41">
        <v>34</v>
      </c>
      <c r="Q27" s="42">
        <v>1084446</v>
      </c>
      <c r="R27" s="42">
        <v>9143</v>
      </c>
      <c r="S27" s="43">
        <f>Tabelle14253710111213141615[[#This Row],[Positiv Rate]]</f>
        <v>8.4310329882723526E-3</v>
      </c>
      <c r="T27" s="51">
        <f>Tabelle14253710111213141615[[#This Row],[Positiv]]/Tabelle14253710111213141615[[#This Row],[Test]]</f>
        <v>8.4310329882723526E-3</v>
      </c>
      <c r="U27" s="34">
        <v>196</v>
      </c>
    </row>
    <row r="28" spans="15:21" x14ac:dyDescent="0.25">
      <c r="O28" s="61"/>
      <c r="P28" s="41">
        <v>35</v>
      </c>
      <c r="Q28" s="42">
        <v>1120883</v>
      </c>
      <c r="R28" s="42">
        <v>8323</v>
      </c>
      <c r="S28" s="43">
        <f>Tabelle14253710111213141615[[#This Row],[Positiv Rate]]</f>
        <v>7.4253958709338975E-3</v>
      </c>
      <c r="T28" s="51">
        <f>Tabelle14253710111213141615[[#This Row],[Positiv]]/Tabelle14253710111213141615[[#This Row],[Test]]</f>
        <v>7.4253958709338975E-3</v>
      </c>
      <c r="U28" s="34">
        <v>191</v>
      </c>
    </row>
    <row r="29" spans="15:21" x14ac:dyDescent="0.25">
      <c r="P29" s="41">
        <v>36</v>
      </c>
      <c r="Q29" s="42">
        <v>1072316</v>
      </c>
      <c r="R29" s="42">
        <v>8294</v>
      </c>
      <c r="S29" s="43">
        <f>Tabelle14253710111213141615[[#This Row],[Positiv Rate]]</f>
        <v>7.7346603053577486E-3</v>
      </c>
      <c r="T29" s="51">
        <f>Tabelle14253710111213141615[[#This Row],[Positiv]]/Tabelle14253710111213141615[[#This Row],[Test]]</f>
        <v>7.7346603053577486E-3</v>
      </c>
      <c r="U29" s="34">
        <v>192</v>
      </c>
    </row>
    <row r="30" spans="15:21" x14ac:dyDescent="0.25">
      <c r="P30" s="41">
        <v>37</v>
      </c>
      <c r="Q30" s="42">
        <v>1164932</v>
      </c>
      <c r="R30" s="42">
        <v>10046</v>
      </c>
      <c r="S30" s="43">
        <f>Tabelle14253710111213141615[[#This Row],[Positiv Rate]]</f>
        <v>8.6236793220548502E-3</v>
      </c>
      <c r="T30" s="51">
        <f>Tabelle14253710111213141615[[#This Row],[Positiv]]/Tabelle14253710111213141615[[#This Row],[Test]]</f>
        <v>8.6236793220548502E-3</v>
      </c>
      <c r="U30" s="34">
        <v>194</v>
      </c>
    </row>
    <row r="31" spans="15:21" x14ac:dyDescent="0.25">
      <c r="P31" s="41">
        <v>38</v>
      </c>
      <c r="Q31" s="42">
        <v>1146565</v>
      </c>
      <c r="R31" s="42">
        <v>13261</v>
      </c>
      <c r="S31" s="43">
        <f>Tabelle14253710111213141615[[#This Row],[Positiv Rate]]</f>
        <v>1.1565851042025529E-2</v>
      </c>
      <c r="T31" s="51">
        <f>Tabelle14253710111213141615[[#This Row],[Positiv]]/Tabelle14253710111213141615[[#This Row],[Test]]</f>
        <v>1.1565851042025529E-2</v>
      </c>
      <c r="U31" s="31">
        <v>203</v>
      </c>
    </row>
    <row r="32" spans="15:21" x14ac:dyDescent="0.25">
      <c r="P32" s="41">
        <v>39</v>
      </c>
      <c r="Q32" s="21">
        <v>1155995</v>
      </c>
      <c r="R32" s="21">
        <v>14094</v>
      </c>
      <c r="S32" s="32">
        <f>Tabelle14253710111213141615[[#This Row],[Positiv Rate]]</f>
        <v>1.2192094256463048E-2</v>
      </c>
      <c r="T32" s="51">
        <f>Tabelle14253710111213141615[[#This Row],[Positiv]]/Tabelle14253710111213141615[[#This Row],[Test]]</f>
        <v>1.2192094256463048E-2</v>
      </c>
      <c r="U32" s="54">
        <v>189</v>
      </c>
    </row>
    <row r="33" spans="16:21" x14ac:dyDescent="0.25">
      <c r="P33" s="41">
        <v>40</v>
      </c>
      <c r="Q33" s="21">
        <v>1101413</v>
      </c>
      <c r="R33" s="21">
        <v>18290</v>
      </c>
      <c r="S33" s="32">
        <f>Tabelle14253710111213141615[[#This Row],[Positiv Rate]]</f>
        <v>1.6605941640420077E-2</v>
      </c>
      <c r="T33" s="51">
        <f>Tabelle14253710111213141615[[#This Row],[Positiv]]/Tabelle14253710111213141615[[#This Row],[Test]]</f>
        <v>1.6605941640420077E-2</v>
      </c>
      <c r="U33" s="54">
        <v>191</v>
      </c>
    </row>
    <row r="34" spans="16:21" x14ac:dyDescent="0.25">
      <c r="P34" s="41">
        <v>41</v>
      </c>
      <c r="Q34" s="21">
        <v>1188338</v>
      </c>
      <c r="R34" s="21">
        <v>29567</v>
      </c>
      <c r="S34" s="32">
        <f>Tabelle14253710111213141615[[#This Row],[Positiv Rate]]</f>
        <v>2.4880968209381505E-2</v>
      </c>
      <c r="T34" s="51">
        <f>Tabelle14253710111213141615[[#This Row],[Positiv]]/Tabelle14253710111213141615[[#This Row],[Test]]</f>
        <v>2.4880968209381505E-2</v>
      </c>
      <c r="U34" s="54">
        <v>191</v>
      </c>
    </row>
    <row r="35" spans="16:21" x14ac:dyDescent="0.25">
      <c r="P35" s="41">
        <v>42</v>
      </c>
      <c r="Q35" s="21">
        <v>1261398</v>
      </c>
      <c r="R35" s="21">
        <v>44733</v>
      </c>
      <c r="S35" s="32">
        <f>Tabelle14253710111213141615[[#This Row],[Positiv Rate]]</f>
        <v>3.5463033871942086E-2</v>
      </c>
      <c r="T35" s="51">
        <f>Tabelle14253710111213141615[[#This Row],[Positiv]]/Tabelle14253710111213141615[[#This Row],[Test]]</f>
        <v>3.5463033871942086E-2</v>
      </c>
      <c r="U35" s="54">
        <v>198</v>
      </c>
    </row>
    <row r="36" spans="16:21" x14ac:dyDescent="0.25">
      <c r="P36" s="41">
        <v>43</v>
      </c>
      <c r="Q36" s="21">
        <v>1401443</v>
      </c>
      <c r="R36" s="21">
        <v>77168</v>
      </c>
      <c r="S36" s="32">
        <f>Tabelle14253710111213141615[[#This Row],[Positiv Rate]]</f>
        <v>5.5063245526218337E-2</v>
      </c>
      <c r="T36" s="51">
        <f>Tabelle14253710111213141615[[#This Row],[Positiv]]/Tabelle14253710111213141615[[#This Row],[Test]]</f>
        <v>5.5063245526218337E-2</v>
      </c>
      <c r="U36" s="54">
        <v>197</v>
      </c>
    </row>
    <row r="37" spans="16:21" x14ac:dyDescent="0.25">
      <c r="P37" s="41">
        <v>44</v>
      </c>
      <c r="Q37" s="21">
        <v>1567083</v>
      </c>
      <c r="R37" s="21">
        <v>113822</v>
      </c>
      <c r="S37" s="32">
        <f>Tabelle14253710111213141615[[#This Row],[Positiv Rate]]</f>
        <v>7.2633038581874726E-2</v>
      </c>
      <c r="T37" s="51">
        <f>Tabelle14253710111213141615[[#This Row],[Positiv]]/Tabelle14253710111213141615[[#This Row],[Test]]</f>
        <v>7.2633038581874726E-2</v>
      </c>
      <c r="U37" s="54">
        <v>191</v>
      </c>
    </row>
    <row r="38" spans="16:21" ht="15.75" thickBot="1" x14ac:dyDescent="0.3"/>
    <row r="39" spans="16:21" x14ac:dyDescent="0.25">
      <c r="P39" s="35" t="s">
        <v>6</v>
      </c>
      <c r="Q39" s="36">
        <f>SUM(Tabelle14253710111213141615[Test])</f>
        <v>23393311</v>
      </c>
      <c r="R39" s="37">
        <f>SUM(Tabelle14253710111213141615[Positiv])</f>
        <v>611248</v>
      </c>
    </row>
  </sheetData>
  <mergeCells count="1">
    <mergeCell ref="O24:O28"/>
  </mergeCells>
  <pageMargins left="0.70866141732283472" right="0.70866141732283472" top="0" bottom="0" header="0.31496062992125984" footer="0.31496062992125984"/>
  <pageSetup paperSize="9" orientation="landscape" horizontalDpi="4294967293" verticalDpi="4294967293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DC84-C607-4BEC-A492-363B3B382E88}">
  <dimension ref="B1:U38"/>
  <sheetViews>
    <sheetView showGridLines="0" zoomScale="85" zoomScaleNormal="85" workbookViewId="0">
      <selection activeCell="X18" sqref="X18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6.5703125" customWidth="1"/>
    <col min="20" max="20" width="0.7109375" customWidth="1"/>
    <col min="21" max="21" width="6.5703125" hidden="1" customWidth="1"/>
    <col min="22" max="22" width="6.5703125" customWidth="1"/>
  </cols>
  <sheetData>
    <row r="1" spans="2:21" ht="15.75" thickBot="1" x14ac:dyDescent="0.3">
      <c r="O1" s="23" t="s">
        <v>9</v>
      </c>
    </row>
    <row r="2" spans="2:21" ht="18.75" customHeight="1" x14ac:dyDescent="0.25">
      <c r="B2" s="23" t="str">
        <f>O1</f>
        <v>Stand:</v>
      </c>
      <c r="C2" s="22">
        <f>O2</f>
        <v>44125</v>
      </c>
      <c r="O2" s="22">
        <v>44125</v>
      </c>
      <c r="P2" s="38" t="s">
        <v>0</v>
      </c>
      <c r="Q2" s="39" t="s">
        <v>1</v>
      </c>
      <c r="R2" s="39" t="s">
        <v>2</v>
      </c>
      <c r="S2" s="39" t="s">
        <v>10</v>
      </c>
      <c r="T2" s="52" t="s">
        <v>3</v>
      </c>
      <c r="U2" s="4" t="s">
        <v>4</v>
      </c>
    </row>
    <row r="3" spans="2:21" ht="15.75" customHeight="1" x14ac:dyDescent="0.25">
      <c r="O3" s="23" t="s">
        <v>11</v>
      </c>
      <c r="P3" s="41">
        <v>10</v>
      </c>
      <c r="Q3" s="42">
        <v>124716</v>
      </c>
      <c r="R3" s="42">
        <v>3892</v>
      </c>
      <c r="S3" s="43">
        <f>Tabelle142537101112131416[[#This Row],[Positiv Rate]]</f>
        <v>3.1206902081529233E-2</v>
      </c>
      <c r="T3" s="50">
        <f>Tabelle142537101112131416[[#This Row],[Positiv]]/Tabelle142537101112131416[[#This Row],[Test]]</f>
        <v>3.1206902081529233E-2</v>
      </c>
      <c r="U3" s="1">
        <v>90</v>
      </c>
    </row>
    <row r="4" spans="2:21" x14ac:dyDescent="0.25">
      <c r="O4" s="33" t="s">
        <v>12</v>
      </c>
      <c r="P4" s="41">
        <v>11</v>
      </c>
      <c r="Q4" s="42">
        <v>127457</v>
      </c>
      <c r="R4" s="42">
        <v>7582</v>
      </c>
      <c r="S4" s="43">
        <f>Tabelle142537101112131416[[#This Row],[Positiv Rate]]</f>
        <v>5.9486728857575499E-2</v>
      </c>
      <c r="T4" s="50">
        <f>Tabelle142537101112131416[[#This Row],[Positiv]]/Tabelle142537101112131416[[#This Row],[Test]]</f>
        <v>5.9486728857575499E-2</v>
      </c>
      <c r="U4" s="1">
        <v>114</v>
      </c>
    </row>
    <row r="5" spans="2:21" x14ac:dyDescent="0.25">
      <c r="P5" s="41">
        <v>12</v>
      </c>
      <c r="Q5" s="42">
        <v>348619</v>
      </c>
      <c r="R5" s="42">
        <v>23820</v>
      </c>
      <c r="S5" s="43">
        <f>Tabelle142537101112131416[[#This Row],[Positiv Rate]]</f>
        <v>6.8326740653836995E-2</v>
      </c>
      <c r="T5" s="50">
        <f>Tabelle142537101112131416[[#This Row],[Positiv]]/Tabelle142537101112131416[[#This Row],[Test]]</f>
        <v>6.8326740653836995E-2</v>
      </c>
      <c r="U5" s="1">
        <v>152</v>
      </c>
    </row>
    <row r="6" spans="2:21" x14ac:dyDescent="0.25">
      <c r="P6" s="41">
        <v>13</v>
      </c>
      <c r="Q6" s="42">
        <v>361515</v>
      </c>
      <c r="R6" s="42">
        <v>31414</v>
      </c>
      <c r="S6" s="43">
        <f>Tabelle142537101112131416[[#This Row],[Positiv Rate]]</f>
        <v>8.6895426192550793E-2</v>
      </c>
      <c r="T6" s="50">
        <f>Tabelle142537101112131416[[#This Row],[Positiv]]/Tabelle142537101112131416[[#This Row],[Test]]</f>
        <v>8.6895426192550793E-2</v>
      </c>
      <c r="U6" s="1">
        <v>151</v>
      </c>
    </row>
    <row r="7" spans="2:21" x14ac:dyDescent="0.25">
      <c r="P7" s="41">
        <v>14</v>
      </c>
      <c r="Q7" s="42">
        <v>408348</v>
      </c>
      <c r="R7" s="42">
        <v>36885</v>
      </c>
      <c r="S7" s="43">
        <f>Tabelle142537101112131416[[#This Row],[Positiv Rate]]</f>
        <v>9.0327367833318642E-2</v>
      </c>
      <c r="T7" s="50">
        <f>Tabelle142537101112131416[[#This Row],[Positiv]]/Tabelle142537101112131416[[#This Row],[Test]]</f>
        <v>9.0327367833318642E-2</v>
      </c>
      <c r="U7" s="1">
        <v>154</v>
      </c>
    </row>
    <row r="8" spans="2:21" x14ac:dyDescent="0.25">
      <c r="P8" s="41">
        <v>15</v>
      </c>
      <c r="Q8" s="42">
        <v>380197</v>
      </c>
      <c r="R8" s="42">
        <v>30791</v>
      </c>
      <c r="S8" s="43">
        <f>Tabelle142537101112131416[[#This Row],[Positiv Rate]]</f>
        <v>8.0986962022320003E-2</v>
      </c>
      <c r="T8" s="50">
        <f>Tabelle142537101112131416[[#This Row],[Positiv]]/Tabelle142537101112131416[[#This Row],[Test]]</f>
        <v>8.0986962022320003E-2</v>
      </c>
      <c r="U8" s="1">
        <v>164</v>
      </c>
    </row>
    <row r="9" spans="2:21" x14ac:dyDescent="0.25">
      <c r="P9" s="41">
        <v>16</v>
      </c>
      <c r="Q9" s="42">
        <v>331902</v>
      </c>
      <c r="R9" s="42">
        <v>22082</v>
      </c>
      <c r="S9" s="43">
        <f>Tabelle142537101112131416[[#This Row],[Positiv Rate]]</f>
        <v>6.65316870642539E-2</v>
      </c>
      <c r="T9" s="50">
        <f>Tabelle142537101112131416[[#This Row],[Positiv]]/Tabelle142537101112131416[[#This Row],[Test]]</f>
        <v>6.65316870642539E-2</v>
      </c>
      <c r="U9" s="1">
        <v>168</v>
      </c>
    </row>
    <row r="10" spans="2:21" x14ac:dyDescent="0.25">
      <c r="P10" s="41">
        <v>17</v>
      </c>
      <c r="Q10" s="42">
        <v>363890</v>
      </c>
      <c r="R10" s="42">
        <v>18083</v>
      </c>
      <c r="S10" s="43">
        <f>Tabelle142537101112131416[[#This Row],[Positiv Rate]]</f>
        <v>4.9693588721866501E-2</v>
      </c>
      <c r="T10" s="50">
        <f>Tabelle142537101112131416[[#This Row],[Positiv]]/Tabelle142537101112131416[[#This Row],[Test]]</f>
        <v>4.9693588721866501E-2</v>
      </c>
      <c r="U10" s="1">
        <v>178</v>
      </c>
    </row>
    <row r="11" spans="2:21" x14ac:dyDescent="0.25">
      <c r="P11" s="41">
        <v>18</v>
      </c>
      <c r="Q11" s="42">
        <v>326788</v>
      </c>
      <c r="R11" s="42">
        <v>12608</v>
      </c>
      <c r="S11" s="43">
        <f>Tabelle142537101112131416[[#This Row],[Positiv Rate]]</f>
        <v>3.8581588063209174E-2</v>
      </c>
      <c r="T11" s="50">
        <f>Tabelle142537101112131416[[#This Row],[Positiv]]/Tabelle142537101112131416[[#This Row],[Test]]</f>
        <v>3.8581588063209174E-2</v>
      </c>
      <c r="U11" s="1">
        <v>175</v>
      </c>
    </row>
    <row r="12" spans="2:21" x14ac:dyDescent="0.25">
      <c r="P12" s="41">
        <v>19</v>
      </c>
      <c r="Q12" s="42">
        <v>403875</v>
      </c>
      <c r="R12" s="42">
        <v>10755</v>
      </c>
      <c r="S12" s="43">
        <f>Tabelle142537101112131416[[#This Row],[Positiv Rate]]</f>
        <v>2.6629526462395543E-2</v>
      </c>
      <c r="T12" s="50">
        <f>Tabelle142537101112131416[[#This Row],[Positiv]]/Tabelle142537101112131416[[#This Row],[Test]]</f>
        <v>2.6629526462395543E-2</v>
      </c>
      <c r="U12" s="1">
        <v>182</v>
      </c>
    </row>
    <row r="13" spans="2:21" x14ac:dyDescent="0.25">
      <c r="P13" s="41">
        <v>20</v>
      </c>
      <c r="Q13" s="42">
        <v>432666</v>
      </c>
      <c r="R13" s="42">
        <v>7233</v>
      </c>
      <c r="S13" s="43">
        <f>Tabelle142537101112131416[[#This Row],[Positiv Rate]]</f>
        <v>1.6717283077477777E-2</v>
      </c>
      <c r="T13" s="50">
        <f>Tabelle142537101112131416[[#This Row],[Positiv]]/Tabelle142537101112131416[[#This Row],[Test]]</f>
        <v>1.6717283077477777E-2</v>
      </c>
      <c r="U13" s="1">
        <v>183</v>
      </c>
    </row>
    <row r="14" spans="2:21" x14ac:dyDescent="0.25">
      <c r="P14" s="41">
        <v>21</v>
      </c>
      <c r="Q14" s="42">
        <v>353467</v>
      </c>
      <c r="R14" s="42">
        <v>5218</v>
      </c>
      <c r="S14" s="43">
        <f>Tabelle142537101112131416[[#This Row],[Positiv Rate]]</f>
        <v>1.4762339907261498E-2</v>
      </c>
      <c r="T14" s="50">
        <f>Tabelle142537101112131416[[#This Row],[Positiv]]/Tabelle142537101112131416[[#This Row],[Test]]</f>
        <v>1.4762339907261498E-2</v>
      </c>
      <c r="U14" s="1">
        <v>179</v>
      </c>
    </row>
    <row r="15" spans="2:21" x14ac:dyDescent="0.25">
      <c r="P15" s="41">
        <v>22</v>
      </c>
      <c r="Q15" s="42">
        <v>405269</v>
      </c>
      <c r="R15" s="42">
        <v>4310</v>
      </c>
      <c r="S15" s="43">
        <f>Tabelle142537101112131416[[#This Row],[Positiv Rate]]</f>
        <v>1.0634911626598629E-2</v>
      </c>
      <c r="T15" s="50">
        <f>Tabelle142537101112131416[[#This Row],[Positiv]]/Tabelle142537101112131416[[#This Row],[Test]]</f>
        <v>1.0634911626598629E-2</v>
      </c>
      <c r="U15" s="1">
        <v>178</v>
      </c>
    </row>
    <row r="16" spans="2:21" x14ac:dyDescent="0.25">
      <c r="P16" s="41">
        <v>23</v>
      </c>
      <c r="Q16" s="42">
        <v>340986</v>
      </c>
      <c r="R16" s="42">
        <v>3208</v>
      </c>
      <c r="S16" s="43">
        <f>Tabelle142537101112131416[[#This Row],[Positiv Rate]]</f>
        <v>9.408010886077435E-3</v>
      </c>
      <c r="T16" s="50">
        <f>Tabelle142537101112131416[[#This Row],[Positiv]]/Tabelle142537101112131416[[#This Row],[Test]]</f>
        <v>9.408010886077435E-3</v>
      </c>
      <c r="U16" s="1">
        <v>176</v>
      </c>
    </row>
    <row r="17" spans="15:21" x14ac:dyDescent="0.25">
      <c r="P17" s="41">
        <v>24</v>
      </c>
      <c r="Q17" s="42">
        <v>327196</v>
      </c>
      <c r="R17" s="42">
        <v>2816</v>
      </c>
      <c r="S17" s="43">
        <f>Tabelle142537101112131416[[#This Row],[Positiv Rate]]</f>
        <v>8.6064621816892631E-3</v>
      </c>
      <c r="T17" s="50">
        <f>Tabelle142537101112131416[[#This Row],[Positiv]]/Tabelle142537101112131416[[#This Row],[Test]]</f>
        <v>8.6064621816892631E-3</v>
      </c>
      <c r="U17" s="1">
        <v>173</v>
      </c>
    </row>
    <row r="18" spans="15:21" x14ac:dyDescent="0.25">
      <c r="P18" s="41">
        <v>25</v>
      </c>
      <c r="Q18" s="42">
        <v>388187</v>
      </c>
      <c r="R18" s="42">
        <v>5316</v>
      </c>
      <c r="S18" s="43">
        <f>Tabelle142537101112131416[[#This Row],[Positiv Rate]]</f>
        <v>1.3694430776919371E-2</v>
      </c>
      <c r="T18" s="50">
        <f>Tabelle142537101112131416[[#This Row],[Positiv]]/Tabelle142537101112131416[[#This Row],[Test]]</f>
        <v>1.3694430776919371E-2</v>
      </c>
      <c r="U18" s="1">
        <v>176</v>
      </c>
    </row>
    <row r="19" spans="15:21" x14ac:dyDescent="0.25">
      <c r="P19" s="41">
        <v>26</v>
      </c>
      <c r="Q19" s="42">
        <v>467413</v>
      </c>
      <c r="R19" s="42">
        <v>3689</v>
      </c>
      <c r="S19" s="43">
        <f>Tabelle142537101112131416[[#This Row],[Positiv Rate]]</f>
        <v>7.8923778328801302E-3</v>
      </c>
      <c r="T19" s="50">
        <f>Tabelle142537101112131416[[#This Row],[Positiv]]/Tabelle142537101112131416[[#This Row],[Test]]</f>
        <v>7.8923778328801302E-3</v>
      </c>
      <c r="U19" s="1">
        <v>180</v>
      </c>
    </row>
    <row r="20" spans="15:21" x14ac:dyDescent="0.25">
      <c r="P20" s="41">
        <v>27</v>
      </c>
      <c r="Q20" s="42">
        <v>507663</v>
      </c>
      <c r="R20" s="42">
        <v>3104</v>
      </c>
      <c r="S20" s="43">
        <f>Tabelle142537101112131416[[#This Row],[Positiv Rate]]</f>
        <v>6.1142923553617265E-3</v>
      </c>
      <c r="T20" s="50">
        <f>Tabelle142537101112131416[[#This Row],[Positiv]]/Tabelle142537101112131416[[#This Row],[Test]]</f>
        <v>6.1142923553617265E-3</v>
      </c>
      <c r="U20" s="1">
        <v>152</v>
      </c>
    </row>
    <row r="21" spans="15:21" x14ac:dyDescent="0.25">
      <c r="P21" s="41">
        <v>28</v>
      </c>
      <c r="Q21" s="42">
        <v>510551</v>
      </c>
      <c r="R21" s="42">
        <v>2992</v>
      </c>
      <c r="S21" s="43">
        <f>Tabelle142537101112131416[[#This Row],[Positiv Rate]]</f>
        <v>5.8603352064730066E-3</v>
      </c>
      <c r="T21" s="50">
        <f>Tabelle142537101112131416[[#This Row],[Positiv]]/Tabelle142537101112131416[[#This Row],[Test]]</f>
        <v>5.8603352064730066E-3</v>
      </c>
      <c r="U21" s="1">
        <v>179</v>
      </c>
    </row>
    <row r="22" spans="15:21" x14ac:dyDescent="0.25">
      <c r="P22" s="41">
        <v>29</v>
      </c>
      <c r="Q22" s="42">
        <v>538701</v>
      </c>
      <c r="R22" s="42">
        <v>3497</v>
      </c>
      <c r="S22" s="43">
        <f>Tabelle142537101112131416[[#This Row],[Positiv Rate]]</f>
        <v>6.4915416901026729E-3</v>
      </c>
      <c r="T22" s="50">
        <f>Tabelle142537101112131416[[#This Row],[Positiv]]/Tabelle142537101112131416[[#This Row],[Test]]</f>
        <v>6.4915416901026729E-3</v>
      </c>
      <c r="U22" s="1">
        <v>177</v>
      </c>
    </row>
    <row r="23" spans="15:21" x14ac:dyDescent="0.25">
      <c r="P23" s="41">
        <v>30</v>
      </c>
      <c r="Q23" s="42">
        <v>574883</v>
      </c>
      <c r="R23" s="42">
        <v>4539</v>
      </c>
      <c r="S23" s="43">
        <f>Tabelle142537101112131416[[#This Row],[Positiv Rate]]</f>
        <v>7.8955196100771816E-3</v>
      </c>
      <c r="T23" s="50">
        <f>Tabelle142537101112131416[[#This Row],[Positiv]]/Tabelle142537101112131416[[#This Row],[Test]]</f>
        <v>7.8955196100771816E-3</v>
      </c>
      <c r="U23" s="1">
        <v>183</v>
      </c>
    </row>
    <row r="24" spans="15:21" ht="15" customHeight="1" x14ac:dyDescent="0.25">
      <c r="O24" s="61" t="s">
        <v>15</v>
      </c>
      <c r="P24" s="41">
        <v>31</v>
      </c>
      <c r="Q24" s="42">
        <v>586620</v>
      </c>
      <c r="R24" s="42">
        <v>5738</v>
      </c>
      <c r="S24" s="43">
        <f>Tabelle142537101112131416[[#This Row],[Positiv Rate]]</f>
        <v>9.7814598888547946E-3</v>
      </c>
      <c r="T24" s="50">
        <f>Tabelle142537101112131416[[#This Row],[Positiv]]/Tabelle142537101112131416[[#This Row],[Test]]</f>
        <v>9.7814598888547946E-3</v>
      </c>
      <c r="U24" s="1">
        <v>170</v>
      </c>
    </row>
    <row r="25" spans="15:21" ht="15" customHeight="1" x14ac:dyDescent="0.25">
      <c r="O25" s="61"/>
      <c r="P25" s="56">
        <v>32</v>
      </c>
      <c r="Q25" s="57">
        <v>716768</v>
      </c>
      <c r="R25" s="57">
        <v>7263</v>
      </c>
      <c r="S25" s="58">
        <f>Tabelle142537101112131416[[#This Row],[Positiv Rate]]</f>
        <v>1.013298584758248E-2</v>
      </c>
      <c r="T25" s="50">
        <f>Tabelle142537101112131416[[#This Row],[Positiv]]/Tabelle142537101112131416[[#This Row],[Test]]</f>
        <v>1.013298584758248E-2</v>
      </c>
      <c r="U25" s="1">
        <v>169</v>
      </c>
    </row>
    <row r="26" spans="15:21" x14ac:dyDescent="0.25">
      <c r="O26" s="61"/>
      <c r="P26" s="56">
        <v>33</v>
      </c>
      <c r="Q26" s="57">
        <v>877164</v>
      </c>
      <c r="R26" s="57">
        <v>8423</v>
      </c>
      <c r="S26" s="58">
        <f>Tabelle142537101112131416[[#This Row],[Positiv Rate]]</f>
        <v>9.6025372678313296E-3</v>
      </c>
      <c r="T26" s="50">
        <f>Tabelle142537101112131416[[#This Row],[Positiv]]/Tabelle142537101112131416[[#This Row],[Test]]</f>
        <v>9.6025372678313296E-3</v>
      </c>
      <c r="U26" s="1">
        <v>183</v>
      </c>
    </row>
    <row r="27" spans="15:21" x14ac:dyDescent="0.25">
      <c r="O27" s="61"/>
      <c r="P27" s="41">
        <v>34</v>
      </c>
      <c r="Q27" s="42">
        <v>1092013</v>
      </c>
      <c r="R27" s="42">
        <v>9206</v>
      </c>
      <c r="S27" s="43">
        <f>Tabelle142537101112131416[[#This Row],[Positiv Rate]]</f>
        <v>8.430302569658054E-3</v>
      </c>
      <c r="T27" s="51">
        <f>Tabelle142537101112131416[[#This Row],[Positiv]]/Tabelle142537101112131416[[#This Row],[Test]]</f>
        <v>8.430302569658054E-3</v>
      </c>
      <c r="U27" s="34">
        <v>196</v>
      </c>
    </row>
    <row r="28" spans="15:21" x14ac:dyDescent="0.25">
      <c r="O28" s="61"/>
      <c r="P28" s="41">
        <v>35</v>
      </c>
      <c r="Q28" s="42">
        <v>1121214</v>
      </c>
      <c r="R28" s="42">
        <v>8324</v>
      </c>
      <c r="S28" s="43">
        <f>Tabelle142537101112131416[[#This Row],[Positiv Rate]]</f>
        <v>7.4240956677315839E-3</v>
      </c>
      <c r="T28" s="51">
        <f>Tabelle142537101112131416[[#This Row],[Positiv]]/Tabelle142537101112131416[[#This Row],[Test]]</f>
        <v>7.4240956677315839E-3</v>
      </c>
      <c r="U28" s="34">
        <v>191</v>
      </c>
    </row>
    <row r="29" spans="15:21" x14ac:dyDescent="0.25">
      <c r="P29" s="41">
        <v>36</v>
      </c>
      <c r="Q29" s="42">
        <v>1099608</v>
      </c>
      <c r="R29" s="42">
        <v>8175</v>
      </c>
      <c r="S29" s="43">
        <f>Tabelle142537101112131416[[#This Row],[Positiv Rate]]</f>
        <v>7.4344675557107623E-3</v>
      </c>
      <c r="T29" s="51">
        <f>Tabelle142537101112131416[[#This Row],[Positiv]]/Tabelle142537101112131416[[#This Row],[Test]]</f>
        <v>7.4344675557107623E-3</v>
      </c>
      <c r="U29" s="34">
        <v>191</v>
      </c>
    </row>
    <row r="30" spans="15:21" x14ac:dyDescent="0.25">
      <c r="P30" s="41">
        <v>37</v>
      </c>
      <c r="Q30" s="42">
        <v>1165275</v>
      </c>
      <c r="R30" s="42">
        <v>10047</v>
      </c>
      <c r="S30" s="43">
        <f>Tabelle142537101112131416[[#This Row],[Positiv Rate]]</f>
        <v>8.6219990989251458E-3</v>
      </c>
      <c r="T30" s="51">
        <f>Tabelle142537101112131416[[#This Row],[Positiv]]/Tabelle142537101112131416[[#This Row],[Test]]</f>
        <v>8.6219990989251458E-3</v>
      </c>
      <c r="U30" s="34">
        <v>194</v>
      </c>
    </row>
    <row r="31" spans="15:21" x14ac:dyDescent="0.25">
      <c r="P31" s="41">
        <v>38</v>
      </c>
      <c r="Q31" s="42">
        <v>1146193</v>
      </c>
      <c r="R31" s="42">
        <v>13253</v>
      </c>
      <c r="S31" s="43">
        <f>Tabelle142537101112131416[[#This Row],[Positiv Rate]]</f>
        <v>1.1562625142537078E-2</v>
      </c>
      <c r="T31" s="51">
        <f>Tabelle142537101112131416[[#This Row],[Positiv]]/Tabelle142537101112131416[[#This Row],[Test]]</f>
        <v>1.1562625142537078E-2</v>
      </c>
      <c r="U31" s="31">
        <v>202</v>
      </c>
    </row>
    <row r="32" spans="15:21" x14ac:dyDescent="0.25">
      <c r="P32" s="41">
        <v>39</v>
      </c>
      <c r="Q32" s="21">
        <v>1168016</v>
      </c>
      <c r="R32" s="21">
        <v>14295</v>
      </c>
      <c r="S32" s="32">
        <f>Tabelle142537101112131416[[#This Row],[Positiv Rate]]</f>
        <v>1.2238702209558774E-2</v>
      </c>
      <c r="T32" s="51">
        <f>Tabelle142537101112131416[[#This Row],[Positiv]]/Tabelle142537101112131416[[#This Row],[Test]]</f>
        <v>1.2238702209558774E-2</v>
      </c>
      <c r="U32" s="54">
        <v>188</v>
      </c>
    </row>
    <row r="33" spans="16:21" x14ac:dyDescent="0.25">
      <c r="P33" s="41">
        <v>40</v>
      </c>
      <c r="Q33" s="21">
        <v>1101080</v>
      </c>
      <c r="R33" s="21">
        <v>18279</v>
      </c>
      <c r="S33" s="32">
        <f>Tabelle142537101112131416[[#This Row],[Positiv Rate]]</f>
        <v>1.6600973589566609E-2</v>
      </c>
      <c r="T33" s="51">
        <f>Tabelle142537101112131416[[#This Row],[Positiv]]/Tabelle142537101112131416[[#This Row],[Test]]</f>
        <v>1.6600973589566609E-2</v>
      </c>
      <c r="U33" s="54">
        <v>190</v>
      </c>
    </row>
    <row r="34" spans="16:21" x14ac:dyDescent="0.25">
      <c r="P34" s="41">
        <v>41</v>
      </c>
      <c r="Q34" s="21">
        <v>1213658</v>
      </c>
      <c r="R34" s="21">
        <v>30519</v>
      </c>
      <c r="S34" s="32">
        <f>Tabelle142537101112131416[[#This Row],[Positiv Rate]]</f>
        <v>2.5146293272074998E-2</v>
      </c>
      <c r="T34" s="51">
        <f>Tabelle142537101112131416[[#This Row],[Positiv]]/Tabelle142537101112131416[[#This Row],[Test]]</f>
        <v>2.5146293272074998E-2</v>
      </c>
      <c r="U34" s="54">
        <v>187</v>
      </c>
    </row>
    <row r="35" spans="16:21" x14ac:dyDescent="0.25">
      <c r="P35" s="41">
        <v>42</v>
      </c>
      <c r="Q35" s="21">
        <v>1212363</v>
      </c>
      <c r="R35" s="21">
        <v>43927</v>
      </c>
      <c r="S35" s="32">
        <f>Tabelle142537101112131416[[#This Row],[Positiv Rate]]</f>
        <v>3.623254751258493E-2</v>
      </c>
      <c r="T35" s="51">
        <f>Tabelle142537101112131416[[#This Row],[Positiv]]/Tabelle142537101112131416[[#This Row],[Test]]</f>
        <v>3.623254751258493E-2</v>
      </c>
      <c r="U35" s="54">
        <v>183</v>
      </c>
    </row>
    <row r="36" spans="16:21" x14ac:dyDescent="0.25">
      <c r="P36" s="41">
        <v>43</v>
      </c>
      <c r="Q36" s="21">
        <v>1358706</v>
      </c>
      <c r="R36" s="21">
        <v>76373</v>
      </c>
      <c r="S36" s="32">
        <f>Tabelle142537101112131416[[#This Row],[Positiv Rate]]</f>
        <v>5.6210099903879131E-2</v>
      </c>
      <c r="T36" s="51">
        <f>Tabelle142537101112131416[[#This Row],[Positiv]]/Tabelle142537101112131416[[#This Row],[Test]]</f>
        <v>5.6210099903879131E-2</v>
      </c>
      <c r="U36" s="54"/>
    </row>
    <row r="37" spans="16:21" ht="15.75" thickBot="1" x14ac:dyDescent="0.3"/>
    <row r="38" spans="16:21" x14ac:dyDescent="0.25">
      <c r="P38" s="35" t="s">
        <v>6</v>
      </c>
      <c r="Q38" s="36">
        <f>SUM(Tabelle142537101112131416[Test])</f>
        <v>21882967</v>
      </c>
      <c r="R38" s="37">
        <f>SUM(Tabelle142537101112131416[Positiv])</f>
        <v>497656</v>
      </c>
    </row>
  </sheetData>
  <mergeCells count="1">
    <mergeCell ref="O24:O28"/>
  </mergeCells>
  <pageMargins left="0.70866141732283472" right="0.70866141732283472" top="0" bottom="0" header="0.31496062992125984" footer="0.31496062992125984"/>
  <pageSetup paperSize="9" orientation="landscape" horizontalDpi="4294967293" verticalDpi="4294967293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2B0D-726C-486F-A7F3-43AB52308BD0}">
  <dimension ref="B2:U39"/>
  <sheetViews>
    <sheetView showGridLines="0" topLeftCell="H1" zoomScale="85" zoomScaleNormal="85" workbookViewId="0">
      <selection activeCell="P26" sqref="P26:S26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6.5703125" customWidth="1"/>
    <col min="20" max="20" width="0.7109375" customWidth="1"/>
    <col min="21" max="21" width="6.5703125" hidden="1" customWidth="1"/>
    <col min="22" max="22" width="6.5703125" customWidth="1"/>
  </cols>
  <sheetData>
    <row r="2" spans="2:21" ht="15.75" thickBot="1" x14ac:dyDescent="0.3">
      <c r="B2" s="23" t="str">
        <f>O2</f>
        <v>Stand:</v>
      </c>
      <c r="C2" s="22">
        <f>P2</f>
        <v>44125</v>
      </c>
      <c r="O2" s="23" t="s">
        <v>9</v>
      </c>
      <c r="P2" s="22">
        <v>44125</v>
      </c>
    </row>
    <row r="3" spans="2:21" ht="15.75" customHeight="1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52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Tabelle1425371011121314[[#This Row],[Positiv Rate]]</f>
        <v>3.1206902081529233E-2</v>
      </c>
      <c r="T4" s="50">
        <f>Tabelle1425371011121314[[#This Row],[Positiv]]/Tabelle1425371011121314[[#This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Tabelle1425371011121314[[#This Row],[Positiv Rate]]</f>
        <v>5.9486728857575499E-2</v>
      </c>
      <c r="T5" s="50">
        <f>Tabelle1425371011121314[[#This Row],[Positiv]]/Tabelle1425371011121314[[#This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Tabelle1425371011121314[[#This Row],[Positiv Rate]]</f>
        <v>6.8326740653836995E-2</v>
      </c>
      <c r="T6" s="50">
        <f>Tabelle1425371011121314[[#This Row],[Positiv]]/Tabelle1425371011121314[[#This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Tabelle1425371011121314[[#This Row],[Positiv Rate]]</f>
        <v>8.6895426192550793E-2</v>
      </c>
      <c r="T7" s="50">
        <f>Tabelle1425371011121314[[#This Row],[Positiv]]/Tabelle1425371011121314[[#This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Tabelle1425371011121314[[#This Row],[Positiv Rate]]</f>
        <v>9.0327367833318642E-2</v>
      </c>
      <c r="T8" s="50">
        <f>Tabelle1425371011121314[[#This Row],[Positiv]]/Tabelle1425371011121314[[#This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Tabelle1425371011121314[[#This Row],[Positiv Rate]]</f>
        <v>8.0986962022320003E-2</v>
      </c>
      <c r="T9" s="50">
        <f>Tabelle1425371011121314[[#This Row],[Positiv]]/Tabelle1425371011121314[[#This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Tabelle1425371011121314[[#This Row],[Positiv Rate]]</f>
        <v>6.65316870642539E-2</v>
      </c>
      <c r="T10" s="50">
        <f>Tabelle1425371011121314[[#This Row],[Positiv]]/Tabelle1425371011121314[[#This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Tabelle1425371011121314[[#This Row],[Positiv Rate]]</f>
        <v>4.9693588721866501E-2</v>
      </c>
      <c r="T11" s="50">
        <f>Tabelle1425371011121314[[#This Row],[Positiv]]/Tabelle1425371011121314[[#This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Tabelle1425371011121314[[#This Row],[Positiv Rate]]</f>
        <v>3.8581588063209174E-2</v>
      </c>
      <c r="T12" s="50">
        <f>Tabelle1425371011121314[[#This Row],[Positiv]]/Tabelle1425371011121314[[#This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Tabelle1425371011121314[[#This Row],[Positiv Rate]]</f>
        <v>2.6629526462395543E-2</v>
      </c>
      <c r="T13" s="50">
        <f>Tabelle1425371011121314[[#This Row],[Positiv]]/Tabelle1425371011121314[[#This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Tabelle1425371011121314[[#This Row],[Positiv Rate]]</f>
        <v>1.6717283077477777E-2</v>
      </c>
      <c r="T14" s="50">
        <f>Tabelle1425371011121314[[#This Row],[Positiv]]/Tabelle1425371011121314[[#This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Tabelle1425371011121314[[#This Row],[Positiv Rate]]</f>
        <v>1.4762339907261498E-2</v>
      </c>
      <c r="T15" s="50">
        <f>Tabelle1425371011121314[[#This Row],[Positiv]]/Tabelle1425371011121314[[#This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Tabelle1425371011121314[[#This Row],[Positiv Rate]]</f>
        <v>1.0634911626598629E-2</v>
      </c>
      <c r="T16" s="50">
        <f>Tabelle1425371011121314[[#This Row],[Positiv]]/Tabelle1425371011121314[[#This Row],[Test]]</f>
        <v>1.0634911626598629E-2</v>
      </c>
      <c r="U16" s="1">
        <v>178</v>
      </c>
    </row>
    <row r="17" spans="15:21" x14ac:dyDescent="0.25">
      <c r="P17" s="41">
        <v>23</v>
      </c>
      <c r="Q17" s="42">
        <v>340986</v>
      </c>
      <c r="R17" s="42">
        <v>3208</v>
      </c>
      <c r="S17" s="43">
        <f>Tabelle1425371011121314[[#This Row],[Positiv Rate]]</f>
        <v>9.408010886077435E-3</v>
      </c>
      <c r="T17" s="50">
        <f>Tabelle1425371011121314[[#This Row],[Positiv]]/Tabelle1425371011121314[[#This Row],[Test]]</f>
        <v>9.408010886077435E-3</v>
      </c>
      <c r="U17" s="1">
        <v>176</v>
      </c>
    </row>
    <row r="18" spans="15:21" x14ac:dyDescent="0.25">
      <c r="P18" s="41">
        <v>24</v>
      </c>
      <c r="Q18" s="42">
        <v>327196</v>
      </c>
      <c r="R18" s="42">
        <v>2816</v>
      </c>
      <c r="S18" s="43">
        <f>Tabelle1425371011121314[[#This Row],[Positiv Rate]]</f>
        <v>8.6064621816892631E-3</v>
      </c>
      <c r="T18" s="50">
        <f>Tabelle1425371011121314[[#This Row],[Positiv]]/Tabelle1425371011121314[[#This Row],[Test]]</f>
        <v>8.6064621816892631E-3</v>
      </c>
      <c r="U18" s="1">
        <v>173</v>
      </c>
    </row>
    <row r="19" spans="15:21" x14ac:dyDescent="0.25">
      <c r="P19" s="41">
        <v>25</v>
      </c>
      <c r="Q19" s="42">
        <v>388187</v>
      </c>
      <c r="R19" s="42">
        <v>5316</v>
      </c>
      <c r="S19" s="43">
        <f>Tabelle1425371011121314[[#This Row],[Positiv Rate]]</f>
        <v>1.3694430776919371E-2</v>
      </c>
      <c r="T19" s="50">
        <f>Tabelle1425371011121314[[#This Row],[Positiv]]/Tabelle1425371011121314[[#This Row],[Test]]</f>
        <v>1.3694430776919371E-2</v>
      </c>
      <c r="U19" s="1">
        <v>176</v>
      </c>
    </row>
    <row r="20" spans="15:21" x14ac:dyDescent="0.25">
      <c r="P20" s="41">
        <v>26</v>
      </c>
      <c r="Q20" s="42">
        <v>467413</v>
      </c>
      <c r="R20" s="42">
        <v>3689</v>
      </c>
      <c r="S20" s="43">
        <f>Tabelle1425371011121314[[#This Row],[Positiv Rate]]</f>
        <v>7.8923778328801302E-3</v>
      </c>
      <c r="T20" s="50">
        <f>Tabelle1425371011121314[[#This Row],[Positiv]]/Tabelle1425371011121314[[#This Row],[Test]]</f>
        <v>7.8923778328801302E-3</v>
      </c>
      <c r="U20" s="1">
        <v>180</v>
      </c>
    </row>
    <row r="21" spans="15:21" x14ac:dyDescent="0.25">
      <c r="P21" s="41">
        <v>27</v>
      </c>
      <c r="Q21" s="42">
        <v>507663</v>
      </c>
      <c r="R21" s="42">
        <v>3104</v>
      </c>
      <c r="S21" s="43">
        <f>Tabelle1425371011121314[[#This Row],[Positiv Rate]]</f>
        <v>6.1142923553617265E-3</v>
      </c>
      <c r="T21" s="50">
        <f>Tabelle1425371011121314[[#This Row],[Positiv]]/Tabelle1425371011121314[[#This Row],[Test]]</f>
        <v>6.1142923553617265E-3</v>
      </c>
      <c r="U21" s="1">
        <v>152</v>
      </c>
    </row>
    <row r="22" spans="15:21" x14ac:dyDescent="0.25">
      <c r="P22" s="41">
        <v>28</v>
      </c>
      <c r="Q22" s="42">
        <v>510551</v>
      </c>
      <c r="R22" s="42">
        <v>2992</v>
      </c>
      <c r="S22" s="43">
        <f>Tabelle1425371011121314[[#This Row],[Positiv Rate]]</f>
        <v>5.8603352064730066E-3</v>
      </c>
      <c r="T22" s="50">
        <f>Tabelle1425371011121314[[#This Row],[Positiv]]/Tabelle1425371011121314[[#This Row],[Test]]</f>
        <v>5.8603352064730066E-3</v>
      </c>
      <c r="U22" s="1">
        <v>179</v>
      </c>
    </row>
    <row r="23" spans="15:21" x14ac:dyDescent="0.25">
      <c r="P23" s="41">
        <v>29</v>
      </c>
      <c r="Q23" s="42">
        <v>538701</v>
      </c>
      <c r="R23" s="42">
        <v>3497</v>
      </c>
      <c r="S23" s="43">
        <f>Tabelle1425371011121314[[#This Row],[Positiv Rate]]</f>
        <v>6.4915416901026729E-3</v>
      </c>
      <c r="T23" s="50">
        <f>Tabelle1425371011121314[[#This Row],[Positiv]]/Tabelle1425371011121314[[#This Row],[Test]]</f>
        <v>6.4915416901026729E-3</v>
      </c>
      <c r="U23" s="1">
        <v>177</v>
      </c>
    </row>
    <row r="24" spans="15:21" x14ac:dyDescent="0.25">
      <c r="O24" s="62" t="s">
        <v>14</v>
      </c>
      <c r="P24" s="41">
        <v>30</v>
      </c>
      <c r="Q24" s="42">
        <v>574883</v>
      </c>
      <c r="R24" s="42">
        <v>4539</v>
      </c>
      <c r="S24" s="43">
        <f>Tabelle1425371011121314[[#This Row],[Positiv Rate]]</f>
        <v>7.8955196100771816E-3</v>
      </c>
      <c r="T24" s="50">
        <f>Tabelle1425371011121314[[#This Row],[Positiv]]/Tabelle1425371011121314[[#This Row],[Test]]</f>
        <v>7.8955196100771816E-3</v>
      </c>
      <c r="U24" s="1">
        <v>183</v>
      </c>
    </row>
    <row r="25" spans="15:21" ht="15" customHeight="1" x14ac:dyDescent="0.25">
      <c r="O25" s="62"/>
      <c r="P25" s="41">
        <v>31</v>
      </c>
      <c r="Q25" s="42">
        <v>586620</v>
      </c>
      <c r="R25" s="42">
        <v>5738</v>
      </c>
      <c r="S25" s="43">
        <f>Tabelle1425371011121314[[#This Row],[Positiv Rate]]</f>
        <v>9.7814598888547946E-3</v>
      </c>
      <c r="T25" s="50">
        <f>Tabelle1425371011121314[[#This Row],[Positiv]]/Tabelle1425371011121314[[#This Row],[Test]]</f>
        <v>9.7814598888547946E-3</v>
      </c>
      <c r="U25" s="1">
        <v>170</v>
      </c>
    </row>
    <row r="26" spans="15:21" x14ac:dyDescent="0.25">
      <c r="O26" s="62"/>
      <c r="P26" s="56">
        <v>32</v>
      </c>
      <c r="Q26" s="57">
        <v>716768</v>
      </c>
      <c r="R26" s="57">
        <v>7263</v>
      </c>
      <c r="S26" s="58">
        <f>Tabelle1425371011121314[[#This Row],[Positiv Rate]]</f>
        <v>1.013298584758248E-2</v>
      </c>
      <c r="T26" s="50">
        <f>Tabelle1425371011121314[[#This Row],[Positiv]]/Tabelle1425371011121314[[#This Row],[Test]]</f>
        <v>1.013298584758248E-2</v>
      </c>
      <c r="U26" s="1">
        <v>169</v>
      </c>
    </row>
    <row r="27" spans="15:21" x14ac:dyDescent="0.25">
      <c r="O27" s="62"/>
      <c r="P27" s="41">
        <v>33</v>
      </c>
      <c r="Q27" s="42">
        <v>835384</v>
      </c>
      <c r="R27" s="42">
        <v>8121</v>
      </c>
      <c r="S27" s="43">
        <f>Tabelle1425371011121314[[#This Row],[Positiv Rate]]</f>
        <v>9.7212778793943858E-3</v>
      </c>
      <c r="T27" s="50">
        <f>Tabelle1425371011121314[[#This Row],[Positiv]]/Tabelle1425371011121314[[#This Row],[Test]]</f>
        <v>9.7212778793943858E-3</v>
      </c>
      <c r="U27" s="1">
        <v>183</v>
      </c>
    </row>
    <row r="28" spans="15:21" x14ac:dyDescent="0.25">
      <c r="P28" s="41">
        <v>34</v>
      </c>
      <c r="Q28" s="42">
        <v>1084446</v>
      </c>
      <c r="R28" s="42">
        <v>9143</v>
      </c>
      <c r="S28" s="43">
        <f>Tabelle1425371011121314[[#This Row],[Positiv Rate]]</f>
        <v>8.4310329882723526E-3</v>
      </c>
      <c r="T28" s="51">
        <f>Tabelle1425371011121314[[#This Row],[Positiv]]/Tabelle1425371011121314[[#This Row],[Test]]</f>
        <v>8.4310329882723526E-3</v>
      </c>
      <c r="U28" s="34">
        <v>196</v>
      </c>
    </row>
    <row r="29" spans="15:21" x14ac:dyDescent="0.25">
      <c r="P29" s="41">
        <v>35</v>
      </c>
      <c r="Q29" s="42">
        <v>1120883</v>
      </c>
      <c r="R29" s="42">
        <v>8323</v>
      </c>
      <c r="S29" s="43">
        <f>Tabelle1425371011121314[[#This Row],[Positiv Rate]]</f>
        <v>7.4253958709338975E-3</v>
      </c>
      <c r="T29" s="51">
        <f>Tabelle1425371011121314[[#This Row],[Positiv]]/Tabelle1425371011121314[[#This Row],[Test]]</f>
        <v>7.4253958709338975E-3</v>
      </c>
      <c r="U29" s="34">
        <v>191</v>
      </c>
    </row>
    <row r="30" spans="15:21" x14ac:dyDescent="0.25">
      <c r="P30" s="41">
        <v>36</v>
      </c>
      <c r="Q30" s="42">
        <v>1062581</v>
      </c>
      <c r="R30" s="42">
        <v>7941</v>
      </c>
      <c r="S30" s="43">
        <f>Tabelle1425371011121314[[#This Row],[Positiv Rate]]</f>
        <v>7.4733126227553475E-3</v>
      </c>
      <c r="T30" s="51">
        <f>Tabelle1425371011121314[[#This Row],[Positiv]]/Tabelle1425371011121314[[#This Row],[Test]]</f>
        <v>7.4733126227553475E-3</v>
      </c>
      <c r="U30" s="34">
        <v>191</v>
      </c>
    </row>
    <row r="31" spans="15:21" x14ac:dyDescent="0.25">
      <c r="P31" s="41">
        <v>37</v>
      </c>
      <c r="Q31" s="42">
        <v>1164932</v>
      </c>
      <c r="R31" s="42">
        <v>10046</v>
      </c>
      <c r="S31" s="43">
        <f>Tabelle1425371011121314[[#This Row],[Positiv Rate]]</f>
        <v>8.6236793220548502E-3</v>
      </c>
      <c r="T31" s="51">
        <f>Tabelle1425371011121314[[#This Row],[Positiv]]/Tabelle1425371011121314[[#This Row],[Test]]</f>
        <v>8.6236793220548502E-3</v>
      </c>
      <c r="U31" s="34">
        <v>194</v>
      </c>
    </row>
    <row r="32" spans="15:21" x14ac:dyDescent="0.25">
      <c r="P32" s="41">
        <v>38</v>
      </c>
      <c r="Q32" s="42">
        <v>1146193</v>
      </c>
      <c r="R32" s="42">
        <v>13253</v>
      </c>
      <c r="S32" s="43">
        <f>Tabelle1425371011121314[[#This Row],[Positiv Rate]]</f>
        <v>1.1562625142537078E-2</v>
      </c>
      <c r="T32" s="51">
        <f>Tabelle1425371011121314[[#This Row],[Positiv]]/Tabelle1425371011121314[[#This Row],[Test]]</f>
        <v>1.1562625142537078E-2</v>
      </c>
      <c r="U32" s="31">
        <v>202</v>
      </c>
    </row>
    <row r="33" spans="16:21" x14ac:dyDescent="0.25">
      <c r="P33" s="41">
        <v>39</v>
      </c>
      <c r="Q33" s="21">
        <v>1155333</v>
      </c>
      <c r="R33" s="21">
        <v>14082</v>
      </c>
      <c r="S33" s="32">
        <f>Tabelle1425371011121314[[#This Row],[Positiv Rate]]</f>
        <v>1.218869364936343E-2</v>
      </c>
      <c r="T33" s="51">
        <f>Tabelle1425371011121314[[#This Row],[Positiv]]/Tabelle1425371011121314[[#This Row],[Test]]</f>
        <v>1.218869364936343E-2</v>
      </c>
      <c r="U33" s="54">
        <v>188</v>
      </c>
    </row>
    <row r="34" spans="16:21" x14ac:dyDescent="0.25">
      <c r="P34" s="41">
        <v>40</v>
      </c>
      <c r="Q34" s="21">
        <v>1101080</v>
      </c>
      <c r="R34" s="21">
        <v>18279</v>
      </c>
      <c r="S34" s="32">
        <f>Tabelle1425371011121314[[#This Row],[Positiv Rate]]</f>
        <v>1.6600973589566609E-2</v>
      </c>
      <c r="T34" s="51">
        <f>Tabelle1425371011121314[[#This Row],[Positiv]]/Tabelle1425371011121314[[#This Row],[Test]]</f>
        <v>1.6600973589566609E-2</v>
      </c>
      <c r="U34" s="54">
        <v>190</v>
      </c>
    </row>
    <row r="35" spans="16:21" x14ac:dyDescent="0.25">
      <c r="P35" s="41">
        <v>41</v>
      </c>
      <c r="Q35" s="21">
        <v>1186206</v>
      </c>
      <c r="R35" s="21">
        <v>29540</v>
      </c>
      <c r="S35" s="32">
        <f>Tabelle1425371011121314[[#This Row],[Positiv Rate]]</f>
        <v>2.4902925798722986E-2</v>
      </c>
      <c r="T35" s="51">
        <f>Tabelle1425371011121314[[#This Row],[Positiv]]/Tabelle1425371011121314[[#This Row],[Test]]</f>
        <v>2.4902925798722986E-2</v>
      </c>
      <c r="U35" s="54">
        <v>187</v>
      </c>
    </row>
    <row r="36" spans="16:21" x14ac:dyDescent="0.25">
      <c r="P36" s="41">
        <v>42</v>
      </c>
      <c r="Q36" s="21">
        <v>1195661</v>
      </c>
      <c r="R36" s="21">
        <v>43308</v>
      </c>
      <c r="S36" s="32">
        <f>Tabelle1425371011121314[[#This Row],[Positiv Rate]]</f>
        <v>3.622096898702893E-2</v>
      </c>
      <c r="T36" s="51">
        <f>Tabelle1425371011121314[[#This Row],[Positiv]]/Tabelle1425371011121314[[#This Row],[Test]]</f>
        <v>3.622096898702893E-2</v>
      </c>
      <c r="U36" s="54">
        <v>183</v>
      </c>
    </row>
    <row r="38" spans="16:21" ht="15.75" thickBot="1" x14ac:dyDescent="0.3"/>
    <row r="39" spans="16:21" x14ac:dyDescent="0.25">
      <c r="P39" s="35" t="s">
        <v>6</v>
      </c>
      <c r="Q39" s="36">
        <f>SUM(Tabelle1425371011121314[Test])</f>
        <v>20380376</v>
      </c>
      <c r="R39" s="37">
        <f>SUM(Tabelle1425371011121314[Positiv])</f>
        <v>418871</v>
      </c>
    </row>
  </sheetData>
  <mergeCells count="1">
    <mergeCell ref="O24:O27"/>
  </mergeCells>
  <pageMargins left="0.70866141732283472" right="0.70866141732283472" top="0" bottom="0" header="0.31496062992125984" footer="0.31496062992125984"/>
  <pageSetup paperSize="9" orientation="landscape" horizontalDpi="4294967293" vertic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Testzahlen</vt:lpstr>
      <vt:lpstr>KW-50</vt:lpstr>
      <vt:lpstr>KW-49</vt:lpstr>
      <vt:lpstr>KW-48</vt:lpstr>
      <vt:lpstr>KW-47</vt:lpstr>
      <vt:lpstr>KW-45</vt:lpstr>
      <vt:lpstr>KW-44</vt:lpstr>
      <vt:lpstr>KW-43</vt:lpstr>
      <vt:lpstr>KW-42</vt:lpstr>
      <vt:lpstr>KW-41</vt:lpstr>
      <vt:lpstr>KW-40</vt:lpstr>
      <vt:lpstr>KW-39</vt:lpstr>
      <vt:lpstr>KW-38</vt:lpstr>
      <vt:lpstr>KW-37</vt:lpstr>
      <vt:lpstr>KW-36</vt:lpstr>
      <vt:lpstr>KW-35</vt:lpstr>
      <vt:lpstr>KW-34</vt:lpstr>
      <vt:lpstr>KW-33</vt:lpstr>
      <vt:lpstr>KW-32</vt:lpstr>
      <vt:lpstr>KW-31</vt:lpstr>
      <vt:lpstr>KW-30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 Pötzschke</dc:creator>
  <cp:lastModifiedBy>Hendrik Pötzschke</cp:lastModifiedBy>
  <cp:lastPrinted>2020-12-16T17:22:14Z</cp:lastPrinted>
  <dcterms:created xsi:type="dcterms:W3CDTF">2020-08-07T20:27:44Z</dcterms:created>
  <dcterms:modified xsi:type="dcterms:W3CDTF">2020-12-16T17:22:18Z</dcterms:modified>
</cp:coreProperties>
</file>