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9.xml" ContentType="application/vnd.openxmlformats-officedocument.spreadsheetml.comments+xml"/>
  <Override PartName="/xl/comments2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E82C" lockStructure="1"/>
  <bookViews>
    <workbookView xWindow="120" yWindow="105" windowWidth="15435" windowHeight="5190" tabRatio="712"/>
  </bookViews>
  <sheets>
    <sheet name="Navigation page" sheetId="5" r:id="rId1"/>
    <sheet name="Static 2" sheetId="23" r:id="rId2"/>
    <sheet name="D1" sheetId="4" r:id="rId3"/>
    <sheet name="D2" sheetId="6" r:id="rId4"/>
    <sheet name="D3" sheetId="7" r:id="rId5"/>
    <sheet name="D4" sheetId="8" r:id="rId6"/>
    <sheet name="D5" sheetId="9" r:id="rId7"/>
    <sheet name="D6" sheetId="10" r:id="rId8"/>
    <sheet name="D7" sheetId="11" r:id="rId9"/>
    <sheet name="D8" sheetId="12" r:id="rId10"/>
    <sheet name="D9" sheetId="13" r:id="rId11"/>
    <sheet name="D10" sheetId="14" r:id="rId12"/>
    <sheet name="D11" sheetId="15" r:id="rId13"/>
    <sheet name="D12" sheetId="16" r:id="rId14"/>
    <sheet name="D13" sheetId="17" r:id="rId15"/>
    <sheet name="D14" sheetId="18" r:id="rId16"/>
    <sheet name="D15" sheetId="19" r:id="rId17"/>
    <sheet name="D16" sheetId="20" r:id="rId18"/>
    <sheet name="D17" sheetId="21" r:id="rId19"/>
    <sheet name="Summary Report" sheetId="24" r:id="rId20"/>
    <sheet name="Print Format" sheetId="25" r:id="rId21"/>
    <sheet name="Data Tab" sheetId="26" r:id="rId22"/>
    <sheet name="Variable Names" sheetId="27" r:id="rId23"/>
    <sheet name="Data Values" sheetId="3" r:id="rId24"/>
  </sheets>
  <calcPr calcId="145621"/>
</workbook>
</file>

<file path=xl/calcChain.xml><?xml version="1.0" encoding="utf-8"?>
<calcChain xmlns="http://schemas.openxmlformats.org/spreadsheetml/2006/main">
  <c r="D20" i="25" l="1"/>
  <c r="D19" i="25"/>
  <c r="A20" i="25"/>
  <c r="O4" i="25"/>
  <c r="O12" i="24"/>
  <c r="CE4" i="25" l="1"/>
  <c r="CA4" i="25"/>
  <c r="BW26" i="25"/>
  <c r="BS26" i="25"/>
  <c r="BW4" i="25"/>
  <c r="BS4" i="25"/>
  <c r="BO26" i="25"/>
  <c r="BK26" i="25"/>
  <c r="BO4" i="25"/>
  <c r="BK4" i="25"/>
  <c r="BG26" i="25"/>
  <c r="BC26" i="25"/>
  <c r="BG4" i="25"/>
  <c r="BC4" i="25"/>
  <c r="AY26" i="25"/>
  <c r="AU26" i="25"/>
  <c r="AY4" i="25"/>
  <c r="AU4" i="25"/>
  <c r="AQ26" i="25"/>
  <c r="AM26" i="25"/>
  <c r="AQ4" i="25"/>
  <c r="AM4" i="25"/>
  <c r="AI26" i="25"/>
  <c r="AE26" i="25"/>
  <c r="AI4" i="25"/>
  <c r="AE4" i="25"/>
  <c r="AA26" i="25"/>
  <c r="W26" i="25"/>
  <c r="AA4" i="25"/>
  <c r="W4" i="25"/>
  <c r="S26" i="25"/>
  <c r="O26" i="25"/>
  <c r="S4" i="25"/>
  <c r="D5" i="21"/>
  <c r="D5" i="20"/>
  <c r="D5" i="19"/>
  <c r="D5" i="18"/>
  <c r="D5" i="17"/>
  <c r="D5" i="16"/>
  <c r="D5" i="15"/>
  <c r="D5" i="14"/>
  <c r="D5" i="13"/>
  <c r="D5" i="12"/>
  <c r="D5" i="11"/>
  <c r="D5" i="10"/>
  <c r="D5" i="9"/>
  <c r="D5" i="8"/>
  <c r="D5" i="7"/>
  <c r="D5" i="6"/>
  <c r="D5" i="4"/>
  <c r="DB2" i="26" l="1"/>
  <c r="DA2" i="26"/>
  <c r="CZ2" i="26"/>
  <c r="CW2" i="26"/>
  <c r="CV2" i="26"/>
  <c r="CU2" i="26"/>
  <c r="CR2" i="26"/>
  <c r="CQ2" i="26"/>
  <c r="CP2" i="26"/>
  <c r="CM2" i="26"/>
  <c r="CL2" i="26"/>
  <c r="CK2" i="26"/>
  <c r="CH2" i="26"/>
  <c r="CG2" i="26"/>
  <c r="CF2" i="26"/>
  <c r="CC2" i="26"/>
  <c r="CB2" i="26"/>
  <c r="CA2" i="26"/>
  <c r="BX2" i="26"/>
  <c r="BW2" i="26"/>
  <c r="BV2" i="26"/>
  <c r="BS2" i="26"/>
  <c r="BR2" i="26"/>
  <c r="BQ2" i="26"/>
  <c r="BN2" i="26"/>
  <c r="BM2" i="26"/>
  <c r="BL2" i="26"/>
  <c r="BI2" i="26"/>
  <c r="BH2" i="26"/>
  <c r="BG2" i="26"/>
  <c r="BD2" i="26"/>
  <c r="BC2" i="26"/>
  <c r="BB2" i="26"/>
  <c r="AY2" i="26"/>
  <c r="AX2" i="26"/>
  <c r="AW2" i="26"/>
  <c r="AT2" i="26"/>
  <c r="AS2" i="26"/>
  <c r="AR2" i="26"/>
  <c r="AO2" i="26"/>
  <c r="AN2" i="26"/>
  <c r="AM2" i="26"/>
  <c r="AJ2" i="26"/>
  <c r="AI2" i="26"/>
  <c r="AH2" i="26"/>
  <c r="AC2" i="26"/>
  <c r="AE2" i="26"/>
  <c r="AD2" i="26"/>
  <c r="Z2" i="26"/>
  <c r="Y2" i="26"/>
  <c r="X2" i="26"/>
  <c r="C2" i="26"/>
  <c r="G2" i="26"/>
  <c r="F2" i="26"/>
  <c r="E2" i="26"/>
  <c r="D2" i="26"/>
  <c r="B2" i="26"/>
  <c r="A2" i="26"/>
  <c r="H45" i="25"/>
  <c r="H22" i="25"/>
  <c r="N2" i="25"/>
  <c r="B8" i="25"/>
  <c r="A16" i="25" s="1"/>
  <c r="G6" i="25"/>
  <c r="G5" i="25"/>
  <c r="G4" i="25"/>
  <c r="B6" i="25"/>
  <c r="B5" i="25"/>
  <c r="B4" i="25"/>
  <c r="B3" i="25"/>
  <c r="A17" i="25" l="1"/>
  <c r="A13" i="25"/>
  <c r="E9" i="25"/>
  <c r="A14" i="25"/>
  <c r="A10" i="25"/>
  <c r="A11" i="25"/>
  <c r="A15" i="25"/>
  <c r="B9" i="25"/>
  <c r="A12" i="25"/>
  <c r="D31" i="24"/>
  <c r="I21" i="25" s="1"/>
  <c r="D30" i="24"/>
  <c r="I20" i="25" s="1"/>
  <c r="D29" i="24"/>
  <c r="I19" i="25" s="1"/>
  <c r="D28" i="24"/>
  <c r="I18" i="25" s="1"/>
  <c r="D27" i="24"/>
  <c r="I17" i="25" s="1"/>
  <c r="D26" i="24"/>
  <c r="I16" i="25" s="1"/>
  <c r="D25" i="24"/>
  <c r="I15" i="25" s="1"/>
  <c r="D24" i="24"/>
  <c r="I14" i="25" s="1"/>
  <c r="D23" i="24"/>
  <c r="I13" i="25" s="1"/>
  <c r="D22" i="24"/>
  <c r="I12" i="25" s="1"/>
  <c r="D21" i="24"/>
  <c r="I11" i="25" s="1"/>
  <c r="D20" i="24"/>
  <c r="I10" i="25" s="1"/>
  <c r="D19" i="24"/>
  <c r="I9" i="25" s="1"/>
  <c r="D18" i="24"/>
  <c r="I8" i="25" s="1"/>
  <c r="D17" i="24"/>
  <c r="I7" i="25" s="1"/>
  <c r="D16" i="24"/>
  <c r="I6" i="25" s="1"/>
  <c r="D15" i="24"/>
  <c r="I5" i="25" s="1"/>
  <c r="J37" i="23"/>
  <c r="J33" i="23"/>
  <c r="J31" i="23"/>
  <c r="J28" i="23"/>
  <c r="J23" i="23"/>
  <c r="J21" i="23"/>
  <c r="J19" i="23"/>
  <c r="J20" i="25" l="1"/>
  <c r="L19" i="25"/>
  <c r="K18" i="25"/>
  <c r="K17" i="25"/>
  <c r="L15" i="25"/>
  <c r="K14" i="25"/>
  <c r="K13" i="25"/>
  <c r="K10" i="25"/>
  <c r="L9" i="25"/>
  <c r="K8" i="25"/>
  <c r="J6" i="25"/>
  <c r="J5" i="25"/>
  <c r="J16" i="25"/>
  <c r="L12" i="25"/>
  <c r="J7" i="24"/>
  <c r="J11" i="24"/>
  <c r="J10" i="24"/>
  <c r="J9" i="24"/>
  <c r="J8" i="24"/>
  <c r="J6" i="24"/>
  <c r="J5" i="24"/>
  <c r="J7" i="25"/>
  <c r="I22" i="25"/>
  <c r="D32" i="24"/>
  <c r="D21" i="23"/>
  <c r="D19" i="23"/>
  <c r="L22" i="25" l="1"/>
  <c r="E10" i="25"/>
  <c r="P2" i="26"/>
  <c r="E11" i="25"/>
  <c r="Q2" i="26"/>
  <c r="E16" i="25"/>
  <c r="V2" i="26"/>
  <c r="E13" i="25"/>
  <c r="S2" i="26"/>
  <c r="E12" i="25"/>
  <c r="R2" i="26"/>
  <c r="E14" i="25"/>
  <c r="T2" i="26"/>
  <c r="E15" i="25"/>
  <c r="U2" i="26"/>
  <c r="J12" i="24"/>
  <c r="D6" i="24"/>
  <c r="D5" i="24"/>
  <c r="I31" i="24"/>
  <c r="M44" i="25" s="1"/>
  <c r="I19" i="24"/>
  <c r="M32" i="25" s="1"/>
  <c r="I30" i="24"/>
  <c r="M43" i="25" s="1"/>
  <c r="I29" i="24"/>
  <c r="M42" i="25" s="1"/>
  <c r="I28" i="24"/>
  <c r="M41" i="25" s="1"/>
  <c r="I27" i="24"/>
  <c r="M40" i="25" s="1"/>
  <c r="I26" i="24"/>
  <c r="M39" i="25" s="1"/>
  <c r="I25" i="24"/>
  <c r="M38" i="25" s="1"/>
  <c r="I24" i="24"/>
  <c r="M37" i="25" s="1"/>
  <c r="I23" i="24"/>
  <c r="M36" i="25" s="1"/>
  <c r="I22" i="24"/>
  <c r="M35" i="25" s="1"/>
  <c r="I21" i="24"/>
  <c r="M34" i="25" s="1"/>
  <c r="I20" i="24"/>
  <c r="M33" i="25" s="1"/>
  <c r="I18" i="24"/>
  <c r="M31" i="25" s="1"/>
  <c r="I17" i="24"/>
  <c r="M30" i="25" s="1"/>
  <c r="I16" i="24"/>
  <c r="M29" i="25" s="1"/>
  <c r="AA2" i="26"/>
  <c r="AB2" i="26" s="1"/>
  <c r="I15" i="24"/>
  <c r="M28" i="25" s="1"/>
  <c r="E17" i="25" l="1"/>
  <c r="B11" i="25"/>
  <c r="I2" i="26"/>
  <c r="B10" i="25"/>
  <c r="H2" i="26"/>
  <c r="J15" i="24"/>
  <c r="I28" i="25" s="1"/>
  <c r="S3" i="25" s="1"/>
  <c r="H31" i="24"/>
  <c r="M21" i="25" s="1"/>
  <c r="CA3" i="25" s="1"/>
  <c r="H30" i="24"/>
  <c r="M20" i="25" s="1"/>
  <c r="BS25" i="25" s="1"/>
  <c r="H29" i="24"/>
  <c r="M19" i="25" s="1"/>
  <c r="BS3" i="25" s="1"/>
  <c r="H28" i="24"/>
  <c r="M18" i="25" s="1"/>
  <c r="BK25" i="25" s="1"/>
  <c r="H27" i="24"/>
  <c r="M17" i="25" s="1"/>
  <c r="BK3" i="25" s="1"/>
  <c r="H26" i="24"/>
  <c r="M16" i="25" s="1"/>
  <c r="BC25" i="25" s="1"/>
  <c r="H25" i="24"/>
  <c r="M15" i="25" s="1"/>
  <c r="BC3" i="25" s="1"/>
  <c r="H24" i="24"/>
  <c r="M14" i="25" s="1"/>
  <c r="AU25" i="25" s="1"/>
  <c r="H23" i="24"/>
  <c r="M13" i="25" s="1"/>
  <c r="AU3" i="25" s="1"/>
  <c r="H22" i="24"/>
  <c r="M12" i="25" s="1"/>
  <c r="AM25" i="25" s="1"/>
  <c r="H21" i="24"/>
  <c r="M11" i="25" s="1"/>
  <c r="AM3" i="25" s="1"/>
  <c r="H20" i="24"/>
  <c r="M10" i="25" s="1"/>
  <c r="AE25" i="25" s="1"/>
  <c r="H19" i="24"/>
  <c r="M9" i="25" s="1"/>
  <c r="AE3" i="25" s="1"/>
  <c r="H18" i="24"/>
  <c r="M8" i="25" s="1"/>
  <c r="W25" i="25" s="1"/>
  <c r="H17" i="24"/>
  <c r="M7" i="25" s="1"/>
  <c r="W3" i="25" s="1"/>
  <c r="H16" i="24"/>
  <c r="M6" i="25" s="1"/>
  <c r="O25" i="25" s="1"/>
  <c r="H15" i="24"/>
  <c r="M5" i="25" s="1"/>
  <c r="O3" i="25" s="1"/>
  <c r="E30" i="24"/>
  <c r="J22" i="25" s="1"/>
  <c r="G29" i="24"/>
  <c r="F28" i="24"/>
  <c r="F27" i="24"/>
  <c r="E26" i="24"/>
  <c r="G25" i="24"/>
  <c r="F24" i="24"/>
  <c r="F23" i="24"/>
  <c r="F20" i="24"/>
  <c r="K22" i="25" s="1"/>
  <c r="F18" i="24"/>
  <c r="E17" i="24"/>
  <c r="E16" i="24"/>
  <c r="G22" i="24"/>
  <c r="D33" i="23"/>
  <c r="D31" i="23"/>
  <c r="D28" i="23"/>
  <c r="D23" i="23"/>
  <c r="D37" i="23"/>
  <c r="CX2" i="26"/>
  <c r="CY2" i="26" s="1"/>
  <c r="CS2" i="26"/>
  <c r="CT2" i="26" s="1"/>
  <c r="CN2" i="26"/>
  <c r="CO2" i="26" s="1"/>
  <c r="CI2" i="26"/>
  <c r="CJ2" i="26" s="1"/>
  <c r="CD2" i="26"/>
  <c r="CE2" i="26" s="1"/>
  <c r="BY2" i="26"/>
  <c r="BZ2" i="26" s="1"/>
  <c r="BT2" i="26"/>
  <c r="BU2" i="26" s="1"/>
  <c r="BO2" i="26"/>
  <c r="BP2" i="26" s="1"/>
  <c r="AZ2" i="26"/>
  <c r="BA2" i="26" s="1"/>
  <c r="BJ2" i="26"/>
  <c r="BK2" i="26" s="1"/>
  <c r="AP2" i="26"/>
  <c r="AQ2" i="26" s="1"/>
  <c r="AK2" i="26"/>
  <c r="AL2" i="26" s="1"/>
  <c r="AF2" i="26"/>
  <c r="AG2" i="26" s="1"/>
  <c r="J3" i="3"/>
  <c r="J28" i="25" l="1"/>
  <c r="J31" i="24"/>
  <c r="I44" i="25" s="1"/>
  <c r="CE3" i="25" s="1"/>
  <c r="DC2" i="26"/>
  <c r="DD2" i="26" s="1"/>
  <c r="J21" i="24"/>
  <c r="I34" i="25" s="1"/>
  <c r="AQ3" i="25" s="1"/>
  <c r="BE2" i="26"/>
  <c r="BF2" i="26" s="1"/>
  <c r="J19" i="24"/>
  <c r="I32" i="25" s="1"/>
  <c r="AI3" i="25" s="1"/>
  <c r="AU2" i="26"/>
  <c r="AV2" i="26" s="1"/>
  <c r="D7" i="24"/>
  <c r="D11" i="24"/>
  <c r="D10" i="24"/>
  <c r="D9" i="24"/>
  <c r="D8" i="24"/>
  <c r="N28" i="25"/>
  <c r="F32" i="24"/>
  <c r="J30" i="24"/>
  <c r="I43" i="25" s="1"/>
  <c r="BW25" i="25" s="1"/>
  <c r="J29" i="24"/>
  <c r="J28" i="24"/>
  <c r="J27" i="24"/>
  <c r="J26" i="24"/>
  <c r="J25" i="24"/>
  <c r="J24" i="24"/>
  <c r="J23" i="24"/>
  <c r="J22" i="24"/>
  <c r="J20" i="24"/>
  <c r="I33" i="25" s="1"/>
  <c r="AI25" i="25" s="1"/>
  <c r="J18" i="24"/>
  <c r="J17" i="24"/>
  <c r="J16" i="24"/>
  <c r="I29" i="25" s="1"/>
  <c r="S25" i="25" s="1"/>
  <c r="K15" i="24"/>
  <c r="E15" i="24"/>
  <c r="E32" i="24" s="1"/>
  <c r="G19" i="24"/>
  <c r="G32" i="24" s="1"/>
  <c r="J38" i="23"/>
  <c r="W2" i="26" s="1"/>
  <c r="D38" i="23"/>
  <c r="O2" i="26" s="1"/>
  <c r="D39" i="23"/>
  <c r="J39" i="23"/>
  <c r="B12" i="25" l="1"/>
  <c r="J2" i="26"/>
  <c r="B14" i="25"/>
  <c r="L2" i="26"/>
  <c r="B15" i="25"/>
  <c r="M2" i="26"/>
  <c r="B16" i="25"/>
  <c r="N2" i="26"/>
  <c r="B13" i="25"/>
  <c r="K2" i="26"/>
  <c r="N44" i="25"/>
  <c r="J43" i="25"/>
  <c r="N34" i="25"/>
  <c r="K33" i="25"/>
  <c r="M29" i="24"/>
  <c r="I42" i="25"/>
  <c r="BW3" i="25" s="1"/>
  <c r="L28" i="24"/>
  <c r="I41" i="25"/>
  <c r="BO25" i="25" s="1"/>
  <c r="L27" i="24"/>
  <c r="I40" i="25"/>
  <c r="BO3" i="25" s="1"/>
  <c r="K26" i="24"/>
  <c r="I39" i="25"/>
  <c r="BG25" i="25" s="1"/>
  <c r="M25" i="24"/>
  <c r="I38" i="25"/>
  <c r="BG3" i="25" s="1"/>
  <c r="L24" i="24"/>
  <c r="I37" i="25"/>
  <c r="AY25" i="25" s="1"/>
  <c r="L23" i="24"/>
  <c r="I36" i="25"/>
  <c r="AY3" i="25" s="1"/>
  <c r="M22" i="24"/>
  <c r="I35" i="25"/>
  <c r="AQ25" i="25" s="1"/>
  <c r="M19" i="24"/>
  <c r="N32" i="25"/>
  <c r="L32" i="25"/>
  <c r="L18" i="24"/>
  <c r="I31" i="25"/>
  <c r="AA25" i="25" s="1"/>
  <c r="D12" i="24"/>
  <c r="D34" i="24" s="1"/>
  <c r="I24" i="25" s="1"/>
  <c r="K17" i="24"/>
  <c r="I30" i="25"/>
  <c r="AA3" i="25" s="1"/>
  <c r="N29" i="25"/>
  <c r="J29" i="25"/>
  <c r="K30" i="24"/>
  <c r="N43" i="25"/>
  <c r="L20" i="24"/>
  <c r="K16" i="24"/>
  <c r="J32" i="24"/>
  <c r="J34" i="24" s="1"/>
  <c r="I47" i="25" s="1"/>
  <c r="B33" i="24"/>
  <c r="B17" i="25" l="1"/>
  <c r="N42" i="25"/>
  <c r="L42" i="25"/>
  <c r="N41" i="25"/>
  <c r="K41" i="25"/>
  <c r="N40" i="25"/>
  <c r="K40" i="25"/>
  <c r="J39" i="25"/>
  <c r="N39" i="25"/>
  <c r="M32" i="24"/>
  <c r="N38" i="25"/>
  <c r="L38" i="25"/>
  <c r="N37" i="25"/>
  <c r="K37" i="25"/>
  <c r="N36" i="25"/>
  <c r="K36" i="25"/>
  <c r="L35" i="25"/>
  <c r="N35" i="25"/>
  <c r="N31" i="25"/>
  <c r="K31" i="25"/>
  <c r="J30" i="25"/>
  <c r="N30" i="25"/>
  <c r="L32" i="24"/>
  <c r="K32" i="24"/>
  <c r="J33" i="24"/>
  <c r="I46" i="25" s="1"/>
  <c r="H46" i="25"/>
  <c r="H23" i="25"/>
  <c r="I45" i="25"/>
  <c r="N33" i="25"/>
  <c r="D33" i="24"/>
  <c r="I23" i="25" s="1"/>
  <c r="O31" i="24"/>
  <c r="B34" i="24"/>
  <c r="J45" i="25" l="1"/>
  <c r="K45" i="25"/>
  <c r="L45" i="25"/>
  <c r="H24" i="25"/>
  <c r="H47" i="25"/>
  <c r="O33" i="24"/>
  <c r="N46" i="25" s="1"/>
  <c r="O34" i="24"/>
  <c r="N47" i="25" s="1"/>
  <c r="O32" i="24"/>
  <c r="N45" i="25" s="1"/>
  <c r="B35" i="24"/>
  <c r="H48" i="25" l="1"/>
  <c r="H25" i="25"/>
  <c r="J35" i="24"/>
  <c r="I48" i="25" s="1"/>
  <c r="D35" i="24"/>
  <c r="I25" i="25" s="1"/>
  <c r="O35" i="24" l="1"/>
  <c r="N48" i="25" s="1"/>
</calcChain>
</file>

<file path=xl/comments1.xml><?xml version="1.0" encoding="utf-8"?>
<comments xmlns="http://schemas.openxmlformats.org/spreadsheetml/2006/main">
  <authors>
    <author>Mundt, James C</author>
  </authors>
  <commentList>
    <comment ref="B3" authorId="0">
      <text>
        <r>
          <rPr>
            <b/>
            <sz val="9"/>
            <color indexed="81"/>
            <rFont val="Tahoma"/>
            <family val="2"/>
          </rPr>
          <t>Last, First</t>
        </r>
      </text>
    </comment>
  </commentList>
</comments>
</file>

<file path=xl/comments10.xml><?xml version="1.0" encoding="utf-8"?>
<comments xmlns="http://schemas.openxmlformats.org/spreadsheetml/2006/main">
  <authors>
    <author>Mundt, James C</author>
  </authors>
  <commentList>
    <comment ref="A5" authorId="0">
      <text>
        <r>
          <rPr>
            <sz val="9"/>
            <color indexed="81"/>
            <rFont val="Tahoma"/>
            <family val="2"/>
          </rPr>
          <t>0 Rating
The individual does not have a substance abuse or substance related problem linked to sexual offending. The individual may drink socially and occasionally may have become intoxicated or experimented with drugs however, substance use has not been linked to sexual behavior. Drug is defined as any substance that is used generally for mind-altering purposes. Drug dealing per se is not considered violent unless violent behavior is associated with the transaction of drugs (see note above regarding use of drugs in the commission of sex offenses).
1 Rating
Less positive than 0.
2 Rating
Less serious than 3.
3 Rating
A substance use or substance related problem has been linked to sexual offending. There may be evidence of a long history of substance abuse that frequently resulted in significant physical or psychological harm to others. The individual, while intoxicated, may show significant behavioral changes often leading to sexual offending.
OMIT  Insufficient information to rate this item pre-treatment.</t>
        </r>
      </text>
    </comment>
    <comment ref="B5" authorId="0">
      <text>
        <r>
          <rPr>
            <b/>
            <sz val="9"/>
            <color indexed="81"/>
            <rFont val="Tahoma"/>
            <family val="2"/>
          </rPr>
          <t xml:space="preserve">Precontemplation Stage: </t>
        </r>
        <r>
          <rPr>
            <sz val="9"/>
            <color indexed="81"/>
            <rFont val="Tahoma"/>
            <family val="2"/>
          </rPr>
          <t>The individual has no awareness of the problems and demonstrates no intention to change in the near future. The individual demonstrates no awareness of the relationship between substance use and sexual offending or the need to address substance abuse problems. The individual may make superficial claims about wanting to join substance abuse programs on release, or comment about the uselessness of in-house substance abuse programs. If the individual does attend such programs, participation may be marginal at best. There may be instituional charges or suspicion for the procurement, distribution, and use of illegal substances or evidence of close associations with other substance abusers.</t>
        </r>
        <r>
          <rPr>
            <b/>
            <sz val="9"/>
            <color indexed="81"/>
            <rFont val="Tahoma"/>
            <family val="2"/>
          </rPr>
          <t xml:space="preserve">
Contemplation Stage: </t>
        </r>
        <r>
          <rPr>
            <sz val="9"/>
            <color indexed="81"/>
            <rFont val="Tahoma"/>
            <family val="2"/>
          </rPr>
          <t>The individual recognizes their problem areas and wants to overcome them but relevant behavioral changes are not yet observable.</t>
        </r>
        <r>
          <rPr>
            <b/>
            <sz val="9"/>
            <color indexed="81"/>
            <rFont val="Tahoma"/>
            <family val="2"/>
          </rPr>
          <t xml:space="preserve">
Preparation Stage: </t>
        </r>
        <r>
          <rPr>
            <sz val="9"/>
            <color indexed="81"/>
            <rFont val="Tahoma"/>
            <family val="2"/>
          </rPr>
          <t>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t>
        </r>
        <r>
          <rPr>
            <sz val="9"/>
            <color indexed="81"/>
            <rFont val="Tahoma"/>
            <family val="2"/>
          </rPr>
          <t xml:space="preserve"> If substance abuse has been linked to sexual offending, there must be strong evidence to indicate that the link between sexual behavior and substance abuse has been broken. Simply participating in substance abuse program is not sufficient. A genuine commitment to managing and limiting substance use shoudl include: no illegal drug use or drug-seeking behaviors, repeated negative drug testing, consistent and motivated participation in substance abuse programs, exploration of the reasons for substance abuse, seriously abiding by relapse prevention plans, successfully manage past risk factors that have precipitated substance abuse (e.g., feeling rejected, poor self-esteem, etc.), enlisting prosocial and antisubstance abuse resources in the institution and in the community, and distancing oneself from peers known to be involved in substance abuse. These positive changes have been stable over an extended period of time and have withstood challenges across a variety of relevant situations, that is, high-risk situations related to the individual's problem behavior(s).
</t>
        </r>
      </text>
    </comment>
    <comment ref="C5" authorId="0">
      <text>
        <r>
          <rPr>
            <b/>
            <sz val="9"/>
            <color indexed="81"/>
            <rFont val="Tahoma"/>
            <family val="2"/>
          </rPr>
          <t xml:space="preserve">Precontemplation Stage: </t>
        </r>
        <r>
          <rPr>
            <sz val="9"/>
            <color indexed="81"/>
            <rFont val="Tahoma"/>
            <family val="2"/>
          </rPr>
          <t xml:space="preserve">The individual has no awareness of the problems and demonstrates no intention to change in the near future. The individual demonstrates no awareness of the relationship between substance use and sexual offending or the need to address substance abuse problems. The individual may make superficial claims about wanting to join substance abuse programs on release, or comment about the uselessness of in-house substance abuse programs. If the individual does attend such programs, participation may be marginal at best. There may be instituional charges or suspicion for the procurement, distribution, and use of illegal substances or evidence of close associations with other substance abusers.
</t>
        </r>
        <r>
          <rPr>
            <b/>
            <sz val="9"/>
            <color indexed="81"/>
            <rFont val="Tahoma"/>
            <family val="2"/>
          </rPr>
          <t xml:space="preserve">
Contemplation Stage: </t>
        </r>
        <r>
          <rPr>
            <sz val="9"/>
            <color indexed="81"/>
            <rFont val="Tahoma"/>
            <family val="2"/>
          </rPr>
          <t xml:space="preserve">The individual recognizes their problem areas and wants to overcome them but relevant behavioral changes are not yet observable.
</t>
        </r>
        <r>
          <rPr>
            <b/>
            <sz val="9"/>
            <color indexed="81"/>
            <rFont val="Tahoma"/>
            <family val="2"/>
          </rPr>
          <t xml:space="preserve">
Preparation Stage:</t>
        </r>
        <r>
          <rPr>
            <sz val="9"/>
            <color indexed="81"/>
            <rFont val="Tahoma"/>
            <family val="2"/>
          </rPr>
          <t xml:space="preserve"> The individual recognizes his/her problems and has made observable efforts at overcoming them. There are appropriate behavior changes, however these may be relatively recent and/or tend not to be consistent over time; lapses may be quite frequent.
</t>
        </r>
        <r>
          <rPr>
            <b/>
            <sz val="9"/>
            <color indexed="81"/>
            <rFont val="Tahoma"/>
            <family val="2"/>
          </rPr>
          <t xml:space="preserve">
Action Stage: </t>
        </r>
        <r>
          <rPr>
            <sz val="9"/>
            <color indexed="81"/>
            <rFont val="Tahoma"/>
            <family val="2"/>
          </rPr>
          <t xml:space="preserve">The individual has many of the characteristics described in the maintenance stage and although these characteristics have been sufficiently stable over an extended period of time, they have not yet been adequately demonstrated across relevant high-risk situations.
</t>
        </r>
        <r>
          <rPr>
            <b/>
            <sz val="9"/>
            <color indexed="81"/>
            <rFont val="Tahoma"/>
            <family val="2"/>
          </rPr>
          <t xml:space="preserve">
Maintenance Stage:</t>
        </r>
        <r>
          <rPr>
            <sz val="9"/>
            <color indexed="81"/>
            <rFont val="Tahoma"/>
            <family val="2"/>
          </rPr>
          <t xml:space="preserve"> If substance abuse has been linked to sexual offending, there must be strong evidence to indicate that the link between sexual behavior and substance abuse has been broken. Simply participating in substance abuse program is not sufficient. A genuine commitment to managing and limiting substance use shoudl include: no illegal drug use or drug-seeking behaviors, repeated negative drug testing, consistent and motivated participation in substance abuse programs, exploration of the reasons for substance abuse, seriously abiding by relapse prevention plans, successfully manage past risk factors that have precipitated substance abuse (e.g., feeling rejected, poor self-esteem, etc.), enlisting prosocial and antisubstance abuse resources in the institution and in the community, and distancing oneself from peers known to be involved in substance abuse. These positive changes have been stable over an extended period of time and have withstood challenges across a variety of relevant situations, that is, high-risk situations related to the individual's problem behavior(s).
</t>
        </r>
      </text>
    </comment>
    <comment ref="D6" authorId="0">
      <text>
        <r>
          <rPr>
            <sz val="9"/>
            <color indexed="81"/>
            <rFont val="Tahoma"/>
            <family val="2"/>
          </rPr>
          <t>Omitted Pre-treatment factors could be completed as a post-treatment rating if information not present at the time of the Pre-Treatment assessment is now available.</t>
        </r>
      </text>
    </comment>
  </commentList>
</comments>
</file>

<file path=xl/comments11.xml><?xml version="1.0" encoding="utf-8"?>
<comments xmlns="http://schemas.openxmlformats.org/spreadsheetml/2006/main">
  <authors>
    <author>Mundt, James C</author>
  </authors>
  <commentList>
    <comment ref="A5" authorId="0">
      <text>
        <r>
          <rPr>
            <sz val="9"/>
            <color indexed="81"/>
            <rFont val="Tahoma"/>
            <family val="2"/>
          </rPr>
          <t>0 Rating
Positive community support in the form of accommodation, employment opportunities, relocation, emotional support, psychological support, counseling, self-help groups, visitations, verified admission to a treatment program, vocational training, educational training etc., is available to the individual, and the individual displays a genuine willingness and desire to utilize such support. The more diverse and comprehensive the support system, the more beneficial it will be to the individual. The support system has to be legitimate and reasonably stable.
1 Rating
Less positive than 0.
2 Rating
Less serious than 3.
3 Rating
Positive community support (as described above) is not available or is totally inadequate to meet the needs of the individual. The individual has not actively participated in identifying or developing community support. Though available, the individual refuses to utilize positive community support or to acknowledge such support is necessary to reduce his or her likelihood to reoffend.
OMIT  Insufficient information to rate this item pre-treatment.</t>
        </r>
      </text>
    </comment>
    <comment ref="B5" authorId="0">
      <text>
        <r>
          <rPr>
            <b/>
            <sz val="9"/>
            <color indexed="81"/>
            <rFont val="Tahoma"/>
            <family val="2"/>
          </rPr>
          <t xml:space="preserve">Precontemplation Stage: </t>
        </r>
        <r>
          <rPr>
            <sz val="9"/>
            <color indexed="81"/>
            <rFont val="Tahoma"/>
            <family val="2"/>
          </rPr>
          <t>The individual has no awareness of the problems and demonstrates no
intention to change in the near future. The individual does not recognize the importance or need
for community support to ensure successful release. The individual may deny that he or she has a
problem or requires community support or the individual is reluctant to develop community
support.</t>
        </r>
        <r>
          <rPr>
            <b/>
            <sz val="9"/>
            <color indexed="81"/>
            <rFont val="Tahoma"/>
            <family val="2"/>
          </rPr>
          <t xml:space="preserve">
Contemplation Stage: </t>
        </r>
        <r>
          <rPr>
            <sz val="9"/>
            <color indexed="81"/>
            <rFont val="Tahoma"/>
            <family val="2"/>
          </rPr>
          <t>The individual recognizes their problem areas and wants to overcome them but relevant behavioral changes are not yet observable.</t>
        </r>
        <r>
          <rPr>
            <b/>
            <sz val="9"/>
            <color indexed="81"/>
            <rFont val="Tahoma"/>
            <family val="2"/>
          </rPr>
          <t xml:space="preserve">
Preparation Stage: </t>
        </r>
        <r>
          <rPr>
            <sz val="9"/>
            <color indexed="81"/>
            <rFont val="Tahoma"/>
            <family val="2"/>
          </rPr>
          <t>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t>
        </r>
        <r>
          <rPr>
            <sz val="9"/>
            <color indexed="81"/>
            <rFont val="Tahoma"/>
            <family val="2"/>
          </rPr>
          <t xml:space="preserve"> The individual acknowledges the importance of community support, has quality
community support available, and is motivated to utilize it on release. In addition, the individual has
developed realistic back-up strategies to take care of himself should community support be temporarily
interrupted. These positive changes have been stable over an extended period of time and have withstood challenges across a variety of relevant situations, that is, high-risk situations related to the individual's problem behavior(s).
</t>
        </r>
      </text>
    </comment>
    <comment ref="C5" authorId="0">
      <text>
        <r>
          <rPr>
            <b/>
            <sz val="9"/>
            <color indexed="81"/>
            <rFont val="Tahoma"/>
            <family val="2"/>
          </rPr>
          <t xml:space="preserve">Precontemplation Stage: </t>
        </r>
        <r>
          <rPr>
            <sz val="9"/>
            <color indexed="81"/>
            <rFont val="Tahoma"/>
            <family val="2"/>
          </rPr>
          <t>The individual has no awareness of the problems and demonstrates no
intention to change in the near future. The individual does not recognize the importance or need
for community support to ensure successful release. The individual may deny that he or she has a
problem or requires community support or the individual is reluctant to develop community
support.</t>
        </r>
        <r>
          <rPr>
            <b/>
            <sz val="9"/>
            <color indexed="81"/>
            <rFont val="Tahoma"/>
            <family val="2"/>
          </rPr>
          <t xml:space="preserve">
Contemplation Stage:</t>
        </r>
        <r>
          <rPr>
            <sz val="9"/>
            <color indexed="81"/>
            <rFont val="Tahoma"/>
            <family val="2"/>
          </rPr>
          <t xml:space="preserve"> The individual recognizes their problem areas and wants to overcome them but relevant behavioral changes are not yet observable.
</t>
        </r>
        <r>
          <rPr>
            <b/>
            <sz val="9"/>
            <color indexed="81"/>
            <rFont val="Tahoma"/>
            <family val="2"/>
          </rPr>
          <t xml:space="preserve">
Preparation Stage: </t>
        </r>
        <r>
          <rPr>
            <sz val="9"/>
            <color indexed="81"/>
            <rFont val="Tahoma"/>
            <family val="2"/>
          </rPr>
          <t>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t>
        </r>
        <r>
          <rPr>
            <sz val="9"/>
            <color indexed="81"/>
            <rFont val="Tahoma"/>
            <family val="2"/>
          </rPr>
          <t xml:space="preserve">The individual acknowledges the importance of community support, has quality
community support available, and is motivated to utilize it on release. In addition, the individual has
developed realistic back-up strategies to take care of himself should community support be temporarily
interrupted. These positive changes have been stable over an extended period of time and have withstood challenges across a variety of relevant situations, that is, high-risk situations related to the individual's problem behavior(s).
</t>
        </r>
      </text>
    </comment>
    <comment ref="D6" authorId="0">
      <text>
        <r>
          <rPr>
            <sz val="9"/>
            <color indexed="81"/>
            <rFont val="Tahoma"/>
            <family val="2"/>
          </rPr>
          <t>Omitted Pre-treatment factors could be completed as a post-treatment rating if information not present at the time of the Pre-Treatment assessment is now available.</t>
        </r>
      </text>
    </comment>
  </commentList>
</comments>
</file>

<file path=xl/comments12.xml><?xml version="1.0" encoding="utf-8"?>
<comments xmlns="http://schemas.openxmlformats.org/spreadsheetml/2006/main">
  <authors>
    <author>Mundt, James C</author>
  </authors>
  <commentList>
    <comment ref="A5" authorId="0">
      <text>
        <r>
          <rPr>
            <sz val="9"/>
            <color indexed="81"/>
            <rFont val="Tahoma"/>
            <family val="2"/>
          </rPr>
          <t>0 Rating
The individual does not wish to be released to identified high-risk situations that will bring him or her in close contact with factors linked to sexual offending. Should the release to high-risk situations be inevitable due to the lack of release options, the individual has developed comprehensive and realistic alternative release plans or strategies to avoid or appropriately manage risk factors within such situations.
1 Rating
Less positive than 0.
2 Rating
Less serious than 3.
3 Rating
The individual is planning to be released to or has to be released (because of a lack of release options) to a situation that has been closely linked to sexual offending. In the latter case, the individual has not developed strategies to avoid or adequately manage risk factors within such high-risk situations. The individual may have requested to be released to a low-risk situation but characteristically, when released quickly returned to a high-risk situation. A score of 3 is given if the individual has requested a similar release, unless a comprehensive and detailed release plan has been developed and there is genuine indicants to suggest adherence to the plan (e.g., the individual has demonstrated the ability to consistently implement relevant risk-reduction skills).
OMIT  Insufficient information to rate this item pre-treatment.</t>
        </r>
      </text>
    </comment>
    <comment ref="B5" authorId="0">
      <text>
        <r>
          <rPr>
            <b/>
            <sz val="9"/>
            <color indexed="81"/>
            <rFont val="Tahoma"/>
            <family val="2"/>
          </rPr>
          <t xml:space="preserve">Precontemplation Stage: </t>
        </r>
        <r>
          <rPr>
            <sz val="9"/>
            <color indexed="81"/>
            <rFont val="Tahoma"/>
            <family val="2"/>
          </rPr>
          <t>The individual has no awareness of the problems and demonstrates no
intention to change in the near future. The individual has no recognition of high-risk situations or of the need to avoid them. The individual may attempt to justify returning to a high-risk situation(s).</t>
        </r>
        <r>
          <rPr>
            <b/>
            <sz val="9"/>
            <color indexed="81"/>
            <rFont val="Tahoma"/>
            <family val="2"/>
          </rPr>
          <t xml:space="preserve">
Contemplation Stage: </t>
        </r>
        <r>
          <rPr>
            <sz val="9"/>
            <color indexed="81"/>
            <rFont val="Tahoma"/>
            <family val="2"/>
          </rPr>
          <t>The individual recognizes their problem areas and wants to overcome them but relevant behavioral changes are not yet observable.</t>
        </r>
        <r>
          <rPr>
            <b/>
            <sz val="9"/>
            <color indexed="81"/>
            <rFont val="Tahoma"/>
            <family val="2"/>
          </rPr>
          <t xml:space="preserve">
Preparation Stage: </t>
        </r>
        <r>
          <rPr>
            <sz val="9"/>
            <color indexed="81"/>
            <rFont val="Tahoma"/>
            <family val="2"/>
          </rPr>
          <t>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 </t>
        </r>
        <r>
          <rPr>
            <sz val="9"/>
            <color indexed="81"/>
            <rFont val="Tahoma"/>
            <family val="2"/>
          </rPr>
          <t>The individual recognizes that successful release is dependent upon avoiding high-risk situations and has developed strategies and skills to avoid them. A comprehensive and realistic
release plan has been developed and adhered to over an extended period of time. These positive changes have been stable over an extended period of time and have withstood challenges across a variety of relevant situations, that is, high-risk situations related to the individual's problem behavior(s).</t>
        </r>
        <r>
          <rPr>
            <b/>
            <sz val="9"/>
            <color indexed="81"/>
            <rFont val="Tahoma"/>
            <family val="2"/>
          </rPr>
          <t xml:space="preserve">
</t>
        </r>
        <r>
          <rPr>
            <sz val="9"/>
            <color indexed="81"/>
            <rFont val="Tahoma"/>
            <family val="2"/>
          </rPr>
          <t xml:space="preserve">
</t>
        </r>
      </text>
    </comment>
    <comment ref="C5" authorId="0">
      <text>
        <r>
          <rPr>
            <b/>
            <sz val="9"/>
            <color indexed="81"/>
            <rFont val="Tahoma"/>
            <family val="2"/>
          </rPr>
          <t xml:space="preserve">Precontemplation Stage: </t>
        </r>
        <r>
          <rPr>
            <sz val="9"/>
            <color indexed="81"/>
            <rFont val="Tahoma"/>
            <family val="2"/>
          </rPr>
          <t>The individual has no awareness of the problems and demonstrates no
intention to change in the near future. The individual has no recognition of high-risk situations or of the need to avoid them. The individual may attempt to justify returning to a high-risk situation(s).</t>
        </r>
        <r>
          <rPr>
            <b/>
            <sz val="9"/>
            <color indexed="81"/>
            <rFont val="Tahoma"/>
            <family val="2"/>
          </rPr>
          <t xml:space="preserve">
Contemplation Stage:</t>
        </r>
        <r>
          <rPr>
            <sz val="9"/>
            <color indexed="81"/>
            <rFont val="Tahoma"/>
            <family val="2"/>
          </rPr>
          <t xml:space="preserve"> The individual recognizes their problem areas and wants to overcome them but relevant behavioral changes are not yet observable.</t>
        </r>
        <r>
          <rPr>
            <b/>
            <sz val="9"/>
            <color indexed="81"/>
            <rFont val="Tahoma"/>
            <family val="2"/>
          </rPr>
          <t xml:space="preserve">
Preparation Stage:</t>
        </r>
        <r>
          <rPr>
            <sz val="9"/>
            <color indexed="81"/>
            <rFont val="Tahoma"/>
            <family val="2"/>
          </rPr>
          <t xml:space="preserve"> The individual recognizes his/her problems and has made observable efforts at overcoming them. There are appropriate behavior changes, however these may be relatively recent and/or tend not to be consistent over time; lapses may be quite frequent.
</t>
        </r>
        <r>
          <rPr>
            <b/>
            <sz val="9"/>
            <color indexed="81"/>
            <rFont val="Tahoma"/>
            <family val="2"/>
          </rPr>
          <t xml:space="preserve">
Action Stage:</t>
        </r>
        <r>
          <rPr>
            <sz val="9"/>
            <color indexed="81"/>
            <rFont val="Tahoma"/>
            <family val="2"/>
          </rPr>
          <t xml:space="preserve"> 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 </t>
        </r>
        <r>
          <rPr>
            <sz val="9"/>
            <color indexed="81"/>
            <rFont val="Tahoma"/>
            <family val="2"/>
          </rPr>
          <t xml:space="preserve">The individual recognizes that successful release is dependent upon avoiding high-risk situations and has developed strategies and skills to avoid them. A comprehensive and realistic
release plan has been developed and adhered to over an extended period of time. These positive changes have been stable over an extended period of time and have withstood challenges across a variety of relevant situations, that is, high-risk situations related to the individual's problem behavior(s).
</t>
        </r>
      </text>
    </comment>
    <comment ref="D6" authorId="0">
      <text>
        <r>
          <rPr>
            <sz val="9"/>
            <color indexed="81"/>
            <rFont val="Tahoma"/>
            <family val="2"/>
          </rPr>
          <t>Omitted Pre-treatment factors could be completed as a post-treatment rating if information not present at the time of the Pre-Treatment assessment is now available.</t>
        </r>
      </text>
    </comment>
  </commentList>
</comments>
</file>

<file path=xl/comments13.xml><?xml version="1.0" encoding="utf-8"?>
<comments xmlns="http://schemas.openxmlformats.org/spreadsheetml/2006/main">
  <authors>
    <author>Mundt, James C</author>
  </authors>
  <commentList>
    <comment ref="A5" authorId="0">
      <text>
        <r>
          <rPr>
            <sz val="9"/>
            <color indexed="81"/>
            <rFont val="Tahoma"/>
            <family val="2"/>
          </rPr>
          <t>0 Rating
There is no history of sexual offending or if there is such a history, the incidents were not precipitated by similar circumstances. It is likely that the sexual offending is an isolated incident or it is uncharacteristic of the individual's typical behavior.
1 Rating
Less positive than 0.
2 Rating
Less serious than 3.
3 Rating
There is a fairly obvious sexual offending cycle, pathway, or progression associated with the sexual behavior. Sexual offending is typically linked to identifiable situational (e.g., job loss), interpersonal (e.g., rejection), or personal (e.g., boredom, anger) precipitating factors or triggers. If a relapse into substance abuse characteristically leads to sexual offending, a score of 3 should be given.
For the purpose of rating this item, if an individual has committed multiple sexual offenses under different situations (e.g. different victim groups and/or different modus operandi) but there is a pattern of offending under any one of a number of situations, then the rating of 3 applies.
OMIT  Insufficient information to rate this item pre-treatment.</t>
        </r>
      </text>
    </comment>
    <comment ref="B5" authorId="0">
      <text>
        <r>
          <rPr>
            <b/>
            <sz val="9"/>
            <color indexed="81"/>
            <rFont val="Tahoma"/>
            <family val="2"/>
          </rPr>
          <t xml:space="preserve">Precontemplation Stage: </t>
        </r>
        <r>
          <rPr>
            <sz val="9"/>
            <color indexed="81"/>
            <rFont val="Tahoma"/>
            <family val="2"/>
          </rPr>
          <t>The individual has no awareness of the problems and demonstrates no
intention to change in the near future. No insight into the sexual offending cycle is evidenced.
The individual does not recognize triggers that precipitate sexual offending. The individual may
deny that cyclical events typically lead to sexual offending.</t>
        </r>
        <r>
          <rPr>
            <b/>
            <sz val="9"/>
            <color indexed="81"/>
            <rFont val="Tahoma"/>
            <family val="2"/>
          </rPr>
          <t xml:space="preserve">
Contemplation Stage:</t>
        </r>
        <r>
          <rPr>
            <sz val="9"/>
            <color indexed="81"/>
            <rFont val="Tahoma"/>
            <family val="2"/>
          </rPr>
          <t xml:space="preserve"> The individual recognizes their problem areas and wants to overcome them but relevant behavioral changes are not yet observable.</t>
        </r>
        <r>
          <rPr>
            <b/>
            <sz val="9"/>
            <color indexed="81"/>
            <rFont val="Tahoma"/>
            <family val="2"/>
          </rPr>
          <t xml:space="preserve">
Preparation Stage: </t>
        </r>
        <r>
          <rPr>
            <sz val="9"/>
            <color indexed="81"/>
            <rFont val="Tahoma"/>
            <family val="2"/>
          </rPr>
          <t>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t>
        </r>
        <r>
          <rPr>
            <sz val="9"/>
            <color indexed="81"/>
            <rFont val="Tahoma"/>
            <family val="2"/>
          </rPr>
          <t xml:space="preserve"> 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 </t>
        </r>
        <r>
          <rPr>
            <sz val="9"/>
            <color indexed="81"/>
            <rFont val="Tahoma"/>
            <family val="2"/>
          </rPr>
          <t xml:space="preserve"> If there was evidence of a sexual offending cycle, the individual demonstrates
awareness of the factors that precipitated past sexual offending, and has developed relapse prevention
strategies to prevent the cycle of sexual offending from occurring. These positive changes have been
stable over an extended period of time and have withstood challenges across a variety of relevant
situations, that is, high-risk situations related to the individual's problem behavior(s).
</t>
        </r>
      </text>
    </comment>
    <comment ref="C5" authorId="0">
      <text>
        <r>
          <rPr>
            <b/>
            <sz val="9"/>
            <color indexed="81"/>
            <rFont val="Tahoma"/>
            <family val="2"/>
          </rPr>
          <t>Precontemplation Stage:</t>
        </r>
        <r>
          <rPr>
            <sz val="9"/>
            <color indexed="81"/>
            <rFont val="Tahoma"/>
            <family val="2"/>
          </rPr>
          <t xml:space="preserve"> The individual has no awareness of the problems and demonstrates no
intention to change in the near future. No insight into the sexual offending cycle is evidenced.
The individual does not recognize triggers that precipitate sexual offending. The individual may
deny that cyclical events typically lead to sexual offending.</t>
        </r>
        <r>
          <rPr>
            <b/>
            <sz val="9"/>
            <color indexed="81"/>
            <rFont val="Tahoma"/>
            <family val="2"/>
          </rPr>
          <t xml:space="preserve">
Contemplation Stage: </t>
        </r>
        <r>
          <rPr>
            <sz val="9"/>
            <color indexed="81"/>
            <rFont val="Tahoma"/>
            <family val="2"/>
          </rPr>
          <t>The individual recognizes their problem areas and wants to overcome them but relevant behavioral changes are not yet observable.</t>
        </r>
        <r>
          <rPr>
            <b/>
            <sz val="9"/>
            <color indexed="81"/>
            <rFont val="Tahoma"/>
            <family val="2"/>
          </rPr>
          <t xml:space="preserve">
Preparation Stage: </t>
        </r>
        <r>
          <rPr>
            <sz val="9"/>
            <color indexed="81"/>
            <rFont val="Tahoma"/>
            <family val="2"/>
          </rPr>
          <t>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 </t>
        </r>
        <r>
          <rPr>
            <sz val="9"/>
            <color indexed="81"/>
            <rFont val="Tahoma"/>
            <family val="2"/>
          </rPr>
          <t xml:space="preserve"> If there was evidence of a sexual offending cycle, the individual demonstrates
awareness of the factors that precipitated past sexual offending, and has developed relapse prevention
strategies to prevent the cycle of sexual offending from occurring. These positive changes have been
stable over an extended period of time and have withstood challenges across a variety of relevant
situations, that is, high-risk situations related to the individual's problem behavior(s).</t>
        </r>
        <r>
          <rPr>
            <b/>
            <sz val="9"/>
            <color indexed="81"/>
            <rFont val="Tahoma"/>
            <family val="2"/>
          </rPr>
          <t xml:space="preserve">
</t>
        </r>
        <r>
          <rPr>
            <sz val="9"/>
            <color indexed="81"/>
            <rFont val="Tahoma"/>
            <family val="2"/>
          </rPr>
          <t xml:space="preserve">
</t>
        </r>
      </text>
    </comment>
    <comment ref="D6" authorId="0">
      <text>
        <r>
          <rPr>
            <sz val="9"/>
            <color indexed="81"/>
            <rFont val="Tahoma"/>
            <family val="2"/>
          </rPr>
          <t>Omitted Pre-treatment factors could be completed as a post-treatment rating if information not present at the time of the Pre-Treatment assessment is now available.</t>
        </r>
      </text>
    </comment>
  </commentList>
</comments>
</file>

<file path=xl/comments14.xml><?xml version="1.0" encoding="utf-8"?>
<comments xmlns="http://schemas.openxmlformats.org/spreadsheetml/2006/main">
  <authors>
    <author>Mundt, James C</author>
  </authors>
  <commentList>
    <comment ref="A5" authorId="0">
      <text>
        <r>
          <rPr>
            <sz val="9"/>
            <color indexed="81"/>
            <rFont val="Tahoma"/>
            <family val="2"/>
          </rPr>
          <t>0 Rating
Impulsivity is the tendency to do or say things “on the spur of the moment” or to “act now and think later.” The individual does not typically respond impulsively. The individual generally considers the consequences associated with his or her actions before responding. The individual’s overall behavior should be considered, not just behavior associated with sexual offending.
1 Rating
Less positive than 0.
2 Rating
Less serious than 3.
3 Rating
The individual typically reacts impulsively in a verbal and/or physical manner. Behaviors are often
associated with "spur of the moment" occurrences in which the individual reacts without pausing to consider the costs or consequences of negative behaviour. The individual tends not to consider relevant information before reacting. Within the institution, the individual may quickly react to provocations. Impulsivity need not necessarily result in acting out or sexual offending in order to give the individual a score of 3. As long as impulsivity is characteristic of the individual’s mode of behavior, a score of 3 is warranted.
OMIT  Insufficient information to rate this item pre-treatment.</t>
        </r>
      </text>
    </comment>
    <comment ref="B5" authorId="0">
      <text>
        <r>
          <rPr>
            <b/>
            <sz val="9"/>
            <color indexed="81"/>
            <rFont val="Tahoma"/>
            <family val="2"/>
          </rPr>
          <t>Precontemplation Stage:</t>
        </r>
        <r>
          <rPr>
            <sz val="9"/>
            <color indexed="81"/>
            <rFont val="Tahoma"/>
            <family val="2"/>
          </rPr>
          <t xml:space="preserve"> The individual has no awareness of the problems and demonstrates no
intention to change in the near future. The individual is unaware of the tendency to react
impulsively or the relationship between impulsive behavior and negative outcomes. The
individual is not able to control impulsive behaviors.</t>
        </r>
        <r>
          <rPr>
            <b/>
            <sz val="9"/>
            <color indexed="81"/>
            <rFont val="Tahoma"/>
            <family val="2"/>
          </rPr>
          <t xml:space="preserve">
Contemplation Stage: </t>
        </r>
        <r>
          <rPr>
            <sz val="9"/>
            <color indexed="81"/>
            <rFont val="Tahoma"/>
            <family val="2"/>
          </rPr>
          <t>The individual recognizes their problem areas and wants to overcome them but relevant behavioral changes are not yet observable.</t>
        </r>
        <r>
          <rPr>
            <b/>
            <sz val="9"/>
            <color indexed="81"/>
            <rFont val="Tahoma"/>
            <family val="2"/>
          </rPr>
          <t xml:space="preserve">
Preparation Stage:</t>
        </r>
        <r>
          <rPr>
            <sz val="9"/>
            <color indexed="81"/>
            <rFont val="Tahoma"/>
            <family val="2"/>
          </rPr>
          <t xml:space="preserve"> 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 </t>
        </r>
        <r>
          <rPr>
            <sz val="9"/>
            <color indexed="81"/>
            <rFont val="Tahoma"/>
            <family val="2"/>
          </rPr>
          <t>If the individual was impulsive, he or she now consistently demonstrates the ability
to recognize the negative consequences of impulsive behaviors and is able to use alternative strategies to stop acting impulsively. These positive changes have been stable over an extended period of time and have withstood challenges across a variety of relevant situations, that is, high-risk situations related to the individual's problem behavior(s)</t>
        </r>
        <r>
          <rPr>
            <b/>
            <sz val="9"/>
            <color indexed="81"/>
            <rFont val="Tahoma"/>
            <family val="2"/>
          </rPr>
          <t>.</t>
        </r>
        <r>
          <rPr>
            <sz val="9"/>
            <color indexed="81"/>
            <rFont val="Tahoma"/>
            <family val="2"/>
          </rPr>
          <t xml:space="preserve">
</t>
        </r>
      </text>
    </comment>
    <comment ref="C5" authorId="0">
      <text>
        <r>
          <rPr>
            <b/>
            <sz val="9"/>
            <color indexed="81"/>
            <rFont val="Tahoma"/>
            <family val="2"/>
          </rPr>
          <t xml:space="preserve">Precontemplation Stage: </t>
        </r>
        <r>
          <rPr>
            <sz val="9"/>
            <color indexed="81"/>
            <rFont val="Tahoma"/>
            <family val="2"/>
          </rPr>
          <t>The individual has no awareness of the problems and demonstrates no
intention to change in the near future. The individual is unaware of the tendency to react
impulsively or the relationship between impulsive behavior and negative outcomes. The
individual is not able to control impulsive behaviors.</t>
        </r>
        <r>
          <rPr>
            <b/>
            <sz val="9"/>
            <color indexed="81"/>
            <rFont val="Tahoma"/>
            <family val="2"/>
          </rPr>
          <t xml:space="preserve">
Contemplation Stage:</t>
        </r>
        <r>
          <rPr>
            <sz val="9"/>
            <color indexed="81"/>
            <rFont val="Tahoma"/>
            <family val="2"/>
          </rPr>
          <t xml:space="preserve"> The individual recognizes their problem areas and wants to overcome them but relevant behavioral changes are not yet observable.</t>
        </r>
        <r>
          <rPr>
            <b/>
            <sz val="9"/>
            <color indexed="81"/>
            <rFont val="Tahoma"/>
            <family val="2"/>
          </rPr>
          <t xml:space="preserve">
Preparation Stage:</t>
        </r>
        <r>
          <rPr>
            <sz val="9"/>
            <color indexed="81"/>
            <rFont val="Tahoma"/>
            <family val="2"/>
          </rPr>
          <t xml:space="preserve"> The individual recognizes his/her problems and has made observable efforts at overcoming them. There are appropriate behavior changes, however these may be relatively recent and/or tend not to be consistent over time; lapses may be quite frequent.
</t>
        </r>
        <r>
          <rPr>
            <b/>
            <sz val="9"/>
            <color indexed="81"/>
            <rFont val="Tahoma"/>
            <family val="2"/>
          </rPr>
          <t xml:space="preserve">
Action Stage:</t>
        </r>
        <r>
          <rPr>
            <sz val="9"/>
            <color indexed="81"/>
            <rFont val="Tahoma"/>
            <family val="2"/>
          </rPr>
          <t xml:space="preserve"> 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t>
        </r>
        <r>
          <rPr>
            <sz val="9"/>
            <color indexed="81"/>
            <rFont val="Tahoma"/>
            <family val="2"/>
          </rPr>
          <t xml:space="preserve"> If the individual was impulsive, he or she now consistently demonstrates the ability
to recognize the negative consequences of impulsive behaviors and is able to use alternative strategies to stop acting impulsively. These positive changes have been stable over an extended period of time and have withstood challenges across a variety of relevant situations, that is, high-risk situations related to the individual's problem behavior(s).
</t>
        </r>
      </text>
    </comment>
    <comment ref="D6" authorId="0">
      <text>
        <r>
          <rPr>
            <sz val="9"/>
            <color indexed="81"/>
            <rFont val="Tahoma"/>
            <family val="2"/>
          </rPr>
          <t>Omitted Pre-treatment factors could be completed as a post-treatment rating if information not present at the time of the Pre-Treatment assessment is now available.</t>
        </r>
      </text>
    </comment>
  </commentList>
</comments>
</file>

<file path=xl/comments15.xml><?xml version="1.0" encoding="utf-8"?>
<comments xmlns="http://schemas.openxmlformats.org/spreadsheetml/2006/main">
  <authors>
    <author>Mundt, James C</author>
  </authors>
  <commentList>
    <comment ref="A5" authorId="0">
      <text>
        <r>
          <rPr>
            <sz val="9"/>
            <color indexed="81"/>
            <rFont val="Tahoma"/>
            <family val="2"/>
          </rPr>
          <t>0 Rating
There is consistent and genuine willingness to comply with community supervision, for example,
keeping appointments, checking in and maintaining meaningful contact with supervisors. Supervision likely is viewed by the individual as a positive resource and support rather than as an inconvenience or unnecessary intrusion. If the individual has never been released under supervision, the individual’s compliance can be assessed by their willingness to work with institutional staff who assist in the individual’s release planning. Willingness could be demonstrated by the individual taking initiative and exerting consistent effort in formulating and/or developing appropriate release or transfer planning.
1 Rating
Less positive than 0.
2 Rating
Less serious than 3.
3 Rating
There is consistent noncompliant behavior with respect to the community supervision. The individual may reject or attempt to undermine the directions of the community supervision by subverting or circumventing them. If institutionalized, the individual does not see the need to work with those who could assist the individual in developing release planning or the individual may be resistant to the release recommendations of institutional staff.
OMIT  Insufficient information to rate this item pre-treatment.</t>
        </r>
      </text>
    </comment>
    <comment ref="B5" authorId="0">
      <text>
        <r>
          <rPr>
            <b/>
            <sz val="9"/>
            <color indexed="81"/>
            <rFont val="Tahoma"/>
            <family val="2"/>
          </rPr>
          <t>Precontemplation Stage:</t>
        </r>
        <r>
          <rPr>
            <sz val="9"/>
            <color indexed="81"/>
            <rFont val="Tahoma"/>
            <family val="2"/>
          </rPr>
          <t xml:space="preserve"> The individual has no awareness of the problems and demonstrates no
intention to change in the near future. The individual has no awareness of the importance to
comply with community supervision. The individual may claim that community supervision is
unnecessary or irrelevant. Within the institution, the individual may be resistant to comply with
staff recommendations for future community programming and monitoring.</t>
        </r>
        <r>
          <rPr>
            <b/>
            <sz val="9"/>
            <color indexed="81"/>
            <rFont val="Tahoma"/>
            <family val="2"/>
          </rPr>
          <t xml:space="preserve">
Contemplation Stage:</t>
        </r>
        <r>
          <rPr>
            <sz val="9"/>
            <color indexed="81"/>
            <rFont val="Tahoma"/>
            <family val="2"/>
          </rPr>
          <t xml:space="preserve"> The individual recognizes their problem areas and wants to overcome them but relevant behavioral changes are not yet observable.
</t>
        </r>
        <r>
          <rPr>
            <b/>
            <sz val="9"/>
            <color indexed="81"/>
            <rFont val="Tahoma"/>
            <family val="2"/>
          </rPr>
          <t xml:space="preserve">
Preparation Stage: </t>
        </r>
        <r>
          <rPr>
            <sz val="9"/>
            <color indexed="81"/>
            <rFont val="Tahoma"/>
            <family val="2"/>
          </rPr>
          <t>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t>
        </r>
        <r>
          <rPr>
            <sz val="9"/>
            <color indexed="81"/>
            <rFont val="Tahoma"/>
            <family val="2"/>
          </rPr>
          <t xml:space="preserve"> The individual is aware of the need to comply with the conditions of community
supervision and acknowledges that noncompliance will increase the risk of sexual offending. For
example, the individual may seek to work closely with case workers or parole officers in release or
transfer planning and also in securing positive community support. The individual may have developed a
comprehensive and realistic release plan that incorporates community supervision. These positive
changes have been stable over an extended period of time and have withstood challenges across a variety of relevant situations, that is, high-risk situations related to the individual's problem behavior(s).
</t>
        </r>
      </text>
    </comment>
    <comment ref="C5" authorId="0">
      <text>
        <r>
          <rPr>
            <b/>
            <sz val="9"/>
            <color indexed="81"/>
            <rFont val="Tahoma"/>
            <family val="2"/>
          </rPr>
          <t xml:space="preserve">Precontemplation Stage: </t>
        </r>
        <r>
          <rPr>
            <sz val="9"/>
            <color indexed="81"/>
            <rFont val="Tahoma"/>
            <family val="2"/>
          </rPr>
          <t>The individual has no awareness of the problems and demonstrates no
intention to change in the near future. The individual has no awareness of the importance to
comply with community supervision. The individual may claim that community supervision is
unnecessary or irrelevant. Within the institution, the individual may be resistant to comply with
staff recommendations for future community programming and monitoring.</t>
        </r>
        <r>
          <rPr>
            <b/>
            <sz val="9"/>
            <color indexed="81"/>
            <rFont val="Tahoma"/>
            <family val="2"/>
          </rPr>
          <t xml:space="preserve">
Contemplation Stage: </t>
        </r>
        <r>
          <rPr>
            <sz val="9"/>
            <color indexed="81"/>
            <rFont val="Tahoma"/>
            <family val="2"/>
          </rPr>
          <t xml:space="preserve">The individual recognizes their problem areas and wants to overcome them but relevant behavioral changes are not yet observable.
</t>
        </r>
        <r>
          <rPr>
            <b/>
            <sz val="9"/>
            <color indexed="81"/>
            <rFont val="Tahoma"/>
            <family val="2"/>
          </rPr>
          <t xml:space="preserve">
Preparation Stage: </t>
        </r>
        <r>
          <rPr>
            <sz val="9"/>
            <color indexed="81"/>
            <rFont val="Tahoma"/>
            <family val="2"/>
          </rPr>
          <t>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 </t>
        </r>
        <r>
          <rPr>
            <sz val="9"/>
            <color indexed="81"/>
            <rFont val="Tahoma"/>
            <family val="2"/>
          </rPr>
          <t xml:space="preserve">The individual is aware of the need to comply with the conditions of community
supervision and acknowledges that noncompliance will increase the risk of sexual offending. For
example, the individual may seek to work closely with case workers or parole officers in release or
transfer planning and also in securing positive community support. The individual may have developed a
comprehensive and realistic release plan that incorporates community supervision. These positive
changes have been stable over an extended period of time and have withstood challenges across a variety of relevant situations, that is, high-risk situations related to the individual's problem behavior(s).
</t>
        </r>
      </text>
    </comment>
    <comment ref="D6" authorId="0">
      <text>
        <r>
          <rPr>
            <sz val="9"/>
            <color indexed="81"/>
            <rFont val="Tahoma"/>
            <family val="2"/>
          </rPr>
          <t>Omitted Pre-treatment factors could be completed as a post-treatment rating if information not present at the time of the Pre-Treatment assessment is now available.</t>
        </r>
      </text>
    </comment>
  </commentList>
</comments>
</file>

<file path=xl/comments16.xml><?xml version="1.0" encoding="utf-8"?>
<comments xmlns="http://schemas.openxmlformats.org/spreadsheetml/2006/main">
  <authors>
    <author>Mundt, James C</author>
  </authors>
  <commentList>
    <comment ref="A5" authorId="0">
      <text>
        <r>
          <rPr>
            <sz val="9"/>
            <color indexed="81"/>
            <rFont val="Tahoma"/>
            <family val="2"/>
          </rPr>
          <t>0 Rating
The individual has successfully completed previous sex offender treatment program(s), or has
demonstrated close adherence to the therapeutic process in a current program. The individual appears to be committed to sex offender treatment and motivated for personal improvement and change. For example, the individual regularly attends treatment groups, completes homework assignments and practices learned skills and strategies, and is alert and attentive in group.
1 Rating
Less positive than 0.
2 Rating
Less serious than 3.
3 Rating
The individual has been discharged from one or more previous sex offender treatment programs and demonstrated clear treatment non-compliance or the individual refuses to attend sex offender treatment. The individual may maintain that sex offender treatment is not relevant despite sexual offending history.
OMIT  Insufficient information to rate this item pre-treatment.</t>
        </r>
      </text>
    </comment>
    <comment ref="B5" authorId="0">
      <text>
        <r>
          <rPr>
            <b/>
            <sz val="9"/>
            <color indexed="81"/>
            <rFont val="Tahoma"/>
            <family val="2"/>
          </rPr>
          <t xml:space="preserve">Precontemplation Stage: </t>
        </r>
        <r>
          <rPr>
            <sz val="9"/>
            <color indexed="81"/>
            <rFont val="Tahoma"/>
            <family val="2"/>
          </rPr>
          <t>The individual has no awareness of the problems and demonstrates no
intention to change in the near future. The individual has no awareness of the importance of
compliance with treatment or claims that treatment is unnecessary or irrelevant. The individual
may be resistant to comply with staff recommendations for sex offender programming or
exhibits minimal and/or superficial participation.</t>
        </r>
        <r>
          <rPr>
            <b/>
            <sz val="9"/>
            <color indexed="81"/>
            <rFont val="Tahoma"/>
            <family val="2"/>
          </rPr>
          <t xml:space="preserve">
Contemplation Stage: </t>
        </r>
        <r>
          <rPr>
            <sz val="9"/>
            <color indexed="81"/>
            <rFont val="Tahoma"/>
            <family val="2"/>
          </rPr>
          <t xml:space="preserve">The individual recognizes their problem areas and wants to overcome them but relevant behavioral changes are not yet observable.
</t>
        </r>
        <r>
          <rPr>
            <b/>
            <sz val="9"/>
            <color indexed="81"/>
            <rFont val="Tahoma"/>
            <family val="2"/>
          </rPr>
          <t xml:space="preserve">
Preparation Stage: </t>
        </r>
        <r>
          <rPr>
            <sz val="9"/>
            <color indexed="81"/>
            <rFont val="Tahoma"/>
            <family val="2"/>
          </rPr>
          <t>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 </t>
        </r>
        <r>
          <rPr>
            <sz val="9"/>
            <color indexed="81"/>
            <rFont val="Tahoma"/>
            <family val="2"/>
          </rPr>
          <t xml:space="preserve">If the individual is deemed to require sex offender treatment, he/she has
successfully completed such program(s), has consistently shown commitment to treatment and
motivation for change. These positive behaviours have been stable over an extended period of time and
have withstood challenges across a variety of relevant situations, that is, high-risk situations related to
the individual’s problem behavior(s). For example, continued active engagement in treatment even when dealing with difficult challenges.
</t>
        </r>
      </text>
    </comment>
    <comment ref="C5" authorId="0">
      <text>
        <r>
          <rPr>
            <b/>
            <sz val="9"/>
            <color indexed="81"/>
            <rFont val="Tahoma"/>
            <family val="2"/>
          </rPr>
          <t>Precontemplation Stage:</t>
        </r>
        <r>
          <rPr>
            <sz val="9"/>
            <color indexed="81"/>
            <rFont val="Tahoma"/>
            <family val="2"/>
          </rPr>
          <t xml:space="preserve"> The individual has no awareness of the problems and demonstrates no
intention to change in the near future. The individual has no awareness of the importance of
compliance with treatment or claims that treatment is unnecessary or irrelevant. The individual
may be resistant to comply with staff recommendations for sex offender programming or
exhibits minimal and/or superficial participation.</t>
        </r>
        <r>
          <rPr>
            <b/>
            <sz val="9"/>
            <color indexed="81"/>
            <rFont val="Tahoma"/>
            <family val="2"/>
          </rPr>
          <t xml:space="preserve">
Contemplation Stage: </t>
        </r>
        <r>
          <rPr>
            <sz val="9"/>
            <color indexed="81"/>
            <rFont val="Tahoma"/>
            <family val="2"/>
          </rPr>
          <t>The individual recognizes their problem areas and wants to overcome them but relevant behavioral changes are not yet observable.</t>
        </r>
        <r>
          <rPr>
            <b/>
            <sz val="9"/>
            <color indexed="81"/>
            <rFont val="Tahoma"/>
            <family val="2"/>
          </rPr>
          <t xml:space="preserve">
Preparation Stage:</t>
        </r>
        <r>
          <rPr>
            <sz val="9"/>
            <color indexed="81"/>
            <rFont val="Tahoma"/>
            <family val="2"/>
          </rPr>
          <t xml:space="preserve"> The individual recognizes his/her problems and has made observable efforts at overcoming them. There are appropriate behavior changes, however these may be relatively recent and/or tend not to be consistent over time; lapses may be quite frequent.
</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 </t>
        </r>
        <r>
          <rPr>
            <sz val="9"/>
            <color indexed="81"/>
            <rFont val="Tahoma"/>
            <family val="2"/>
          </rPr>
          <t xml:space="preserve">If the individual is deemed to require sex offender treatment, he/she has
successfully completed such program(s), has consistently shown commitment to treatment and
motivation for change. These positive behaviours have been stable over an extended period of time and
have withstood challenges across a variety of relevant situations, that is, high-risk situations related to
the individual’s problem behavior(s). For example, continued active engagement in treatment even when dealing with difficult challenges.
</t>
        </r>
      </text>
    </comment>
    <comment ref="D6" authorId="0">
      <text>
        <r>
          <rPr>
            <sz val="9"/>
            <color indexed="81"/>
            <rFont val="Tahoma"/>
            <family val="2"/>
          </rPr>
          <t>Omitted Pre-treatment factors could be completed as a post-treatment rating if information not present at the time of the Pre-Treatment assessment is now available.</t>
        </r>
      </text>
    </comment>
  </commentList>
</comments>
</file>

<file path=xl/comments17.xml><?xml version="1.0" encoding="utf-8"?>
<comments xmlns="http://schemas.openxmlformats.org/spreadsheetml/2006/main">
  <authors>
    <author>Mundt, James C</author>
  </authors>
  <commentList>
    <comment ref="A5" authorId="0">
      <text>
        <r>
          <rPr>
            <sz val="9"/>
            <color indexed="81"/>
            <rFont val="Tahoma"/>
            <family val="2"/>
          </rPr>
          <t>0 Rating
The individual has not shown a pattern of deviant sexual preference as indicated under rating 3.
1 Rating
Less positive than 0.
2 Rating
Less serious than 3.
3 Rating
The individual shows a clear pattern of sexual interests or preferences for deviant sexual stimuli, including deviant thoughts and fantasies. Deviant sexual stimuli include, but are not limited to, children, age inappropriate partners, coercive sex, or sex involving humiliation or violence. Evidence of the above may come from phallometric testing, self-report accounts, official offence information (e.g. police report, polygraph), or other reliable sources of information.
OMIT  Insufficient information to rate this item pre-treatment.</t>
        </r>
      </text>
    </comment>
    <comment ref="B5" authorId="0">
      <text>
        <r>
          <rPr>
            <b/>
            <sz val="9"/>
            <color indexed="81"/>
            <rFont val="Tahoma"/>
            <family val="2"/>
          </rPr>
          <t>Precontemplation Stage:</t>
        </r>
        <r>
          <rPr>
            <sz val="9"/>
            <color indexed="81"/>
            <rFont val="Tahoma"/>
            <family val="2"/>
          </rPr>
          <t xml:space="preserve"> The individual has no awareness of deviant sexual preference and
demonstrates no intention to change in the near future.</t>
        </r>
        <r>
          <rPr>
            <b/>
            <sz val="9"/>
            <color indexed="81"/>
            <rFont val="Tahoma"/>
            <family val="2"/>
          </rPr>
          <t xml:space="preserve">
Contemplation Stage:</t>
        </r>
        <r>
          <rPr>
            <sz val="9"/>
            <color indexed="81"/>
            <rFont val="Tahoma"/>
            <family val="2"/>
          </rPr>
          <t xml:space="preserve"> The individual recognizes their problem areas and wants to overcome them but relevant behavioral changes are not yet observable.
</t>
        </r>
        <r>
          <rPr>
            <b/>
            <sz val="9"/>
            <color indexed="81"/>
            <rFont val="Tahoma"/>
            <family val="2"/>
          </rPr>
          <t xml:space="preserve">
Preparation Stage:</t>
        </r>
        <r>
          <rPr>
            <sz val="9"/>
            <color indexed="81"/>
            <rFont val="Tahoma"/>
            <family val="2"/>
          </rPr>
          <t xml:space="preserve"> 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t>
        </r>
        <r>
          <rPr>
            <sz val="9"/>
            <color indexed="81"/>
            <rFont val="Tahoma"/>
            <family val="2"/>
          </rPr>
          <t xml:space="preserve"> If there was evidence of marked deviant sexual interests or preferences, the individual is now able to effectively suppress or control preference for deviant sexual stimuli. Evidence of this includes the identification of external and internal risk factors and high-risk situations that contribute to a sexually deviant interest or preference and associated behaviours, as well as adherence to relevant relapse prevention skills and strategies. Other examples may include the reliable use of libido inhibiting medication (e.g. Depo Provera), compliance with phallometric sessions, or other reliable observations. These positive behaviours have been stable over an extended period of time and have withstood challenges across a variety of relevant situations, that is, high-risk situations related to the individual’s problem behavior(s).
</t>
        </r>
      </text>
    </comment>
    <comment ref="C5" authorId="0">
      <text>
        <r>
          <rPr>
            <b/>
            <sz val="9"/>
            <color indexed="81"/>
            <rFont val="Tahoma"/>
            <family val="2"/>
          </rPr>
          <t xml:space="preserve">Precontemplation Stage: </t>
        </r>
        <r>
          <rPr>
            <sz val="9"/>
            <color indexed="81"/>
            <rFont val="Tahoma"/>
            <family val="2"/>
          </rPr>
          <t>The individual has no awareness of deviant sexual preference and
demonstrates no intention to change in the near future.</t>
        </r>
        <r>
          <rPr>
            <b/>
            <sz val="9"/>
            <color indexed="81"/>
            <rFont val="Tahoma"/>
            <family val="2"/>
          </rPr>
          <t xml:space="preserve">
Contemplation Stage: </t>
        </r>
        <r>
          <rPr>
            <sz val="9"/>
            <color indexed="81"/>
            <rFont val="Tahoma"/>
            <family val="2"/>
          </rPr>
          <t>The individual recognizes their problem areas and wants to overcome them but relevant behavioral changes are not yet observable.</t>
        </r>
        <r>
          <rPr>
            <b/>
            <sz val="9"/>
            <color indexed="81"/>
            <rFont val="Tahoma"/>
            <family val="2"/>
          </rPr>
          <t xml:space="preserve">
Preparation Stage: </t>
        </r>
        <r>
          <rPr>
            <sz val="9"/>
            <color indexed="81"/>
            <rFont val="Tahoma"/>
            <family val="2"/>
          </rPr>
          <t>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t>
        </r>
        <r>
          <rPr>
            <sz val="9"/>
            <color indexed="81"/>
            <rFont val="Tahoma"/>
            <family val="2"/>
          </rPr>
          <t xml:space="preserve"> 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 </t>
        </r>
        <r>
          <rPr>
            <sz val="9"/>
            <color indexed="81"/>
            <rFont val="Tahoma"/>
            <family val="2"/>
          </rPr>
          <t xml:space="preserve">If there was evidence of marked deviant sexual interests or preferences, the individual is now able to effectively suppress or control preference for deviant sexual stimuli. Evidence of this includes the identification of external and internal risk factors and high-risk situations that contribute to a sexually deviant interest or preference and associated behaviours, as well as adherence to relevant relapse prevention skills and strategies. Other examples may include the reliable use of libido inhibiting medication (e.g. Depo Provera), compliance with phallometric sessions, or other reliable observations. These positive behaviours have been stable over an extended period of time and have withstood challenges across a variety of relevant situations, that is, high-risk situations related to the individual’s problem behavior(s).
</t>
        </r>
      </text>
    </comment>
    <comment ref="D6" authorId="0">
      <text>
        <r>
          <rPr>
            <sz val="9"/>
            <color indexed="81"/>
            <rFont val="Tahoma"/>
            <family val="2"/>
          </rPr>
          <t>Omitted Pre-treatment factors could be completed as a post-treatment rating if information not present at the time of the Pre-Treatment assessment is now available.</t>
        </r>
      </text>
    </comment>
  </commentList>
</comments>
</file>

<file path=xl/comments18.xml><?xml version="1.0" encoding="utf-8"?>
<comments xmlns="http://schemas.openxmlformats.org/spreadsheetml/2006/main">
  <authors>
    <author>Mundt, James C</author>
  </authors>
  <commentList>
    <comment ref="A5" authorId="0">
      <text>
        <r>
          <rPr>
            <sz val="9"/>
            <color indexed="81"/>
            <rFont val="Tahoma"/>
            <family val="2"/>
          </rPr>
          <t>0 Rating
There is evidence that the individual is able to form and maintain intimate relationships with age appropriate significant others. An intimate relationship is defined as a close, mutually respectful, physical and/or emotional relationship with a significant other that usually occurs in the form of a romantic relationship. The individual does not show signs of relationship-related fear or anxiety, or a tendency to avoid involvement in such relationships, as may be indicated by the ability to maintain a marital or common law relationship. The lack of stability in relationships may not necessarily be an indication of intimacy deficits unless the instability is the direct or indirect result of such deficits. For example, relationship instability due to poor money management is not indicative of an intimacy deficit. Heterosexual and homosexual relationships in the community are considered to be equivalent for the purpose of rating this factor. Homosexual relationships within the institution, which are often exploitative in nature, are not considered to be legitimate relationships for the purpose of rating this factor.
1 Rating
Less positive than 0.
2 Rating
Less serious than 3.
3 Rating
The individual shows an incapacity for intimate relationships as indicated in the 0 Rating. This may be evidenced by expressions of fears of intimacy, and shying away from opportunities to engage in such relationships, and, as a result, may remain single and/or unattached for the majority of the individual's life. The individual may experience feelings of loneliness as a result. Alternatively, the individual may be a loner by choice and have a preference for superficial/non-committed relationships.
OMIT  Insufficient information to rate this item pre-treatment.</t>
        </r>
      </text>
    </comment>
    <comment ref="B5" authorId="0">
      <text>
        <r>
          <rPr>
            <b/>
            <sz val="9"/>
            <color indexed="81"/>
            <rFont val="Tahoma"/>
            <family val="2"/>
          </rPr>
          <t xml:space="preserve">Precontemplation Stage: </t>
        </r>
        <r>
          <rPr>
            <sz val="9"/>
            <color indexed="81"/>
            <rFont val="Tahoma"/>
            <family val="2"/>
          </rPr>
          <t>The individual has no awareness of the problems and demonstrates no
intention to change in the near future. The individual does not see intimacy deficits as an area of
problem or concern or its possible connection with offending behaviors.</t>
        </r>
        <r>
          <rPr>
            <b/>
            <sz val="9"/>
            <color indexed="81"/>
            <rFont val="Tahoma"/>
            <family val="2"/>
          </rPr>
          <t xml:space="preserve">
Contemplation Stage:</t>
        </r>
        <r>
          <rPr>
            <sz val="9"/>
            <color indexed="81"/>
            <rFont val="Tahoma"/>
            <family val="2"/>
          </rPr>
          <t xml:space="preserve"> The individual recognizes their problem areas and wants to overcome them but relevant behavioral changes are not yet observable.</t>
        </r>
        <r>
          <rPr>
            <b/>
            <sz val="9"/>
            <color indexed="81"/>
            <rFont val="Tahoma"/>
            <family val="2"/>
          </rPr>
          <t xml:space="preserve">
Preparation Stage: </t>
        </r>
        <r>
          <rPr>
            <sz val="9"/>
            <color indexed="81"/>
            <rFont val="Tahoma"/>
            <family val="2"/>
          </rPr>
          <t>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t>
        </r>
        <r>
          <rPr>
            <sz val="9"/>
            <color indexed="81"/>
            <rFont val="Tahoma"/>
            <family val="2"/>
          </rPr>
          <t xml:space="preserve"> If there was evidence of intimacy deficit, the individual is now able, or willing, to engage in and form close physical and emotional relationships with significant others without feeling intimidated, fearful or anxious. The individual now welcomes such experiences and finds them rewarding.
</t>
        </r>
      </text>
    </comment>
    <comment ref="C5" authorId="0">
      <text>
        <r>
          <rPr>
            <b/>
            <sz val="9"/>
            <color indexed="81"/>
            <rFont val="Tahoma"/>
            <family val="2"/>
          </rPr>
          <t xml:space="preserve">Precontemplation Stage: </t>
        </r>
        <r>
          <rPr>
            <sz val="9"/>
            <color indexed="81"/>
            <rFont val="Tahoma"/>
            <family val="2"/>
          </rPr>
          <t>The individual has no awareness of the problems and demonstrates no
intention to change in the near future. The individual does not see intimacy deficits as an area of
problem or concern or its possible connection with offending behaviors.</t>
        </r>
        <r>
          <rPr>
            <b/>
            <sz val="9"/>
            <color indexed="81"/>
            <rFont val="Tahoma"/>
            <family val="2"/>
          </rPr>
          <t xml:space="preserve">
Contemplation Stage: </t>
        </r>
        <r>
          <rPr>
            <sz val="9"/>
            <color indexed="81"/>
            <rFont val="Tahoma"/>
            <family val="2"/>
          </rPr>
          <t>The individual recognizes their problem areas and wants to overcome them but relevant behavioral changes are not yet observable.</t>
        </r>
        <r>
          <rPr>
            <b/>
            <sz val="9"/>
            <color indexed="81"/>
            <rFont val="Tahoma"/>
            <family val="2"/>
          </rPr>
          <t xml:space="preserve">
Preparation Stage:</t>
        </r>
        <r>
          <rPr>
            <sz val="9"/>
            <color indexed="81"/>
            <rFont val="Tahoma"/>
            <family val="2"/>
          </rPr>
          <t xml:space="preserve"> 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t>
        </r>
        <r>
          <rPr>
            <sz val="9"/>
            <color indexed="81"/>
            <rFont val="Tahoma"/>
            <family val="2"/>
          </rPr>
          <t xml:space="preserve"> If there was evidence of intimacy deficit, the individual is now able, or willing, to engage in and form close physical and emotional relationships with significant others without feeling intimidated, fearful or anxious. The individual now welcomes such experiences and finds them rewarding.
</t>
        </r>
      </text>
    </comment>
    <comment ref="D6" authorId="0">
      <text>
        <r>
          <rPr>
            <sz val="9"/>
            <color indexed="81"/>
            <rFont val="Tahoma"/>
            <family val="2"/>
          </rPr>
          <t>Omitted Pre-treatment factors could be completed as a post-treatment rating if information not present at the time of the Pre-Treatment assessment is now available.</t>
        </r>
      </text>
    </comment>
  </commentList>
</comments>
</file>

<file path=xl/comments19.xml><?xml version="1.0" encoding="utf-8"?>
<comments xmlns="http://schemas.openxmlformats.org/spreadsheetml/2006/main">
  <authors>
    <author>Mundt, James C</author>
  </authors>
  <commentList>
    <comment ref="E14" authorId="0">
      <text>
        <r>
          <rPr>
            <sz val="9"/>
            <color indexed="81"/>
            <rFont val="Tahoma"/>
            <family val="2"/>
          </rPr>
          <t>Sexual Deviancy</t>
        </r>
      </text>
    </comment>
    <comment ref="F14" authorId="0">
      <text>
        <r>
          <rPr>
            <sz val="9"/>
            <color indexed="81"/>
            <rFont val="Tahoma"/>
            <family val="2"/>
          </rPr>
          <t xml:space="preserve">Criminality
</t>
        </r>
      </text>
    </comment>
    <comment ref="G14" authorId="0">
      <text>
        <r>
          <rPr>
            <sz val="9"/>
            <color indexed="81"/>
            <rFont val="Tahoma"/>
            <family val="2"/>
          </rPr>
          <t>Treatment Responsivity</t>
        </r>
      </text>
    </comment>
    <comment ref="K14" authorId="0">
      <text>
        <r>
          <rPr>
            <sz val="9"/>
            <color indexed="81"/>
            <rFont val="Tahoma"/>
            <family val="2"/>
          </rPr>
          <t>Sexual Deviancy</t>
        </r>
      </text>
    </comment>
    <comment ref="L14" authorId="0">
      <text>
        <r>
          <rPr>
            <sz val="9"/>
            <color indexed="81"/>
            <rFont val="Tahoma"/>
            <family val="2"/>
          </rPr>
          <t xml:space="preserve">Criminality
</t>
        </r>
      </text>
    </comment>
    <comment ref="M14" authorId="0">
      <text>
        <r>
          <rPr>
            <sz val="9"/>
            <color indexed="81"/>
            <rFont val="Tahoma"/>
            <family val="2"/>
          </rPr>
          <t>Treatment Responsivity</t>
        </r>
      </text>
    </comment>
  </commentList>
</comments>
</file>

<file path=xl/comments2.xml><?xml version="1.0" encoding="utf-8"?>
<comments xmlns="http://schemas.openxmlformats.org/spreadsheetml/2006/main">
  <authors>
    <author>Mundt, James C</author>
  </authors>
  <commentList>
    <comment ref="A5" authorId="0">
      <text>
        <r>
          <rPr>
            <sz val="9"/>
            <color indexed="81"/>
            <rFont val="Tahoma"/>
            <family val="2"/>
          </rPr>
          <t>0 Rating
The individual does not have a sexually deviant lifestyle. This rating may be given to those
who have a very marginal, unstable, or poorly adjusted existence, as long as the individual’s
lifestyle within the community is not sexually deviant.
1 Rating
Less positive than 0.
2 Rating
Less serious than 3.
3 Rating
Sexual deviancy is an integral part of the individual’s everyday living which revolve around
activities that contribute to his/her sexually deviant behaviour. For example, these activities
may include: sexually deviant thoughts, viewing child or violent pornography, or isolating
from others which has lead to sexually deviant behaviour. The individual, by way of
seemingly innocuous activities, may actively create and/or deliberately arrange opportunities to
offend sexually. For example, volunteer at Big Brothers or frequenting bars to gain access to
potential victims. Thus, sexually deviant behaviour, or activities that could clearly precipitate
sexually deviant behaviour, becomes integrated into a way of life for the individual who may
derive sexual gratification, power and control, or excitement from the behaviour.
OMIT  Insufficient information to rate this item pre-treatment.</t>
        </r>
      </text>
    </comment>
    <comment ref="B5" authorId="0">
      <text>
        <r>
          <rPr>
            <b/>
            <sz val="9"/>
            <color indexed="81"/>
            <rFont val="Tahoma"/>
            <family val="2"/>
          </rPr>
          <t xml:space="preserve">Precontemplation Stage: </t>
        </r>
        <r>
          <rPr>
            <sz val="9"/>
            <color indexed="81"/>
            <rFont val="Tahoma"/>
            <family val="2"/>
          </rPr>
          <t>The individual has no awareness of the problems associated with a sexually deviant lifestyle and demonstrates no intention to change in the near future. The individual may deny that there is a problem with his/her sexual behavior or externalize blame.</t>
        </r>
        <r>
          <rPr>
            <b/>
            <sz val="9"/>
            <color indexed="81"/>
            <rFont val="Tahoma"/>
            <family val="2"/>
          </rPr>
          <t xml:space="preserve">
Contemplation Stage: </t>
        </r>
        <r>
          <rPr>
            <sz val="9"/>
            <color indexed="81"/>
            <rFont val="Tahoma"/>
            <family val="2"/>
          </rPr>
          <t>The individual recognizes their problem areas and wants to overcome them but relevant behavioral changes are not yet observable.</t>
        </r>
        <r>
          <rPr>
            <b/>
            <sz val="9"/>
            <color indexed="81"/>
            <rFont val="Tahoma"/>
            <family val="2"/>
          </rPr>
          <t xml:space="preserve">
Preparation Stage: </t>
        </r>
        <r>
          <rPr>
            <sz val="9"/>
            <color indexed="81"/>
            <rFont val="Tahoma"/>
            <family val="2"/>
          </rPr>
          <t>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 </t>
        </r>
        <r>
          <rPr>
            <sz val="9"/>
            <color indexed="81"/>
            <rFont val="Tahoma"/>
            <family val="2"/>
          </rPr>
          <t>If there was evidence of a sexually deviant lifestyle, he/she has abandoned the deviant attitudes, beliefs, and behaviours that sustain the lifestyle. The individual may have participated in appropriate treatment programs and demonstrated the relevant changes. Evidence of such change may be reflected in the identification, development and consistent use of relapse prevention strategies. The individual has effectively addressed and modified characteristics and factors that have facilitated sexual
offending. These positive behaviours have been stable over an extended period of time and have withstood challenges across a variety of relevant situations, that is, high-risk situations related to the individual’s problem behavior(s).</t>
        </r>
        <r>
          <rPr>
            <b/>
            <sz val="9"/>
            <color indexed="81"/>
            <rFont val="Tahoma"/>
            <family val="2"/>
          </rPr>
          <t xml:space="preserve">
</t>
        </r>
        <r>
          <rPr>
            <sz val="9"/>
            <color indexed="81"/>
            <rFont val="Tahoma"/>
            <family val="2"/>
          </rPr>
          <t xml:space="preserve">
</t>
        </r>
      </text>
    </comment>
    <comment ref="C5" authorId="0">
      <text>
        <r>
          <rPr>
            <b/>
            <sz val="9"/>
            <color indexed="81"/>
            <rFont val="Tahoma"/>
            <family val="2"/>
          </rPr>
          <t xml:space="preserve">Precontemplation Stage: </t>
        </r>
        <r>
          <rPr>
            <sz val="9"/>
            <color indexed="81"/>
            <rFont val="Tahoma"/>
            <family val="2"/>
          </rPr>
          <t xml:space="preserve">The individual has no awareness of the problems associated with a sexually deviant lifestyle and demonstrates no intention to change in the near future. The individual may deny that there is a problem with his/her sexual behavior or externalize blame.
</t>
        </r>
        <r>
          <rPr>
            <b/>
            <sz val="9"/>
            <color indexed="81"/>
            <rFont val="Tahoma"/>
            <family val="2"/>
          </rPr>
          <t xml:space="preserve">Contemplation Stage: </t>
        </r>
        <r>
          <rPr>
            <sz val="9"/>
            <color indexed="81"/>
            <rFont val="Tahoma"/>
            <family val="2"/>
          </rPr>
          <t xml:space="preserve">The individual recognizes their problem areas and wants to overcome them but relevant behavioral changes are not yet observable.
</t>
        </r>
        <r>
          <rPr>
            <b/>
            <sz val="9"/>
            <color indexed="81"/>
            <rFont val="Tahoma"/>
            <family val="2"/>
          </rPr>
          <t xml:space="preserve">Preparation Stage: </t>
        </r>
        <r>
          <rPr>
            <sz val="9"/>
            <color indexed="81"/>
            <rFont val="Tahoma"/>
            <family val="2"/>
          </rPr>
          <t xml:space="preserve">The individual recognizes his/her problems and has made observable efforts at overcoming them. There are appropriate behavior changes, however these may be relatively recent and/or tend not to be consistent over time; lapses may be quite frequent.
</t>
        </r>
        <r>
          <rPr>
            <b/>
            <sz val="9"/>
            <color indexed="81"/>
            <rFont val="Tahoma"/>
            <family val="2"/>
          </rPr>
          <t xml:space="preserve">Action Stage: </t>
        </r>
        <r>
          <rPr>
            <sz val="9"/>
            <color indexed="81"/>
            <rFont val="Tahoma"/>
            <family val="2"/>
          </rPr>
          <t xml:space="preserve">The individual has many of the characteristics described in the maintenance stage and although these characteristics have been sufficiently stable over an extended period of time, they have not yet been adequately demonstrated across relevant high-risk situations.
</t>
        </r>
        <r>
          <rPr>
            <b/>
            <sz val="9"/>
            <color indexed="81"/>
            <rFont val="Tahoma"/>
            <family val="2"/>
          </rPr>
          <t xml:space="preserve">
Maintenance Stage:</t>
        </r>
        <r>
          <rPr>
            <sz val="9"/>
            <color indexed="81"/>
            <rFont val="Tahoma"/>
            <family val="2"/>
          </rPr>
          <t xml:space="preserve"> If there was evidence of a sexually deviant lifestyle, he/she has abandoned the deviant attitudes, beliefs, and behaviours that sustain the lifestyle. The individual may have participated in appropriate treatment programs and demonstrated the relevant changes. Evidence of such change may be reflected in the identification, development and consistent use of relapse prevention strategies. The individual has effectively addressed and modified characteristics and factors that have facilitated sexual
offending. These positive behaviours have been stable over an extended period of time and have withstood challenges across a variety of relevant situations, that is, high-risk situations related to the individual’s problem behavior(s).
</t>
        </r>
      </text>
    </comment>
    <comment ref="D6" authorId="0">
      <text>
        <r>
          <rPr>
            <sz val="9"/>
            <color indexed="81"/>
            <rFont val="Tahoma"/>
            <family val="2"/>
          </rPr>
          <t xml:space="preserve">Omitted Pre-treatment factors could be completed as a post-treatment rating if information not present at the time of the Pre-Treatment assessment is now available.
</t>
        </r>
      </text>
    </comment>
  </commentList>
</comments>
</file>

<file path=xl/comments20.xml><?xml version="1.0" encoding="utf-8"?>
<comments xmlns="http://schemas.openxmlformats.org/spreadsheetml/2006/main">
  <authors>
    <author>Mundt, James C</author>
  </authors>
  <commentList>
    <comment ref="K4" authorId="0">
      <text>
        <r>
          <rPr>
            <b/>
            <sz val="9"/>
            <color indexed="81"/>
            <rFont val="Tahoma"/>
            <family val="2"/>
          </rPr>
          <t>Mundt, James C:</t>
        </r>
        <r>
          <rPr>
            <sz val="9"/>
            <color indexed="81"/>
            <rFont val="Tahoma"/>
            <family val="2"/>
          </rPr>
          <t xml:space="preserve">
Offender type pre-treatment</t>
        </r>
      </text>
    </comment>
    <comment ref="K5" authorId="0">
      <text>
        <r>
          <rPr>
            <b/>
            <sz val="9"/>
            <color indexed="81"/>
            <rFont val="Tahoma"/>
            <family val="2"/>
          </rPr>
          <t>Mundt, James C:</t>
        </r>
        <r>
          <rPr>
            <sz val="9"/>
            <color indexed="81"/>
            <rFont val="Tahoma"/>
            <family val="2"/>
          </rPr>
          <t xml:space="preserve">
Offender type pre-treatment</t>
        </r>
      </text>
    </comment>
    <comment ref="K6" authorId="0">
      <text>
        <r>
          <rPr>
            <b/>
            <sz val="9"/>
            <color indexed="81"/>
            <rFont val="Tahoma"/>
            <family val="2"/>
          </rPr>
          <t>Mundt, James C:</t>
        </r>
        <r>
          <rPr>
            <sz val="9"/>
            <color indexed="81"/>
            <rFont val="Tahoma"/>
            <family val="2"/>
          </rPr>
          <t xml:space="preserve">
Offender type pre-treatment</t>
        </r>
      </text>
    </comment>
    <comment ref="K7" authorId="0">
      <text>
        <r>
          <rPr>
            <b/>
            <sz val="9"/>
            <color indexed="81"/>
            <rFont val="Tahoma"/>
            <family val="2"/>
          </rPr>
          <t>Mundt, James C:</t>
        </r>
        <r>
          <rPr>
            <sz val="9"/>
            <color indexed="81"/>
            <rFont val="Tahoma"/>
            <family val="2"/>
          </rPr>
          <t xml:space="preserve">
Offender type pre-treatment</t>
        </r>
      </text>
    </comment>
    <comment ref="K8" authorId="0">
      <text>
        <r>
          <rPr>
            <b/>
            <sz val="9"/>
            <color indexed="81"/>
            <rFont val="Tahoma"/>
            <family val="2"/>
          </rPr>
          <t>Mundt, James C:</t>
        </r>
        <r>
          <rPr>
            <sz val="9"/>
            <color indexed="81"/>
            <rFont val="Tahoma"/>
            <family val="2"/>
          </rPr>
          <t xml:space="preserve">
Offender type pre-treatment</t>
        </r>
      </text>
    </comment>
    <comment ref="K9" authorId="0">
      <text>
        <r>
          <rPr>
            <b/>
            <sz val="9"/>
            <color indexed="81"/>
            <rFont val="Tahoma"/>
            <family val="2"/>
          </rPr>
          <t>Mundt, James C:</t>
        </r>
        <r>
          <rPr>
            <sz val="9"/>
            <color indexed="81"/>
            <rFont val="Tahoma"/>
            <family val="2"/>
          </rPr>
          <t xml:space="preserve">
Offender type pre-treatment</t>
        </r>
      </text>
    </comment>
    <comment ref="K10" authorId="0">
      <text>
        <r>
          <rPr>
            <b/>
            <sz val="9"/>
            <color indexed="81"/>
            <rFont val="Tahoma"/>
            <family val="2"/>
          </rPr>
          <t>Mundt, James C:</t>
        </r>
        <r>
          <rPr>
            <sz val="9"/>
            <color indexed="81"/>
            <rFont val="Tahoma"/>
            <family val="2"/>
          </rPr>
          <t xml:space="preserve">
Offender type pre-treatment</t>
        </r>
      </text>
    </comment>
    <comment ref="K11" authorId="0">
      <text>
        <r>
          <rPr>
            <b/>
            <sz val="9"/>
            <color indexed="81"/>
            <rFont val="Tahoma"/>
            <family val="2"/>
          </rPr>
          <t>Mundt, James C:</t>
        </r>
        <r>
          <rPr>
            <sz val="9"/>
            <color indexed="81"/>
            <rFont val="Tahoma"/>
            <family val="2"/>
          </rPr>
          <t xml:space="preserve">
Offender type pre-treatment</t>
        </r>
      </text>
    </comment>
    <comment ref="K12" authorId="0">
      <text>
        <r>
          <rPr>
            <b/>
            <sz val="9"/>
            <color indexed="81"/>
            <rFont val="Tahoma"/>
            <family val="2"/>
          </rPr>
          <t>Mundt, James C:</t>
        </r>
        <r>
          <rPr>
            <sz val="9"/>
            <color indexed="81"/>
            <rFont val="Tahoma"/>
            <family val="2"/>
          </rPr>
          <t xml:space="preserve">
Use VRS SO static items on summary page</t>
        </r>
      </text>
    </comment>
    <comment ref="K13" authorId="0">
      <text>
        <r>
          <rPr>
            <b/>
            <sz val="9"/>
            <color indexed="81"/>
            <rFont val="Tahoma"/>
            <family val="2"/>
          </rPr>
          <t>Mundt, James C:</t>
        </r>
        <r>
          <rPr>
            <sz val="9"/>
            <color indexed="81"/>
            <rFont val="Tahoma"/>
            <family val="2"/>
          </rPr>
          <t xml:space="preserve">
Pre-treatment scoring only - Static page</t>
        </r>
      </text>
    </comment>
    <comment ref="K14" authorId="0">
      <text>
        <r>
          <rPr>
            <b/>
            <sz val="9"/>
            <color indexed="81"/>
            <rFont val="Tahoma"/>
            <family val="2"/>
          </rPr>
          <t>Clinical Override Used</t>
        </r>
      </text>
    </comment>
  </commentList>
</comments>
</file>

<file path=xl/comments3.xml><?xml version="1.0" encoding="utf-8"?>
<comments xmlns="http://schemas.openxmlformats.org/spreadsheetml/2006/main">
  <authors>
    <author>Mundt, James C</author>
  </authors>
  <commentList>
    <comment ref="A5" authorId="0">
      <text>
        <r>
          <rPr>
            <sz val="9"/>
            <color indexed="81"/>
            <rFont val="Tahoma"/>
            <family val="2"/>
          </rPr>
          <t>0 Rating
The individual has no history of highly repetitive or compulsive sexual behaviour. The
individual does not demonstrate an unusually high sex drive.
1 Rating
Less positive than 0.
2 Rating
Less serious than 3.
3 Rating
The individual has demonstrated repetitive deviant or non-deviant compulsive sexual
activity. Elements of sexual compulsivity may include excessive masturbation, frequent
use of prostitutes, extensive history of indecent exposure, promiscuity or one night
stands, frequent use of pornography or sexual fantasies. The extent and duration of
offending behaviours may also provide evidence of sexual compulsivity. The individual
may report having problems controlling a powerful sex drive. For example, those with child
offenses may feel compelled to masturbate several times a day to fantasies of children, or
may have accumulated a large collection of child pornography which he/she has a strong
urge to use frequently.
OMIT  Insufficient information to rate this item pre-treatment.</t>
        </r>
      </text>
    </comment>
    <comment ref="B5" authorId="0">
      <text>
        <r>
          <rPr>
            <b/>
            <sz val="9"/>
            <color indexed="81"/>
            <rFont val="Tahoma"/>
            <family val="2"/>
          </rPr>
          <t xml:space="preserve">Precontemplation Stage: </t>
        </r>
        <r>
          <rPr>
            <sz val="9"/>
            <color indexed="81"/>
            <rFont val="Tahoma"/>
            <family val="2"/>
          </rPr>
          <t>The individual has no awareness of the problems and demonstrates no intention to change in the near future. The individual may deny that there is a problem with sexually compulsive behaviour or make superficial commitments to address his/her problem(s). The individual continues to demonstrate a pattern of compulsive sexual activity, and there is evidence of a high and poorly controlled sex drive.</t>
        </r>
        <r>
          <rPr>
            <b/>
            <sz val="9"/>
            <color indexed="81"/>
            <rFont val="Tahoma"/>
            <family val="2"/>
          </rPr>
          <t xml:space="preserve">
Contemplation Stage: </t>
        </r>
        <r>
          <rPr>
            <sz val="9"/>
            <color indexed="81"/>
            <rFont val="Tahoma"/>
            <family val="2"/>
          </rPr>
          <t>The individual recognizes their problem areas and wants to overcome them but relevant behavioral changes are not yet observable.</t>
        </r>
        <r>
          <rPr>
            <b/>
            <sz val="9"/>
            <color indexed="81"/>
            <rFont val="Tahoma"/>
            <family val="2"/>
          </rPr>
          <t xml:space="preserve">
Preparation Stage: </t>
        </r>
        <r>
          <rPr>
            <sz val="9"/>
            <color indexed="81"/>
            <rFont val="Tahoma"/>
            <family val="2"/>
          </rPr>
          <t>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 </t>
        </r>
        <r>
          <rPr>
            <sz val="9"/>
            <color indexed="81"/>
            <rFont val="Tahoma"/>
            <family val="2"/>
          </rPr>
          <t>The individual has consistently relinquished all elements of sexual compulsivity. The individual actively controls his/her sexual compulsive behaviour, and demonstrates the clear and consistent absence of deviant or non-deviant sexual activity. Other indications may include consistent compliance and use of libido inhibiting medications, thought stopping, as well as identifying and avoiding factors that culminate in sexually compulsive behaviour. These positive behaviours have been stable over an extended period of time and have withstood challenges across a variety of relevant situations, that is, high-risk situations related to the individual’s problem behavior(s).</t>
        </r>
      </text>
    </comment>
    <comment ref="C5" authorId="0">
      <text>
        <r>
          <rPr>
            <b/>
            <sz val="9"/>
            <color indexed="81"/>
            <rFont val="Tahoma"/>
            <family val="2"/>
          </rPr>
          <t xml:space="preserve">Precontemplation Stage: </t>
        </r>
        <r>
          <rPr>
            <sz val="9"/>
            <color indexed="81"/>
            <rFont val="Tahoma"/>
            <family val="2"/>
          </rPr>
          <t>The individual has no awareness of the problems and demonstrates no intention to change in the near future. The individual may deny that there is a problem with sexually compulsive behaviour or make superficial commitments to address his/her problem(s). The individual continues to demonstrate a pattern of compulsive sexual activity, and there is evidence of a high and poorly controlled sex drive.</t>
        </r>
        <r>
          <rPr>
            <b/>
            <sz val="9"/>
            <color indexed="81"/>
            <rFont val="Tahoma"/>
            <family val="2"/>
          </rPr>
          <t xml:space="preserve">
Contemplation Stage:</t>
        </r>
        <r>
          <rPr>
            <sz val="9"/>
            <color indexed="81"/>
            <rFont val="Tahoma"/>
            <family val="2"/>
          </rPr>
          <t xml:space="preserve"> The individual recognizes their problem areas and wants to overcome them but relevant behavioral changes are not yet observable.</t>
        </r>
        <r>
          <rPr>
            <b/>
            <sz val="9"/>
            <color indexed="81"/>
            <rFont val="Tahoma"/>
            <family val="2"/>
          </rPr>
          <t xml:space="preserve">
Preparation Stage: </t>
        </r>
        <r>
          <rPr>
            <sz val="9"/>
            <color indexed="81"/>
            <rFont val="Tahoma"/>
            <family val="2"/>
          </rPr>
          <t>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t>
        </r>
        <r>
          <rPr>
            <sz val="9"/>
            <color indexed="81"/>
            <rFont val="Tahoma"/>
            <family val="2"/>
          </rPr>
          <t xml:space="preserve"> The individual has consistently relinquished all elements of sexual compulsivity. The individual actively controls his/her sexual compulsive behaviour, and demonstrates the clear and consistent absence of deviant or non-deviant sexual activity. Other indications may include consistent compliance and use of libido inhibiting medications, thought stopping, as well as identifying and avoiding factors that culminate in sexually compulsive behaviour. These positive behaviours have been stable over an extended period of time and have withstood challenges across a variety of relevant situations, that is, high-risk situations related to the individual’s problem behavior(s).
</t>
        </r>
      </text>
    </comment>
    <comment ref="D6" authorId="0">
      <text>
        <r>
          <rPr>
            <sz val="9"/>
            <color indexed="81"/>
            <rFont val="Tahoma"/>
            <family val="2"/>
          </rPr>
          <t>Omitted Pre-treatment factors could be completed as a post-treatment rating if information not present at the time of the Pre-Treatment assessment is now available.</t>
        </r>
      </text>
    </comment>
  </commentList>
</comments>
</file>

<file path=xl/comments4.xml><?xml version="1.0" encoding="utf-8"?>
<comments xmlns="http://schemas.openxmlformats.org/spreadsheetml/2006/main">
  <authors>
    <author>Mundt, James C</author>
  </authors>
  <commentList>
    <comment ref="A5" authorId="0">
      <text>
        <r>
          <rPr>
            <sz val="9"/>
            <color indexed="81"/>
            <rFont val="Tahoma"/>
            <family val="2"/>
          </rPr>
          <t>0 Rating
The individual’s offence appears to be unplanned, impulsive and opportunistic in nature.
The individual did not initially contact or establish a relationship with the victim for the
purposes of sexual offending. The individual’s offence indicates coincidental contact
with victims. There is no planning or victim grooming. For example, a man may have
sexually assaulted a woman he found passed out at a party.
1 Rating
Less positive than 0.
2 Rating
Less serious than 3.
3 Rating
The individual clearly demonstrates planning or victim grooming in his/her offending.
Evidence of this may involve a planned course of action prior to offending, such as
selecting a particular location, a weapon, means of overcoming victim resistance,
avoiding detection and plans to engage in specific sexual acts. Careful mental rehearsal of
the offence is a form of planning. Evidence of grooming involves a period of becoming
acquainted with, and building trust of potential victims for the purpose of the offence.
Further, the offender may have a history of seeking out potential victims. For example, a
man convicted of sexually abusing children may have a history of placing himself in a position to secure easy access to children (e.g. work in an arcade), befriend them, and then offend against them.
OMIT  Insufficient information to rate this item pre-treatment.</t>
        </r>
      </text>
    </comment>
    <comment ref="B5" authorId="0">
      <text>
        <r>
          <rPr>
            <b/>
            <sz val="9"/>
            <color indexed="81"/>
            <rFont val="Tahoma"/>
            <family val="2"/>
          </rPr>
          <t>Precontemplation Stage:</t>
        </r>
        <r>
          <rPr>
            <sz val="9"/>
            <color indexed="81"/>
            <rFont val="Tahoma"/>
            <family val="2"/>
          </rPr>
          <t xml:space="preserve"> The individual has no awareness of his/her problems, offence planning or associated problems and demonstrates no intention to change in the near future.</t>
        </r>
        <r>
          <rPr>
            <b/>
            <sz val="9"/>
            <color indexed="81"/>
            <rFont val="Tahoma"/>
            <family val="2"/>
          </rPr>
          <t xml:space="preserve">
Contemplation Stage: </t>
        </r>
        <r>
          <rPr>
            <sz val="9"/>
            <color indexed="81"/>
            <rFont val="Tahoma"/>
            <family val="2"/>
          </rPr>
          <t>The individual recognizes their problem areas and wants to overcome them but relevant behavioral changes are not yet observable.</t>
        </r>
        <r>
          <rPr>
            <b/>
            <sz val="9"/>
            <color indexed="81"/>
            <rFont val="Tahoma"/>
            <family val="2"/>
          </rPr>
          <t xml:space="preserve">
Preparation Stage: </t>
        </r>
        <r>
          <rPr>
            <sz val="9"/>
            <color indexed="81"/>
            <rFont val="Tahoma"/>
            <family val="2"/>
          </rPr>
          <t>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t>
        </r>
        <r>
          <rPr>
            <sz val="9"/>
            <color indexed="81"/>
            <rFont val="Tahoma"/>
            <family val="2"/>
          </rPr>
          <t xml:space="preserve"> 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t>
        </r>
        <r>
          <rPr>
            <sz val="9"/>
            <color indexed="81"/>
            <rFont val="Tahoma"/>
            <family val="2"/>
          </rPr>
          <t xml:space="preserve"> If there has been evidence of offence planning or victim grooming,
the individual no longer engages in such behaviours. Confirmation of such changes may
be reflected in an awareness of high-risk situations and warning signs that could lead to
relapse and adherence to relapse prevention. These positive behaviours have been stable
over an extended period of time and have withstood challenges across a variety of
relevant situations, that is, high-risk situations related to the individual’s problem behavior(s).
</t>
        </r>
      </text>
    </comment>
    <comment ref="C5" authorId="0">
      <text>
        <r>
          <rPr>
            <b/>
            <sz val="9"/>
            <color indexed="81"/>
            <rFont val="Tahoma"/>
            <family val="2"/>
          </rPr>
          <t xml:space="preserve">Precontemplation Stage: </t>
        </r>
        <r>
          <rPr>
            <sz val="9"/>
            <color indexed="81"/>
            <rFont val="Tahoma"/>
            <family val="2"/>
          </rPr>
          <t xml:space="preserve">The individual has no awareness of his/her problems, offence planning or associated problems and demonstrates no intention to change in the near future.
</t>
        </r>
        <r>
          <rPr>
            <b/>
            <sz val="9"/>
            <color indexed="81"/>
            <rFont val="Tahoma"/>
            <family val="2"/>
          </rPr>
          <t xml:space="preserve">
Contemplation Stage: </t>
        </r>
        <r>
          <rPr>
            <sz val="9"/>
            <color indexed="81"/>
            <rFont val="Tahoma"/>
            <family val="2"/>
          </rPr>
          <t xml:space="preserve">The individual recognizes their problem areas and wants to overcome them but relevant behavioral changes are not yet observable.
</t>
        </r>
        <r>
          <rPr>
            <b/>
            <sz val="9"/>
            <color indexed="81"/>
            <rFont val="Tahoma"/>
            <family val="2"/>
          </rPr>
          <t xml:space="preserve">
Preparation Stage:</t>
        </r>
        <r>
          <rPr>
            <sz val="9"/>
            <color indexed="81"/>
            <rFont val="Tahoma"/>
            <family val="2"/>
          </rPr>
          <t xml:space="preserve"> The individual recognizes his/her problems and has made observable efforts at overcoming them. There are appropriate behavior changes, however these may be relatively recent and/or tend not to be consistent over time; lapses may be quite frequent.
</t>
        </r>
        <r>
          <rPr>
            <b/>
            <sz val="9"/>
            <color indexed="81"/>
            <rFont val="Tahoma"/>
            <family val="2"/>
          </rPr>
          <t xml:space="preserve">
Action Stage:</t>
        </r>
        <r>
          <rPr>
            <sz val="9"/>
            <color indexed="81"/>
            <rFont val="Tahoma"/>
            <family val="2"/>
          </rPr>
          <t xml:space="preserve"> 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t>
        </r>
        <r>
          <rPr>
            <sz val="9"/>
            <color indexed="81"/>
            <rFont val="Tahoma"/>
            <family val="2"/>
          </rPr>
          <t xml:space="preserve"> If there has been evidence of offence planning or victim grooming,
the individual no longer engages in such behaviours. Confirmation of such changes may
be reflected in an awareness of high-risk situations and warning signs that could lead to
relapse and adherence to relapse prevention. These positive behaviours have been stable
over an extended period of time and have withstood challenges across a variety of
relevant situations, that is, high-risk situations related to the individual’s problem behavior(s).
</t>
        </r>
      </text>
    </comment>
    <comment ref="D6" authorId="0">
      <text>
        <r>
          <rPr>
            <sz val="9"/>
            <color indexed="81"/>
            <rFont val="Tahoma"/>
            <family val="2"/>
          </rPr>
          <t>0 Rating
The individual’s offence appears to be unplanned, impulsive and opportunistic in nature.
The individual did not initially contact or establish a relationship with the victim for the
purposes of sexual offending. The individual’s offence indicates coincidental contact
with victims. There is no planning or victim grooming. For example, a rapist may have
sexually assaulted a woman he found passed out at a party.
1 Rating
Less positive than 0.
2 Rating
Less serious than 3.
3 Rating
The individual clearly demonstrates planning or victim grooming in his/her offending.
Evidence of this may involve a planned course of action prior to offending, such as
selecting a particular location, a weapon, means of overcoming victim resistance,
avoiding detection and plans to engage in specific sexual acts. Careful mental rehearsal of
the offence is a form of planning. Evidence of grooming involves a period of becoming
acquainted with, and building trust of potential victims for the purpose of the offence.
Further, the offender may have a history of seeking out potential victims. For example, a
child molester may have a history of placing himself in a position to secure easy access to
children (e.g. work in an arcade), befriend them, and then offend against them.
OMIT  Insufficient information to rate this item pre-treatment.</t>
        </r>
      </text>
    </comment>
  </commentList>
</comments>
</file>

<file path=xl/comments5.xml><?xml version="1.0" encoding="utf-8"?>
<comments xmlns="http://schemas.openxmlformats.org/spreadsheetml/2006/main">
  <authors>
    <author>Mundt, James C</author>
  </authors>
  <commentList>
    <comment ref="A5" authorId="0">
      <text>
        <r>
          <rPr>
            <sz val="9"/>
            <color indexed="81"/>
            <rFont val="Tahoma"/>
            <family val="2"/>
          </rPr>
          <t>0 Rating
The individual has very few or none of the personality characteristics described in the 3 Rating below.
1 Rating
Less positive than 0.
2 Rating
Less serious than 3.
3 Rating
A rating of 3 should be given to those whose overall personality profile is consistent with
the following prototypical characteristics: is glib and superficially charming, has a
grandiose and unrealistic sense of self-worth, feels little remorse, guilt, or empathy, has
very shallow emotional responses, lies a lot, manipulates and cons others, and has a
consistent pattern of being superficial in interpersonal relationships. These personality
characteristics are sometimes described as psychopathic. Simply having a previous
diagnosis of any of the above is not sufficient for a 3 Rating. Rate the item based on the
extent to which the individual's overall characteristics match the characteristics
described in the 3 Rating.
OMIT  Insufficient information to rate this item pre-treatment.</t>
        </r>
      </text>
    </comment>
    <comment ref="B5" authorId="0">
      <text>
        <r>
          <rPr>
            <b/>
            <sz val="9"/>
            <color indexed="81"/>
            <rFont val="Tahoma"/>
            <family val="2"/>
          </rPr>
          <t xml:space="preserve">Precontemplation Stage: </t>
        </r>
        <r>
          <rPr>
            <sz val="9"/>
            <color indexed="81"/>
            <rFont val="Tahoma"/>
            <family val="2"/>
          </rPr>
          <t>The individual has no awareness of the problems and demonstrates no
intention to change in the near future. The individual is unaware of the relationship between his or
her personality characteristics and sexual behavior and has made no effort to change. The individual
may deny that there is a personality problem or externalize blame.</t>
        </r>
        <r>
          <rPr>
            <b/>
            <sz val="9"/>
            <color indexed="81"/>
            <rFont val="Tahoma"/>
            <family val="2"/>
          </rPr>
          <t xml:space="preserve">
Contemplation Stage: </t>
        </r>
        <r>
          <rPr>
            <sz val="9"/>
            <color indexed="81"/>
            <rFont val="Tahoma"/>
            <family val="2"/>
          </rPr>
          <t>The individual recognizes their problem areas and wants to overcome them but relevant behavioral changes are not yet observable.</t>
        </r>
        <r>
          <rPr>
            <b/>
            <sz val="9"/>
            <color indexed="81"/>
            <rFont val="Tahoma"/>
            <family val="2"/>
          </rPr>
          <t xml:space="preserve">
Preparation Stage: </t>
        </r>
        <r>
          <rPr>
            <sz val="9"/>
            <color indexed="81"/>
            <rFont val="Tahoma"/>
            <family val="2"/>
          </rPr>
          <t>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 </t>
        </r>
        <r>
          <rPr>
            <sz val="9"/>
            <color indexed="81"/>
            <rFont val="Tahoma"/>
            <family val="2"/>
          </rPr>
          <t xml:space="preserve">The individual has significantly changed his/her behaviors that are characteristic of the noted personality (see D2 Risk Rating). Although the individual may have gained a substantial amount of insight concerning the influence of personality factors on his or her behaviors, insight alone does not warrant a Maintenance Stage rating. The individual must be able to “walk the talk” (i.e. to demonstrate risk-relevant behaviors across time and contexts). For example, the individual has genuinely accepted responsibility for past sexual violence and implemented alternative behavioral strategies to avoid sexual violence; there have been very few or no incidences of lying, conning, or manipulating others; an absence of negative covert behaviors; active avoidance of highly criminalized individuals and high-risk situations; consistent cooperation with the staff and others; etc. It is important to distinguish between those who are simply attempting to look good for staff and decision-makers as opposed to those who have made genuine changes. The individual has also been engaged in attainable goal setting and made realistic plans for the future. Relevant changes have been stable over an extended period of time and have withstood challenges across a variety of relevant situations, that is, high-risk situations related to the individual's problem behavior(s).
</t>
        </r>
      </text>
    </comment>
    <comment ref="C5" authorId="0">
      <text>
        <r>
          <rPr>
            <b/>
            <sz val="9"/>
            <color indexed="81"/>
            <rFont val="Tahoma"/>
            <family val="2"/>
          </rPr>
          <t xml:space="preserve">Precontemplation Stage: </t>
        </r>
        <r>
          <rPr>
            <sz val="9"/>
            <color indexed="81"/>
            <rFont val="Tahoma"/>
            <family val="2"/>
          </rPr>
          <t>The individual has no awareness of the problems and demonstrates no
intention to change in the near future. The individual is unaware of the relationship between his or
her personality characteristics and sexual behavior and has made no effort to change. The individual
may deny that there is a personality problem or externalize blame.</t>
        </r>
        <r>
          <rPr>
            <b/>
            <sz val="9"/>
            <color indexed="81"/>
            <rFont val="Tahoma"/>
            <family val="2"/>
          </rPr>
          <t xml:space="preserve">
Contemplation Stage: </t>
        </r>
        <r>
          <rPr>
            <sz val="9"/>
            <color indexed="81"/>
            <rFont val="Tahoma"/>
            <family val="2"/>
          </rPr>
          <t>The individual recognizes their problem areas and wants to overcome them but relevant behavioral changes are not yet observable.</t>
        </r>
        <r>
          <rPr>
            <b/>
            <sz val="9"/>
            <color indexed="81"/>
            <rFont val="Tahoma"/>
            <family val="2"/>
          </rPr>
          <t xml:space="preserve">
Preparation Stage: </t>
        </r>
        <r>
          <rPr>
            <sz val="9"/>
            <color indexed="81"/>
            <rFont val="Tahoma"/>
            <family val="2"/>
          </rPr>
          <t>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t>
        </r>
        <r>
          <rPr>
            <sz val="9"/>
            <color indexed="81"/>
            <rFont val="Tahoma"/>
            <family val="2"/>
          </rPr>
          <t xml:space="preserve"> The individual has significantly changed his/her behaviors that are characteristic of the noted personality (see D2 Risk Rating). Although the individual may have gained a substantial amount of insight concerning the influence of personality factors on his or her behaviors, insight alone does not warrant a Maintenance Stage rating. The individual must be able to “walk the talk” (i.e. to demonstrate risk-relevant behaviors across time and contexts). For example, the individual has genuinely accepted responsibility for past sexual violence and implemented alternative behavioral strategies to avoid sexual violence; there have been very few or no incidences of lying, conning, or manipulating others; an absence of negative covert behaviors; active avoidance of highly criminalized individuals and high-risk situations; consistent cooperation with the staff and others; etc. It is important to distinguish between those who are simply attempting to look good for staff and decision-makers as opposed to those who have made genuine changes. The individual has also been engaged in attainable goal setting and made realistic plans for the future. Relevant changes have been stable over an extended period of time and have withstood challenges across a variety of relevant situations, that is, high-risk situations related to the individual's problem behavior(s).
</t>
        </r>
      </text>
    </comment>
    <comment ref="D6" authorId="0">
      <text>
        <r>
          <rPr>
            <sz val="9"/>
            <color indexed="81"/>
            <rFont val="Tahoma"/>
            <family val="2"/>
          </rPr>
          <t>0 Rating
The individual has very few or none of the personality characteristics described in the 3 Rating below.
1 Rating
Less positive than 0.
2 Rating
Less serious than 3.
3 Rating
A rating of 3 should be given to those whose overall personality profile is consistent with
the following prototypical characteristics: is glib and superficially charming, has a
grandiose and unrealistic sense of self-worth, feels little remorse, guilt, or empathy, has
very shallow emotional responses, lies a lot, manipulates and cons others, and has a
consistent pattern of being superficial in interpersonal relationships.4 These personality
characteristics are sometimes described as psychopathic. Simply having a previous
diagnosis of any of the above is not sufficient for a 3 Rating. Rate the item based on the
extent to which the individual's overall characteristics match the characteristics
described in the 3 Rating.
OMIT  Insufficient information to rate this item pre-treatment.</t>
        </r>
      </text>
    </comment>
  </commentList>
</comments>
</file>

<file path=xl/comments6.xml><?xml version="1.0" encoding="utf-8"?>
<comments xmlns="http://schemas.openxmlformats.org/spreadsheetml/2006/main">
  <authors>
    <author>Mundt, James C</author>
  </authors>
  <commentList>
    <comment ref="A5" authorId="0">
      <text>
        <r>
          <rPr>
            <sz val="9"/>
            <color indexed="81"/>
            <rFont val="Tahoma"/>
            <family val="2"/>
          </rPr>
          <t>0 Rating
The individual does not use cognitive distortions. The individual does not minimize or downplay the severity of his or her actions, or try to justify, excuse, or rationalize sexually deviant behaviour(s). The individual tends to consider alternative perspectives rationally and objectively.
1 Rating
Less positive than 0.
2 Rating
Less serious than 3.
3 Rating
The individual tends to maintain a distorted point of view regarding the offence and/or the victims. The cognitive distortions may include excuses, justifications or rationalizations, blaming and minimization of the seriousness of the offense. The individual's over-reliance on atypical past experiences may have seriously biased his/her interpretations of current events. The individual may be quick to discount alternative viewpoints as inaccurate or irrelevant and is generally reluctant to consider information or evidence that contradicts his or her viewpoints. The individual may frequently demonstrate rigid, “black and white”, or stereotypical thinking patterns that make the modification of problematic beliefs and thoughts difficult. Cognitive distortions may include: 1) attitudes that support adult sexual contact with children (e.g. “having sex with children is a good way to teach them about sex”); 2) rape myths (e.g.
“women secretly wish to be raped”); 3) excuses, justifications or rationalisations (e.g. “I gave the child sex education”); 4) minimization of seriousness or harm of the offence (e.g. “she didn't get hurt”); 5) dehumanising the victim (e.g. “she is only a prostitute, it is part of the job”); or 6) blaming the victim (e.g. “but she was coming on to me!”). 
Note: Total or partial denial in and of itself may not warrant a rating of 3. In such cases, the rater will need to take into account the general tendencies of individuals with sex offense convictions to be defensive about their offences.
OMIT  Insufficient information to rate this item pre-treatment.</t>
        </r>
      </text>
    </comment>
    <comment ref="B5" authorId="0">
      <text>
        <r>
          <rPr>
            <b/>
            <sz val="9"/>
            <color indexed="81"/>
            <rFont val="Tahoma"/>
            <family val="2"/>
          </rPr>
          <t xml:space="preserve">Precontemplation Stage: </t>
        </r>
        <r>
          <rPr>
            <sz val="9"/>
            <color indexed="81"/>
            <rFont val="Tahoma"/>
            <family val="2"/>
          </rPr>
          <t>The individual has no awareness of the problems and demonstrates no intention to change in the near future. The individual has no awareness of his or her cognitive distortions. The individual may refuse to do perception checks, and maintains distorted points of view. The individual tends to readily reject alternative perspectives without evaluating them.</t>
        </r>
        <r>
          <rPr>
            <b/>
            <sz val="9"/>
            <color indexed="81"/>
            <rFont val="Tahoma"/>
            <family val="2"/>
          </rPr>
          <t xml:space="preserve">
Contemplation Stage: </t>
        </r>
        <r>
          <rPr>
            <sz val="9"/>
            <color indexed="81"/>
            <rFont val="Tahoma"/>
            <family val="2"/>
          </rPr>
          <t>The individual recognizes their problem areas and wants to overcome them but relevant behavioral changes are not yet observable.</t>
        </r>
        <r>
          <rPr>
            <b/>
            <sz val="9"/>
            <color indexed="81"/>
            <rFont val="Tahoma"/>
            <family val="2"/>
          </rPr>
          <t xml:space="preserve">
Preparation Stage: </t>
        </r>
        <r>
          <rPr>
            <sz val="9"/>
            <color indexed="81"/>
            <rFont val="Tahoma"/>
            <family val="2"/>
          </rPr>
          <t>The individual recognizes his/her problems and has made observable efforts to modify cognitive distortions. There are appropriate behavior changes, however these may be relatively recent and/or tend not to be consistent over time; lapses may be quite frequent.</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 </t>
        </r>
        <r>
          <rPr>
            <sz val="9"/>
            <color indexed="81"/>
            <rFont val="Tahoma"/>
            <family val="2"/>
          </rPr>
          <t xml:space="preserve">If cognitive distortions were a concern, the individual now has modified his/her distorted thinking patterns (e.g. minimization, justification, blaming, etc.) and attitudes by using various cognitive restructuring techniques. The individual now shows an accurate perception of the link between sexual behaviors and their contributing factors and the understanding of what needs to be done for relapse prevention. These positive changes have been stable over an extended period of time and have withstood challenges across a variety of relevant situations, that is, high-risk situations related to the individual's problem behavior(s).
</t>
        </r>
      </text>
    </comment>
    <comment ref="C5" authorId="0">
      <text>
        <r>
          <rPr>
            <b/>
            <sz val="9"/>
            <color indexed="81"/>
            <rFont val="Tahoma"/>
            <family val="2"/>
          </rPr>
          <t xml:space="preserve">Precontemplation Stage: </t>
        </r>
        <r>
          <rPr>
            <sz val="9"/>
            <color indexed="81"/>
            <rFont val="Tahoma"/>
            <family val="2"/>
          </rPr>
          <t>The individual has no awareness of the problems and demonstrates no intention to change in the near future. The individual has no awareness of his or her cognitive distortions. The individual may refuse to do perception checks, and maintains distorted points of view. The individual tends to readily reject alternative perspectives without evaluating them.</t>
        </r>
        <r>
          <rPr>
            <b/>
            <sz val="9"/>
            <color indexed="81"/>
            <rFont val="Tahoma"/>
            <family val="2"/>
          </rPr>
          <t xml:space="preserve">
Contemplation Stage:</t>
        </r>
        <r>
          <rPr>
            <sz val="9"/>
            <color indexed="81"/>
            <rFont val="Tahoma"/>
            <family val="2"/>
          </rPr>
          <t xml:space="preserve"> The individual recognizes their problem areas and wants to overcome them but relevant behavioral changes are not yet observable.</t>
        </r>
        <r>
          <rPr>
            <b/>
            <sz val="9"/>
            <color indexed="81"/>
            <rFont val="Tahoma"/>
            <family val="2"/>
          </rPr>
          <t xml:space="preserve">
Preparation Stage: </t>
        </r>
        <r>
          <rPr>
            <sz val="9"/>
            <color indexed="81"/>
            <rFont val="Tahoma"/>
            <family val="2"/>
          </rPr>
          <t>The individual recognizes his/her problems and has made observable efforts to modify cognitive distortions. There are appropriate behavior changes, however these may be relatively recent and/or tend not to be consistent over time; lapses may be quite frequent.</t>
        </r>
        <r>
          <rPr>
            <b/>
            <sz val="9"/>
            <color indexed="81"/>
            <rFont val="Tahoma"/>
            <family val="2"/>
          </rPr>
          <t xml:space="preserve">
Action Stage:</t>
        </r>
        <r>
          <rPr>
            <sz val="9"/>
            <color indexed="81"/>
            <rFont val="Tahoma"/>
            <family val="2"/>
          </rPr>
          <t xml:space="preserve"> 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 </t>
        </r>
        <r>
          <rPr>
            <sz val="9"/>
            <color indexed="81"/>
            <rFont val="Tahoma"/>
            <family val="2"/>
          </rPr>
          <t xml:space="preserve">If cognitive distortions were a concern, the individual now has modified his/her distorted thinking patterns (e.g. minimization, justification, blaming, etc.) and attitudes by using various cognitive restructuring techniques. The individual now shows an accurate perception of the link between sexual behaviors and their contributing factors and the understanding of what needs to be done for relapse prevention. These positive changes have been stable over an extended period of time and have withstood challenges across a variety of relevant situations, that is, high-risk situations related to the individual's problem behavior(s).
</t>
        </r>
      </text>
    </comment>
    <comment ref="D6" authorId="0">
      <text>
        <r>
          <rPr>
            <sz val="9"/>
            <color indexed="81"/>
            <rFont val="Tahoma"/>
            <family val="2"/>
          </rPr>
          <t>Omitted Pre-treatment factors could be completed as a post-treatment rating if information not present at the time of the Pre-Treatment assessment is now available.</t>
        </r>
      </text>
    </comment>
  </commentList>
</comments>
</file>

<file path=xl/comments7.xml><?xml version="1.0" encoding="utf-8"?>
<comments xmlns="http://schemas.openxmlformats.org/spreadsheetml/2006/main">
  <authors>
    <author>Mundt, James C</author>
  </authors>
  <commentList>
    <comment ref="A5" authorId="0">
      <text>
        <r>
          <rPr>
            <sz val="9"/>
            <color indexed="81"/>
            <rFont val="Tahoma"/>
            <family val="2"/>
          </rPr>
          <t>0 Rating
On the whole, the individual does not use aggressive behaviors habitually or extensively
in interpersonal interactions. Aggressive behaviors include verbal aggression (e.g.,
swearing, shouting, etc.), physical aggression (e.g., hitting, intimidation, threatening
gestures, etc.) and passive-aggressiveness (e.g. silent treatment, withdrawal etc.). The
emphasis should be placed on the habitual or extensive use of aggressive behaviors in
interpersonal relationships. Thus, isolated or mildly aggressive episodes do not constitute
habitual or extensive use and should be given a rating of 1 or 2 accordingly.
1 Rating
Less positive than 0.
2 Rating
Less serious than 3.
3 Rating
There is evidence that the individual habitually or extensively uses aggressive behaviors
in his or her interpersonal interactions. The aggressive behaviors may, but not
necessarily, result in violence. As long as aggressive behaviors are a major and consistent
component of the individual’s interpersonal interaction style, a rating of 3 is given.
Persistent stalking behavior, pimping, or engaging in violent fantasies are considered to
be interpersonal aggression.
OMIT  Insufficient information to rate this item pre-treatment.</t>
        </r>
      </text>
    </comment>
    <comment ref="B5" authorId="0">
      <text>
        <r>
          <rPr>
            <b/>
            <sz val="9"/>
            <color indexed="81"/>
            <rFont val="Tahoma"/>
            <family val="2"/>
          </rPr>
          <t xml:space="preserve">Precontemplation Stage: </t>
        </r>
        <r>
          <rPr>
            <sz val="9"/>
            <color indexed="81"/>
            <rFont val="Tahoma"/>
            <family val="2"/>
          </rPr>
          <t>The individual has no awareness of the problems and demonstrates no intention to change in the near future. The individual is unaware of his or her use of interpersonal aggression. The individual is resistant to the development of alternative interpersonal strategies to avoid interpersonal aggressive behavior.</t>
        </r>
        <r>
          <rPr>
            <b/>
            <sz val="9"/>
            <color indexed="81"/>
            <rFont val="Tahoma"/>
            <family val="2"/>
          </rPr>
          <t xml:space="preserve">
Contemplation Stage: </t>
        </r>
        <r>
          <rPr>
            <sz val="9"/>
            <color indexed="81"/>
            <rFont val="Tahoma"/>
            <family val="2"/>
          </rPr>
          <t>The individual recognizes their problem areas and wants to overcome them but relevant behavioral changes are not yet observable.</t>
        </r>
        <r>
          <rPr>
            <b/>
            <sz val="9"/>
            <color indexed="81"/>
            <rFont val="Tahoma"/>
            <family val="2"/>
          </rPr>
          <t xml:space="preserve">
Preparation Stage: </t>
        </r>
        <r>
          <rPr>
            <sz val="9"/>
            <color indexed="81"/>
            <rFont val="Tahoma"/>
            <family val="2"/>
          </rPr>
          <t>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 </t>
        </r>
        <r>
          <rPr>
            <sz val="9"/>
            <color indexed="81"/>
            <rFont val="Tahoma"/>
            <family val="2"/>
          </rPr>
          <t>The individual has consistently relinquished the use of aggression (i.e., verbal aggression, passive-aggressiveness, and/or physical aggression), including aggressive intimidation tactics, to meet his or her needs. The individual demonstrates a prosocial interpersonal style. Relevant risk-reduction strategies are consistently used to avoid resorting to aggressive behaviors. These positive changes have been stable over an extended period of time and have withstood challenges across a variety of relevant situations, that is, high-risk situations related to the individual's problem behavior(s).</t>
        </r>
        <r>
          <rPr>
            <b/>
            <sz val="9"/>
            <color indexed="81"/>
            <rFont val="Tahoma"/>
            <family val="2"/>
          </rPr>
          <t xml:space="preserve">
</t>
        </r>
        <r>
          <rPr>
            <sz val="9"/>
            <color indexed="81"/>
            <rFont val="Tahoma"/>
            <family val="2"/>
          </rPr>
          <t xml:space="preserve">
</t>
        </r>
      </text>
    </comment>
    <comment ref="C5" authorId="0">
      <text>
        <r>
          <rPr>
            <b/>
            <sz val="9"/>
            <color indexed="81"/>
            <rFont val="Tahoma"/>
            <family val="2"/>
          </rPr>
          <t xml:space="preserve">Precontemplation Stage: </t>
        </r>
        <r>
          <rPr>
            <sz val="9"/>
            <color indexed="81"/>
            <rFont val="Tahoma"/>
            <family val="2"/>
          </rPr>
          <t>The individual has no awareness of the problems and demonstrates no intention to change in the near future. The individual is unaware of his or her use of interpersonal aggression. The individual is resistant to the development of alternative interpersonal strategies to avoid interpersonal aggressive behavior.</t>
        </r>
        <r>
          <rPr>
            <b/>
            <sz val="9"/>
            <color indexed="81"/>
            <rFont val="Tahoma"/>
            <family val="2"/>
          </rPr>
          <t xml:space="preserve">
Contemplation Stage:</t>
        </r>
        <r>
          <rPr>
            <sz val="9"/>
            <color indexed="81"/>
            <rFont val="Tahoma"/>
            <family val="2"/>
          </rPr>
          <t xml:space="preserve"> The individual recognizes their problem areas and wants to overcome them but relevant behavioral changes are not yet observable.</t>
        </r>
        <r>
          <rPr>
            <b/>
            <sz val="9"/>
            <color indexed="81"/>
            <rFont val="Tahoma"/>
            <family val="2"/>
          </rPr>
          <t xml:space="preserve">
Preparation Stage:</t>
        </r>
        <r>
          <rPr>
            <sz val="9"/>
            <color indexed="81"/>
            <rFont val="Tahoma"/>
            <family val="2"/>
          </rPr>
          <t xml:space="preserve"> 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 </t>
        </r>
        <r>
          <rPr>
            <sz val="9"/>
            <color indexed="81"/>
            <rFont val="Tahoma"/>
            <family val="2"/>
          </rPr>
          <t>The individual has consistently relinquished the use of aggression (i.e., verbal aggression, passive-aggressiveness, and/or physical aggression), including aggressive intimidation tactics, to meet his or her needs. The individual demonstrates a prosocial interpersonal style. Relevant risk-reduction strategies are consistently used to avoid resorting to aggressive behaviors. These positive changes have been stable over an extended period of time and have withstood challenges across a variety of relevant situations, that is, high-risk situations related to the individual's problem behavior(s).</t>
        </r>
        <r>
          <rPr>
            <b/>
            <sz val="9"/>
            <color indexed="81"/>
            <rFont val="Tahoma"/>
            <family val="2"/>
          </rPr>
          <t xml:space="preserve">
</t>
        </r>
        <r>
          <rPr>
            <sz val="9"/>
            <color indexed="81"/>
            <rFont val="Tahoma"/>
            <family val="2"/>
          </rPr>
          <t xml:space="preserve">
</t>
        </r>
      </text>
    </comment>
    <comment ref="D6" authorId="0">
      <text>
        <r>
          <rPr>
            <sz val="9"/>
            <color indexed="81"/>
            <rFont val="Tahoma"/>
            <family val="2"/>
          </rPr>
          <t>Omitted Pre-treatment factors could be completed as a post-treatment rating if information not present at the time of the Pre-Treatment assessment is now available.</t>
        </r>
      </text>
    </comment>
  </commentList>
</comments>
</file>

<file path=xl/comments8.xml><?xml version="1.0" encoding="utf-8"?>
<comments xmlns="http://schemas.openxmlformats.org/spreadsheetml/2006/main">
  <authors>
    <author>Mundt, James C</author>
  </authors>
  <commentList>
    <comment ref="A5" authorId="0">
      <text>
        <r>
          <rPr>
            <sz val="9"/>
            <color indexed="81"/>
            <rFont val="Tahoma"/>
            <family val="2"/>
          </rPr>
          <t>0 Rating
Overall, there is no relationship between the inability to regulate emotions and sexual violence; no history of emotional responses that typically have resulted in sexual behavior is indicated. There is no evidence of emotional outbursts, explosive rage, serious depressive episodes, or overcontrolling feelings, which culminated in sexual offending.
1 Rating
Less positive than 0.
2 Rating
Less serious than 3.
3 Rating
A consistent relationship between sexual offending and the inability to control emotions is indicated. Negative emotional state(s) such as feelings of jealousy, loneliness, humiliation, rejection, inadequacy, or anger, or positive emotional states such as feelings of excitement or anticipation are associated with sexual offending. For example, a man may report experiencing pervasive feelings of loneliness and rejection prior to committing a sexual offence and was unable or unwilling to do anything about such feelings. Alternatively, an exhibitionist may experience feelings of excitement and exhilaration just prior to offending. The individual may also tend to “bottle-up” his or her feelings, brood, and/or act in a passive, submissive way, only to explode at a later time. These behaviors, which may be triggered by very specific events (e.g., under the influence of intoxicants), do not have to result in criminal charges or convictions to warrant a 3 rating.
OMIT  Insufficient information to rate this item pre-treatment.</t>
        </r>
      </text>
    </comment>
    <comment ref="B5" authorId="0">
      <text>
        <r>
          <rPr>
            <b/>
            <sz val="9"/>
            <color indexed="81"/>
            <rFont val="Tahoma"/>
            <family val="2"/>
          </rPr>
          <t xml:space="preserve">Precontemplation Stage: </t>
        </r>
        <r>
          <rPr>
            <sz val="9"/>
            <color indexed="81"/>
            <rFont val="Tahoma"/>
            <family val="2"/>
          </rPr>
          <t>The individual has no awareness of the problems and demonstrates no intention to change in the near future. The individual demonstrates no awareness of the link between the inability to manage emotions and sexual violence. The individual may attempt to justify or externalize the causes of poor emotional control.</t>
        </r>
        <r>
          <rPr>
            <b/>
            <sz val="9"/>
            <color indexed="81"/>
            <rFont val="Tahoma"/>
            <family val="2"/>
          </rPr>
          <t xml:space="preserve">
Contemplation Stage: </t>
        </r>
        <r>
          <rPr>
            <sz val="9"/>
            <color indexed="81"/>
            <rFont val="Tahoma"/>
            <family val="2"/>
          </rPr>
          <t>The individual recognizes their problem areas and wants to overcome them but relevant behavioral changes are not yet observable.</t>
        </r>
        <r>
          <rPr>
            <b/>
            <sz val="9"/>
            <color indexed="81"/>
            <rFont val="Tahoma"/>
            <family val="2"/>
          </rPr>
          <t xml:space="preserve">
Preparation Stage: </t>
        </r>
        <r>
          <rPr>
            <sz val="9"/>
            <color indexed="81"/>
            <rFont val="Tahoma"/>
            <family val="2"/>
          </rPr>
          <t>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 </t>
        </r>
        <r>
          <rPr>
            <sz val="9"/>
            <color indexed="81"/>
            <rFont val="Tahoma"/>
            <family val="2"/>
          </rPr>
          <t xml:space="preserve">The individual does not resort to over- or under-controlling his or her emotions and employs relevant strategies to manage emotions effectively. These positive changes have been stable over an extended period of time and have withstood challenges across a variety of relevant situations, that is, high-risk situations related to the individual's problem behavior(s).
</t>
        </r>
      </text>
    </comment>
    <comment ref="C5" authorId="0">
      <text>
        <r>
          <rPr>
            <b/>
            <sz val="9"/>
            <color indexed="81"/>
            <rFont val="Tahoma"/>
            <family val="2"/>
          </rPr>
          <t>Precontemplation Stage:</t>
        </r>
        <r>
          <rPr>
            <sz val="9"/>
            <color indexed="81"/>
            <rFont val="Tahoma"/>
            <family val="2"/>
          </rPr>
          <t xml:space="preserve"> The individual has no awareness of the problems and demonstrates no intention to change in the near future. The individual demonstrates no awareness of the link between the inability to manage emotions and sexual violence. The individual may attempt to justify or externalize the causes of poor emotional control.</t>
        </r>
        <r>
          <rPr>
            <b/>
            <sz val="9"/>
            <color indexed="81"/>
            <rFont val="Tahoma"/>
            <family val="2"/>
          </rPr>
          <t xml:space="preserve">
Contemplation Stage:</t>
        </r>
        <r>
          <rPr>
            <sz val="9"/>
            <color indexed="81"/>
            <rFont val="Tahoma"/>
            <family val="2"/>
          </rPr>
          <t xml:space="preserve"> The individual recognizes their problem areas and wants to overcome them but relevant behavioral changes are not yet observable.</t>
        </r>
        <r>
          <rPr>
            <b/>
            <sz val="9"/>
            <color indexed="81"/>
            <rFont val="Tahoma"/>
            <family val="2"/>
          </rPr>
          <t xml:space="preserve">
</t>
        </r>
        <r>
          <rPr>
            <sz val="9"/>
            <color indexed="81"/>
            <rFont val="Tahoma"/>
            <family val="2"/>
          </rPr>
          <t xml:space="preserve">
</t>
        </r>
        <r>
          <rPr>
            <b/>
            <sz val="9"/>
            <color indexed="81"/>
            <rFont val="Tahoma"/>
            <family val="2"/>
          </rPr>
          <t>Preparation Stage:</t>
        </r>
        <r>
          <rPr>
            <sz val="9"/>
            <color indexed="81"/>
            <rFont val="Tahoma"/>
            <family val="2"/>
          </rPr>
          <t xml:space="preserve"> The individual recognizes his/her problems and has made observable efforts at overcoming them. There are appropriate behavior changes, however these may be relatively recent and/or tend not to be consistent over time; lapses may be quite frequent.</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 </t>
        </r>
        <r>
          <rPr>
            <sz val="9"/>
            <color indexed="81"/>
            <rFont val="Tahoma"/>
            <family val="2"/>
          </rPr>
          <t xml:space="preserve">The individual does not resort to over- or under-controlling his or her emotions and employs relevant strategies to manage emotions effectively. These positive changes have been stable over an extended period of time and have withstood challenges across a variety of relevant situations, that is, high-risk situations related to the individual's problem behavior(s).
</t>
        </r>
      </text>
    </comment>
    <comment ref="D6" authorId="0">
      <text>
        <r>
          <rPr>
            <sz val="9"/>
            <color indexed="81"/>
            <rFont val="Tahoma"/>
            <family val="2"/>
          </rPr>
          <t>Omitted Pre-treatment factors could be completed as a post-treatment rating if information not present at the time of the Pre-Treatment assessment is now available.</t>
        </r>
      </text>
    </comment>
  </commentList>
</comments>
</file>

<file path=xl/comments9.xml><?xml version="1.0" encoding="utf-8"?>
<comments xmlns="http://schemas.openxmlformats.org/spreadsheetml/2006/main">
  <authors>
    <author>Mundt, James C</author>
  </authors>
  <commentList>
    <comment ref="A5" authorId="0">
      <text>
        <r>
          <rPr>
            <sz val="9"/>
            <color indexed="81"/>
            <rFont val="Tahoma"/>
            <family val="2"/>
          </rPr>
          <t>0 Rating
There is no relationship between lack of insight and sexual offending or the individual now demonstrates a good understanding of what precipitated past sexual offending. Insight can be evidenced by the ability to identify relevant factors that precipitated and maintained his or her sexual offending; a willingness to disclose, examine and accept responsibility for sexual offending; and a willingness to address these areas. The individual does not attempt to externalize blame or justify his or her offending behaviours. For the mentally ill or cognitively impaired, the rater should assess how well the individual understands the precipitating factors that culminated in sexual violence within the limits of his or her cognitive ability.
1 Rating
Less positive than 0.
2 Rating
Less serious than 3.
3 Rating
There is no insight into the precipitating factors of sexual offending as evidenced by the denial of responsibility, blaming others or the system, avoiding discussing details of the offense, and/or refusing to address sexual offending through recommended interventions. A rating of 3 is given if the individual claims to have no memory of the offense and declines to use other relevant life situations or examples to understand the precipitants of sexual offending. If the individual maintains that the sexual offense is an isolated event and, that therefore, it is not possible to understand the precipitants of the offence, a rating of 3 is given.
OMIT  Insufficient information to rate this item pre-treatment.</t>
        </r>
      </text>
    </comment>
    <comment ref="B5" authorId="0">
      <text>
        <r>
          <rPr>
            <b/>
            <sz val="9"/>
            <color indexed="81"/>
            <rFont val="Tahoma"/>
            <family val="2"/>
          </rPr>
          <t xml:space="preserve">Precontemplation Stage: </t>
        </r>
        <r>
          <rPr>
            <sz val="9"/>
            <color indexed="81"/>
            <rFont val="Tahoma"/>
            <family val="2"/>
          </rPr>
          <t>The individual has no awareness of the problems and demonstrates no intention to change in the near future. The individual has no insight and demonstrates no intention to try to gain insight. The individual is unable to identify the relationship between thoughts, feelings, and behaviors that have culminated in sexual offending. Rather than accepting responsibility for his or her actions, the individual has a tendency to justify or minimize his or her use of sexual offending.</t>
        </r>
        <r>
          <rPr>
            <b/>
            <sz val="9"/>
            <color indexed="81"/>
            <rFont val="Tahoma"/>
            <family val="2"/>
          </rPr>
          <t xml:space="preserve">
Contemplation Stage: </t>
        </r>
        <r>
          <rPr>
            <sz val="9"/>
            <color indexed="81"/>
            <rFont val="Tahoma"/>
            <family val="2"/>
          </rPr>
          <t>The individual is aware of his/her problem areas and may have begun to identify specific thoughts, feelings, behaviors, and triggers associated with sexual offending but relevant behavioral changes are not yet observable.</t>
        </r>
        <r>
          <rPr>
            <b/>
            <sz val="9"/>
            <color indexed="81"/>
            <rFont val="Tahoma"/>
            <family val="2"/>
          </rPr>
          <t xml:space="preserve">
Preparation Stage: </t>
        </r>
        <r>
          <rPr>
            <sz val="9"/>
            <color indexed="81"/>
            <rFont val="Tahoma"/>
            <family val="2"/>
          </rPr>
          <t>The individual recognizes his/her problem areas and has begun to identify specific factors (e.g., thoughts, feelings, behaviors, triggers) associated with sexual violence. There are appropriate changes, however these may be relatively recent and/or tend not to be consistent over time; lapses may be quite frequent (e.g., attempting to justify or minimize the use of sexual violence or aggression).</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 </t>
        </r>
        <r>
          <rPr>
            <sz val="9"/>
            <color indexed="81"/>
            <rFont val="Tahoma"/>
            <family val="2"/>
          </rPr>
          <t xml:space="preserve">The individual now has good insight into the cause of past sexual offending. The individual can identify specific factors (e.g., thoughts, feelings, behaviors, triggers) associated with sexual offending, recognize high-risk areas, and successfully manage risk-related cognitions when they occur. These positive changes have been stable over an extended period of time and have withstood challenges across a variety of relevant situations, that is, high-risk situations related to the individual's problem behavior(s).
</t>
        </r>
      </text>
    </comment>
    <comment ref="C5" authorId="0">
      <text>
        <r>
          <rPr>
            <b/>
            <sz val="9"/>
            <color indexed="81"/>
            <rFont val="Tahoma"/>
            <family val="2"/>
          </rPr>
          <t xml:space="preserve">Precontemplation Stage: </t>
        </r>
        <r>
          <rPr>
            <sz val="9"/>
            <color indexed="81"/>
            <rFont val="Tahoma"/>
            <family val="2"/>
          </rPr>
          <t>The individual has no awareness of the problems and demonstrates no intention to change in the near future. The individual has no insight and demonstrates no intention to try to gain insight. The individual is unable to identify the relationship between thoughts, feelings, and behaviors that have culminated in sexual offending. Rather than accepting responsibility for his or her actions, the individual has a tendency to justify or minimize his or her use of sexual offending.</t>
        </r>
        <r>
          <rPr>
            <b/>
            <sz val="9"/>
            <color indexed="81"/>
            <rFont val="Tahoma"/>
            <family val="2"/>
          </rPr>
          <t xml:space="preserve">
Contemplation Stage: </t>
        </r>
        <r>
          <rPr>
            <sz val="9"/>
            <color indexed="81"/>
            <rFont val="Tahoma"/>
            <family val="2"/>
          </rPr>
          <t>The individual is aware of his/her problem areas and may have begun to identify specific thoughts, feelings, behaviors, and triggers associated with sexual offending but relevant behavioral changes are not yet observable.</t>
        </r>
        <r>
          <rPr>
            <b/>
            <sz val="9"/>
            <color indexed="81"/>
            <rFont val="Tahoma"/>
            <family val="2"/>
          </rPr>
          <t xml:space="preserve">
Preparation Stage:</t>
        </r>
        <r>
          <rPr>
            <sz val="9"/>
            <color indexed="81"/>
            <rFont val="Tahoma"/>
            <family val="2"/>
          </rPr>
          <t xml:space="preserve"> The individual recognizes his/her problem areas and has begun to identify specific factors (e.g., thoughts, feelings, behaviors, triggers) associated with sexual violence. There are appropriate changes, however these may be relatively recent and/or tend not to be consistent over time; lapses may be quite frequent (e.g., attempting to justify or minimize the use of sexual violence or aggression).
</t>
        </r>
        <r>
          <rPr>
            <b/>
            <sz val="9"/>
            <color indexed="81"/>
            <rFont val="Tahoma"/>
            <family val="2"/>
          </rPr>
          <t xml:space="preserve">
Action Stage: </t>
        </r>
        <r>
          <rPr>
            <sz val="9"/>
            <color indexed="81"/>
            <rFont val="Tahoma"/>
            <family val="2"/>
          </rPr>
          <t>The individual has many of the characteristics described in the maintenance stage and although these characteristics have been sufficiently stable over an extended period of time, they have not yet been adequately demonstrated across relevant high-risk situations.</t>
        </r>
        <r>
          <rPr>
            <b/>
            <sz val="9"/>
            <color indexed="81"/>
            <rFont val="Tahoma"/>
            <family val="2"/>
          </rPr>
          <t xml:space="preserve">
Maintenance Stage: </t>
        </r>
        <r>
          <rPr>
            <sz val="9"/>
            <color indexed="81"/>
            <rFont val="Tahoma"/>
            <family val="2"/>
          </rPr>
          <t xml:space="preserve">The individual now has good insight into the cause of past sexual offending. The individual can identify specific factors (e.g., thoughts, feelings, behaviors, triggers) associated with sexual offending, recognize high-risk areas, and successfully manage risk-related cognitions when they occur. These positive changes have been stable over an extended period of time and have withstood challenges across a variety of relevant situations, that is, high-risk situations related to the individual's problem behavior(s).
</t>
        </r>
      </text>
    </comment>
    <comment ref="D6" authorId="0">
      <text>
        <r>
          <rPr>
            <sz val="9"/>
            <color indexed="81"/>
            <rFont val="Tahoma"/>
            <family val="2"/>
          </rPr>
          <t>Omitted Pre-treatment factors could be completed as a post-treatment rating if information not present at the time of the Pre-Treatment assessment is now available.</t>
        </r>
      </text>
    </comment>
  </commentList>
</comments>
</file>

<file path=xl/sharedStrings.xml><?xml version="1.0" encoding="utf-8"?>
<sst xmlns="http://schemas.openxmlformats.org/spreadsheetml/2006/main" count="916" uniqueCount="496">
  <si>
    <t>Scores</t>
  </si>
  <si>
    <t>SoC</t>
  </si>
  <si>
    <t>Pre-Contemplative</t>
  </si>
  <si>
    <t>Contemplative</t>
  </si>
  <si>
    <t>Preparation</t>
  </si>
  <si>
    <t>Action</t>
  </si>
  <si>
    <t>Maintenance</t>
  </si>
  <si>
    <t>Pre-Treatment</t>
  </si>
  <si>
    <t>Post-Treatment</t>
  </si>
  <si>
    <t>S1</t>
  </si>
  <si>
    <t>S2</t>
  </si>
  <si>
    <t>S3</t>
  </si>
  <si>
    <t>S4</t>
  </si>
  <si>
    <t>S5</t>
  </si>
  <si>
    <t>S6</t>
  </si>
  <si>
    <t>S7</t>
  </si>
  <si>
    <t>25 to 34 years</t>
  </si>
  <si>
    <t>Under 25 years</t>
  </si>
  <si>
    <t>35 to 44 years</t>
  </si>
  <si>
    <t>45 years or older</t>
  </si>
  <si>
    <t>Under 20 years</t>
  </si>
  <si>
    <t>20 to 24 years</t>
  </si>
  <si>
    <t>35 years of older</t>
  </si>
  <si>
    <t>Mixed (both adult and child victims)</t>
  </si>
  <si>
    <t>Child molester (child victims only)</t>
  </si>
  <si>
    <t>Rapist (adult victims only)</t>
  </si>
  <si>
    <t>Incest (related victims predominately)</t>
  </si>
  <si>
    <t>4 or more prior arrests/charges/convictions for a sexual offense</t>
  </si>
  <si>
    <t>2 or 3 prior arrests/charges/convictions for a sexual offense</t>
  </si>
  <si>
    <t xml:space="preserve"> 1 prior arrest/charge/conviction for a sexual offense</t>
  </si>
  <si>
    <t>No prior arrests/charges/convictions for a sexual offense</t>
  </si>
  <si>
    <t>4 or more unrelated victims</t>
  </si>
  <si>
    <t>2 or 3 unrelated victims</t>
  </si>
  <si>
    <t>1 unrelated victim</t>
  </si>
  <si>
    <t>No unrelated victims</t>
  </si>
  <si>
    <t>2 or more male victims and any number of female victims</t>
  </si>
  <si>
    <r>
      <t xml:space="preserve">2 or more female victims </t>
    </r>
    <r>
      <rPr>
        <b/>
        <i/>
        <sz val="12"/>
        <color theme="1"/>
        <rFont val="Arial"/>
        <family val="2"/>
      </rPr>
      <t>OR</t>
    </r>
    <r>
      <rPr>
        <sz val="12"/>
        <color theme="1"/>
        <rFont val="Arial"/>
        <family val="2"/>
      </rPr>
      <t xml:space="preserve"> 1 female victim and 1 male victim</t>
    </r>
  </si>
  <si>
    <t>1 male victim only</t>
  </si>
  <si>
    <t>1 female victim only</t>
  </si>
  <si>
    <t>11 or more prior sentencing occasions</t>
  </si>
  <si>
    <t>5 to 10 prior sentencing occasions</t>
  </si>
  <si>
    <t>2 to 4 prior sentencing occasions</t>
  </si>
  <si>
    <t>0 or 1 prior sentencing occasions</t>
  </si>
  <si>
    <t>Prior Sexual Offenses</t>
  </si>
  <si>
    <t>Unrelated Victims</t>
  </si>
  <si>
    <t>Prior Sentencing Dates</t>
  </si>
  <si>
    <t>SCORE</t>
  </si>
  <si>
    <t>VRS-SO Scoring Page</t>
  </si>
  <si>
    <t>D1</t>
  </si>
  <si>
    <t>D1 Sexually Deviant Lifestyle</t>
  </si>
  <si>
    <t>Enter Evidence for Pre-treatment score and Stage of Change below.</t>
  </si>
  <si>
    <t>Stage of Change</t>
  </si>
  <si>
    <t>D2 Sexual Compulsivity</t>
  </si>
  <si>
    <t>Enter Evidence for Post-treatment score and Stage of Change below.</t>
  </si>
  <si>
    <t xml:space="preserve">D2 Sexual Compulsivity </t>
  </si>
  <si>
    <t>D3 Offence Planning</t>
  </si>
  <si>
    <t>D4 Criminal Personality</t>
  </si>
  <si>
    <t>D5 Cognitive Distortions</t>
  </si>
  <si>
    <t>D6 Interpersonal Aggression</t>
  </si>
  <si>
    <t>D7 Emotional Control</t>
  </si>
  <si>
    <t>D8 Insight</t>
  </si>
  <si>
    <t>D9 Substance Abuse</t>
  </si>
  <si>
    <t>D10 Community Support</t>
  </si>
  <si>
    <t>D11 Released to High-Risk Situations</t>
  </si>
  <si>
    <t>D12 Sexual Offending Cycle</t>
  </si>
  <si>
    <t>D13 Impulsivity</t>
  </si>
  <si>
    <t>D14 Compliance with Community Supervision</t>
  </si>
  <si>
    <t>D15 Treatment Compliance</t>
  </si>
  <si>
    <t>D16 Deviant Sexual Preference</t>
  </si>
  <si>
    <t>D17 Intimacy Deficits</t>
  </si>
  <si>
    <t>Client Name:</t>
  </si>
  <si>
    <t>Client #:</t>
  </si>
  <si>
    <t>Pre-Treatment Rater:</t>
  </si>
  <si>
    <t>Pre-Treatment Date (MM/DD/YYYY):</t>
  </si>
  <si>
    <t>Post-Treatment Rater:</t>
  </si>
  <si>
    <t>Post-Treatment Date (MM/DD/YYYY):</t>
  </si>
  <si>
    <t>Release Date (MM/DD/YYYY):</t>
  </si>
  <si>
    <t>Client DOB (MM/DD/YYYY):</t>
  </si>
  <si>
    <t>Date of first sexual offense (MM/DD/YYYY):</t>
  </si>
  <si>
    <t>Sex Offender Type (check one):</t>
  </si>
  <si>
    <t>(# of prior arrests/charges/convictions for sexual offense)</t>
  </si>
  <si>
    <t>Number of Unrelated Victims:</t>
  </si>
  <si>
    <t>Number of Male Victims:</t>
  </si>
  <si>
    <t>Number of Female Victims:</t>
  </si>
  <si>
    <t>Number of Prior Sentencing Dates:</t>
  </si>
  <si>
    <t>Dates</t>
  </si>
  <si>
    <t>Check Boxes</t>
  </si>
  <si>
    <t>OMITS</t>
  </si>
  <si>
    <t>Total</t>
  </si>
  <si>
    <t>OMIT Reason</t>
  </si>
  <si>
    <t>Not Applicable</t>
  </si>
  <si>
    <t>Lack Information</t>
  </si>
  <si>
    <t>OMIT (NA)</t>
  </si>
  <si>
    <t>OMIT (Info)</t>
  </si>
  <si>
    <t>D3 Offense Planning</t>
  </si>
  <si>
    <t>D2</t>
  </si>
  <si>
    <t>D3</t>
  </si>
  <si>
    <t>D4</t>
  </si>
  <si>
    <t>D5</t>
  </si>
  <si>
    <t>D6</t>
  </si>
  <si>
    <t>D7</t>
  </si>
  <si>
    <t>D8</t>
  </si>
  <si>
    <t>D9</t>
  </si>
  <si>
    <t>D10</t>
  </si>
  <si>
    <t>D11</t>
  </si>
  <si>
    <t>D12</t>
  </si>
  <si>
    <t>D13</t>
  </si>
  <si>
    <t>D14</t>
  </si>
  <si>
    <t>D15</t>
  </si>
  <si>
    <t>D16</t>
  </si>
  <si>
    <t>D17</t>
  </si>
  <si>
    <t>Age at Release</t>
  </si>
  <si>
    <t>Age at 1st Offense</t>
  </si>
  <si>
    <t>Number/Gender of Victims</t>
  </si>
  <si>
    <t>Sexually Deviant Lifestyle</t>
  </si>
  <si>
    <t>Offense Planning</t>
  </si>
  <si>
    <t>Criminal Personality</t>
  </si>
  <si>
    <t>Cognitive Distortions</t>
  </si>
  <si>
    <t>Interpersonal Aggression</t>
  </si>
  <si>
    <t>Emotional Control</t>
  </si>
  <si>
    <t>Insight</t>
  </si>
  <si>
    <t>Substance Abuse</t>
  </si>
  <si>
    <t xml:space="preserve">Sexual Offending Cycle </t>
  </si>
  <si>
    <t>Implusivity</t>
  </si>
  <si>
    <t>Compliance with Community Supervision</t>
  </si>
  <si>
    <t>Treatment Compliance</t>
  </si>
  <si>
    <t>Deviant Sexual Preference</t>
  </si>
  <si>
    <t>Intimacy Deficits</t>
  </si>
  <si>
    <t>F1</t>
  </si>
  <si>
    <t>F2</t>
  </si>
  <si>
    <t>F3</t>
  </si>
  <si>
    <t>TOTAL STATIC</t>
  </si>
  <si>
    <t>TOTAL DYNAMIC</t>
  </si>
  <si>
    <t>VRS-SO Static</t>
  </si>
  <si>
    <t>VRS-SO Dynamic</t>
  </si>
  <si>
    <t>Summary Report</t>
  </si>
  <si>
    <t>Clinical Override</t>
  </si>
  <si>
    <t>YES</t>
  </si>
  <si>
    <t>NO</t>
  </si>
  <si>
    <t>Item Score</t>
  </si>
  <si>
    <t>VRS-SO Static Items</t>
  </si>
  <si>
    <t>VRS-SO Dynamic Items</t>
  </si>
  <si>
    <t>Error with DOBs</t>
  </si>
  <si>
    <t>VRS SO Static Scoring</t>
  </si>
  <si>
    <t>VRS-SO STATIC Scoring</t>
  </si>
  <si>
    <t xml:space="preserve">Date:  </t>
  </si>
  <si>
    <t xml:space="preserve">Client Name:  </t>
  </si>
  <si>
    <t xml:space="preserve">Client  #:  </t>
  </si>
  <si>
    <t xml:space="preserve">Pre-Tx Rater:  </t>
  </si>
  <si>
    <t xml:space="preserve">Post-Tx Rater:  </t>
  </si>
  <si>
    <t xml:space="preserve">Pre-TX Rating Date:  </t>
  </si>
  <si>
    <t xml:space="preserve">Post-TX Rating Date:  </t>
  </si>
  <si>
    <t>VRS-SO Static Factors</t>
  </si>
  <si>
    <t>Sexual Compulsivity</t>
  </si>
  <si>
    <t>Community Support</t>
  </si>
  <si>
    <t>Sexual Offending Cycle</t>
  </si>
  <si>
    <t>Impulsivity</t>
  </si>
  <si>
    <t>Release to High Risk Situations</t>
  </si>
  <si>
    <t>VRS-SO Pre-Tx Dynamic Factors and Scores</t>
  </si>
  <si>
    <t>Score</t>
  </si>
  <si>
    <t>VRS-SO Post-Tx Dynamic Factors and Scores</t>
  </si>
  <si>
    <t>Δ</t>
  </si>
  <si>
    <t xml:space="preserve">Clinical Override?  </t>
  </si>
  <si>
    <r>
      <t xml:space="preserve">VRS-SO Score Sheet                                              </t>
    </r>
    <r>
      <rPr>
        <sz val="11"/>
        <color theme="1"/>
        <rFont val="Arial"/>
        <family val="2"/>
      </rPr>
      <t xml:space="preserve">  Page 1</t>
    </r>
  </si>
  <si>
    <r>
      <t xml:space="preserve">VRS-SO Score Sheet                                              </t>
    </r>
    <r>
      <rPr>
        <sz val="11"/>
        <color theme="1"/>
        <rFont val="Arial"/>
        <family val="2"/>
      </rPr>
      <t xml:space="preserve">  Page 2</t>
    </r>
  </si>
  <si>
    <t xml:space="preserve">Dynamic factors: </t>
  </si>
  <si>
    <t>F2 =&gt; Criminality</t>
  </si>
  <si>
    <t xml:space="preserve">F1 =&gt; Sexual Deviancy </t>
  </si>
  <si>
    <t>F3 =&gt; Treatment Responsivity</t>
  </si>
  <si>
    <t>ClntNam</t>
  </si>
  <si>
    <t>Client Name</t>
  </si>
  <si>
    <t>Text</t>
  </si>
  <si>
    <t>ClntNum</t>
  </si>
  <si>
    <t>Client Number</t>
  </si>
  <si>
    <t>General</t>
  </si>
  <si>
    <t>PreTxRtr</t>
  </si>
  <si>
    <t>PreTxDat</t>
  </si>
  <si>
    <t>PstTxRtr</t>
  </si>
  <si>
    <t>PstTxDat</t>
  </si>
  <si>
    <t>Pre-treatment Rater</t>
  </si>
  <si>
    <t>Pre-treatment Date</t>
  </si>
  <si>
    <t>Post-treatment Rater</t>
  </si>
  <si>
    <t>Post-treatment Date</t>
  </si>
  <si>
    <t>Date</t>
  </si>
  <si>
    <t>ClntDOB</t>
  </si>
  <si>
    <t>Client DOB</t>
  </si>
  <si>
    <t>PreS1_RelAge</t>
  </si>
  <si>
    <t>PreS2_1st OffAge</t>
  </si>
  <si>
    <t>PreS3_SOT</t>
  </si>
  <si>
    <t>PreS4_PriorSOs</t>
  </si>
  <si>
    <t>PreS5_UnrelVics</t>
  </si>
  <si>
    <t>PreS6_NumGenVics</t>
  </si>
  <si>
    <t>PreS7_PriorSent</t>
  </si>
  <si>
    <t>PstS1_RelAge</t>
  </si>
  <si>
    <t>PstS2_1st OffAge</t>
  </si>
  <si>
    <t>PstS3_SOT</t>
  </si>
  <si>
    <t>PstS4_PriorSOs</t>
  </si>
  <si>
    <t>PstS5_UnrelVics</t>
  </si>
  <si>
    <t>PstS6_NumGenVics</t>
  </si>
  <si>
    <t>PstS7_PriorSent</t>
  </si>
  <si>
    <t>Pre-treatment S1 score Age at Release</t>
  </si>
  <si>
    <t>Pre-treatment S2 score Age at 1st Offense</t>
  </si>
  <si>
    <t>Pre-treatment S3 score Sex Offender Type</t>
  </si>
  <si>
    <t>Pre-treatment S4 score Prior Sex Offenses</t>
  </si>
  <si>
    <t>Pre-treatment S5 score Number unrelated victims</t>
  </si>
  <si>
    <t>Pre-treatment S6 score Number/Gender victims</t>
  </si>
  <si>
    <t>Pre-treatment S7 score Prior Sentencing Dats</t>
  </si>
  <si>
    <t>NAME</t>
  </si>
  <si>
    <t>Description</t>
  </si>
  <si>
    <t>Type/Values</t>
  </si>
  <si>
    <t>Pst-treatment S1 score Age at Release</t>
  </si>
  <si>
    <t>Pst-treatment S2 score Age at 1st Offense</t>
  </si>
  <si>
    <t>Pst-treatment S3 score Sex Offender Type</t>
  </si>
  <si>
    <t>Pst-treatment S4 score Prior Sex Offenses</t>
  </si>
  <si>
    <t>Pst-treatment S5 score Number unrelated victims</t>
  </si>
  <si>
    <t>Pst-treatment S6 score Number/Gender victims</t>
  </si>
  <si>
    <t>Pst-treatment S7 score Prior Sentencing Dats</t>
  </si>
  <si>
    <t>3) 4-4+ prior arrests/charges/convictions for a sexual offense
2) 2-3 prior arrests/charges/convictions for a sexual offense
1) 1 prior arrests/charge/conviction for a sexual offense
0) No prior arrests/charges/convictions for a sexual offense</t>
  </si>
  <si>
    <t>3) 4 or more unrelated victims
2) 2-3 unrelated victims
1) 1 unrelated victim
0) No unrelated victims (related victims only)</t>
  </si>
  <si>
    <t>3) 2 or more male victims &amp; any number of female victims
2) 2 or more female victims or 1 female and 1 male victim
1) 1 male victim only
0) 1 female victim only</t>
  </si>
  <si>
    <t>3) 11 or more prior sentencing occasions
2) 5-10 prior sentencing occasions
1) 2-4 prior sentencing occasions
0) 0-1 Prior sentencing occasions</t>
  </si>
  <si>
    <t>3) Under 25 years
2) 25 to 34 years
1) 35 to 44 years
0) 45 years or older</t>
  </si>
  <si>
    <t>3) Under 20 years
2) 20 to 24 years
1) 25 to 34 years
0) 35 years or older</t>
  </si>
  <si>
    <t>3) Mixed (both adult and child victims)
2) Child molester (child victims only)
1) Rapist (adult victims only)
0) Incest (related victims predominantly)</t>
  </si>
  <si>
    <t>PreStatic_Omits</t>
  </si>
  <si>
    <t>Pre_treatment static scores Omitted</t>
  </si>
  <si>
    <t>Number</t>
  </si>
  <si>
    <t>PstStatic_Omits</t>
  </si>
  <si>
    <t>Post_treatment static scores Omitted</t>
  </si>
  <si>
    <t>0, 1, 2, 3.  Missing or Omit = ""</t>
  </si>
  <si>
    <t>D1 change score</t>
  </si>
  <si>
    <t>PreD1_DSL - change:  Missing or Omit = ""</t>
  </si>
  <si>
    <t xml:space="preserve"> -1) Pre-contemplative
  0) Contemplative
  1) Preparation
  2) Action
  3) Maintanence
"  ") Missing or Omit</t>
  </si>
  <si>
    <t>D2 change score</t>
  </si>
  <si>
    <t>PreD2_SC_scr</t>
  </si>
  <si>
    <t>Pre-Tx SC score</t>
  </si>
  <si>
    <t>PreD2_SC_SoC</t>
  </si>
  <si>
    <t>Pre-Tx SC Stage of Change</t>
  </si>
  <si>
    <t>PstD2_SC_SoC</t>
  </si>
  <si>
    <t>Pst-Tx SC Stage of Change</t>
  </si>
  <si>
    <t>PstD2_SC_scr</t>
  </si>
  <si>
    <t>Pst-Tx SC score</t>
  </si>
  <si>
    <t>PreD2_SC - change:  Missing or Omit = ""</t>
  </si>
  <si>
    <t>PrePstD2_SC_chng</t>
  </si>
  <si>
    <t>Pre to Post score change for D2 SC</t>
  </si>
  <si>
    <t>PreD1_SDL_scr</t>
  </si>
  <si>
    <t>Pre-Tx SDL score</t>
  </si>
  <si>
    <t>PreD1_SDL_SoC</t>
  </si>
  <si>
    <t>Pre-Tx SDL Stage of Change</t>
  </si>
  <si>
    <t>PstD1_SDL_SoC</t>
  </si>
  <si>
    <t>Pst-Tx SDL Stage of Change</t>
  </si>
  <si>
    <t>PstD1_SDL_scr</t>
  </si>
  <si>
    <t>Pst-Tx SDL score</t>
  </si>
  <si>
    <t>PrePstD1_SDL_chng</t>
  </si>
  <si>
    <t>Pre to Post score change for D1 SDL</t>
  </si>
  <si>
    <t>PreD3_SC - change:  Missing or Omit = ""</t>
  </si>
  <si>
    <t>Pre to Post score change for D3 SC</t>
  </si>
  <si>
    <t>D3 change score</t>
  </si>
  <si>
    <t>Pre-Tx OP score</t>
  </si>
  <si>
    <t>Pre-Tx OP Stage of Change</t>
  </si>
  <si>
    <t>Pst-Tx OP Stage of Change</t>
  </si>
  <si>
    <t>Pst-Tx OP score</t>
  </si>
  <si>
    <t>PreD3_OP_ scr</t>
  </si>
  <si>
    <t>PreD3_OP_ SoC</t>
  </si>
  <si>
    <t>PstD3_OP_ SoC</t>
  </si>
  <si>
    <t>PstD3_OP_ scr</t>
  </si>
  <si>
    <t>PrePstD3_OP_ chng</t>
  </si>
  <si>
    <t>Pre-Tx D4 score</t>
  </si>
  <si>
    <t>Pre-Tx D4 Stage of Change</t>
  </si>
  <si>
    <t>Pst-Tx D4 Stage of Change</t>
  </si>
  <si>
    <t>PrePstD4_ chng</t>
  </si>
  <si>
    <t>Pst-Tx D4 score</t>
  </si>
  <si>
    <t xml:space="preserve">Pre to Post score change for D3 </t>
  </si>
  <si>
    <t>D4 change score</t>
  </si>
  <si>
    <t>Pre-Tx D5 score</t>
  </si>
  <si>
    <t>Pre-Tx D5 Stage of Change</t>
  </si>
  <si>
    <t>Pst-Tx D5 Stage of Change</t>
  </si>
  <si>
    <t>Pst-Tx D5 score</t>
  </si>
  <si>
    <t>D5 change score</t>
  </si>
  <si>
    <t>PreD5_SC - change:  Missing or Omit = ""</t>
  </si>
  <si>
    <t>Pre-Tx D6 score</t>
  </si>
  <si>
    <t>Pre-Tx D6 Stage of Change</t>
  </si>
  <si>
    <t>Pst-Tx D6 Stage of Change</t>
  </si>
  <si>
    <t>Pst-Tx D6 score</t>
  </si>
  <si>
    <t>D6 change score</t>
  </si>
  <si>
    <t xml:space="preserve">Pre to Post score change for D5 </t>
  </si>
  <si>
    <t xml:space="preserve">Pre to Post score change for D6 </t>
  </si>
  <si>
    <t>PreD6_SC - change:  Missing or Omit = ""</t>
  </si>
  <si>
    <t>PreD4_SC - change:  Missing or Omit = ""</t>
  </si>
  <si>
    <t xml:space="preserve">Pre to Post score change for D4 </t>
  </si>
  <si>
    <t>Pre-Tx D7 score</t>
  </si>
  <si>
    <t>Pre-Tx D7 Stage of Change</t>
  </si>
  <si>
    <t>Pst-Tx D7 Stage of Change</t>
  </si>
  <si>
    <t>Pst-Tx D7 score</t>
  </si>
  <si>
    <t>PreD7_SC - change:  Missing or Omit = ""</t>
  </si>
  <si>
    <t xml:space="preserve">Pre to Post score change for D7 </t>
  </si>
  <si>
    <t>D7 change score</t>
  </si>
  <si>
    <t>Pre-Tx D8 score</t>
  </si>
  <si>
    <t>Pre-Tx D8 Stage of Change</t>
  </si>
  <si>
    <t>Pst-Tx D8 Stage of Change</t>
  </si>
  <si>
    <t>Pst-Tx D8 score</t>
  </si>
  <si>
    <t>PreD8_SC - change:  Missing or Omit = ""</t>
  </si>
  <si>
    <t xml:space="preserve">Pre to Post score change for D8 </t>
  </si>
  <si>
    <t>D8 change score</t>
  </si>
  <si>
    <t>Pre-Tx D9 score</t>
  </si>
  <si>
    <t>Pre-Tx D9 Stage of Change</t>
  </si>
  <si>
    <t>Pst-Tx D9 Stage of Change</t>
  </si>
  <si>
    <t>Pst-Tx D9 score</t>
  </si>
  <si>
    <t>PreD9_SC - change:  Missing or Omit = ""</t>
  </si>
  <si>
    <t xml:space="preserve">Pre to Post score change for D9 </t>
  </si>
  <si>
    <t>D9 change score</t>
  </si>
  <si>
    <t>Pre-Tx D10 score</t>
  </si>
  <si>
    <t>Pre-Tx D10 Stage of Change</t>
  </si>
  <si>
    <t>Pst-Tx D10 Stage of Change</t>
  </si>
  <si>
    <t>Pst-Tx D10 score</t>
  </si>
  <si>
    <t>PreD10_SC - change:  Missing or Omit = ""</t>
  </si>
  <si>
    <t xml:space="preserve">Pre to Post score change for D10 </t>
  </si>
  <si>
    <t>D10 change score</t>
  </si>
  <si>
    <t>Pre-Tx D11 score</t>
  </si>
  <si>
    <t>Pre-Tx D11 Stage of Change</t>
  </si>
  <si>
    <t>Pst-Tx D11 Stage of Change</t>
  </si>
  <si>
    <t>Pst-Tx D11 score</t>
  </si>
  <si>
    <t>PreD11_SC - change:  Missing or Omit = ""</t>
  </si>
  <si>
    <t xml:space="preserve">Pre to Post score change for D11 </t>
  </si>
  <si>
    <t>D11 change score</t>
  </si>
  <si>
    <t>Pre-Tx D12 score</t>
  </si>
  <si>
    <t>Pre-Tx D12 Stage of Change</t>
  </si>
  <si>
    <t>Pst-Tx D12 Stage of Change</t>
  </si>
  <si>
    <t>Pst-Tx D12 score</t>
  </si>
  <si>
    <t>PreD12_SC - change:  Missing or Omit = ""</t>
  </si>
  <si>
    <t xml:space="preserve">Pre to Post score change for D12 </t>
  </si>
  <si>
    <t>D12 change score</t>
  </si>
  <si>
    <t>Pre-Tx D13 score</t>
  </si>
  <si>
    <t>Pre-Tx D13 Stage of Change</t>
  </si>
  <si>
    <t>Pst-Tx D13 Stage of Change</t>
  </si>
  <si>
    <t>Pst-Tx D13 score</t>
  </si>
  <si>
    <t>PreD13_SC - change:  Missing or Omit = ""</t>
  </si>
  <si>
    <t xml:space="preserve">Pre to Post score change for D13 </t>
  </si>
  <si>
    <t>D13 change score</t>
  </si>
  <si>
    <t>Pre-Tx D14 score</t>
  </si>
  <si>
    <t>Pre-Tx D14 Stage of Change</t>
  </si>
  <si>
    <t>Pst-Tx D14 Stage of Change</t>
  </si>
  <si>
    <t>Pst-Tx D14 score</t>
  </si>
  <si>
    <t>PreD14_SC - change:  Missing or Omit = ""</t>
  </si>
  <si>
    <t xml:space="preserve">Pre to Post score change for D14 </t>
  </si>
  <si>
    <t>D14 change score</t>
  </si>
  <si>
    <t>PreD16_ scr</t>
  </si>
  <si>
    <t>Pre-Tx D16 score</t>
  </si>
  <si>
    <t>Pre-Tx D16 Stage of Change</t>
  </si>
  <si>
    <t>Pst-Tx D16 Stage of Change</t>
  </si>
  <si>
    <t>Pst-Tx D16 score</t>
  </si>
  <si>
    <t>PreD16_SC - change:  Missing or Omit = ""</t>
  </si>
  <si>
    <t xml:space="preserve">Pre to Post score change for D16 </t>
  </si>
  <si>
    <t>D16 change score</t>
  </si>
  <si>
    <t>Pre-Tx D17 score</t>
  </si>
  <si>
    <t>Pre-Tx D17 Stage of Change</t>
  </si>
  <si>
    <t>Pst-Tx D17 Stage of Change</t>
  </si>
  <si>
    <t>Pst-Tx D17 score</t>
  </si>
  <si>
    <t>PreD17_SC - change:  Missing or Omit = ""</t>
  </si>
  <si>
    <t xml:space="preserve">Pre to Post score change for D17 </t>
  </si>
  <si>
    <t>D17 change score</t>
  </si>
  <si>
    <t>Evidence for Ratings</t>
  </si>
  <si>
    <t>Page 3</t>
  </si>
  <si>
    <t>Page 4</t>
  </si>
  <si>
    <t>Page 5</t>
  </si>
  <si>
    <t>Page 6</t>
  </si>
  <si>
    <t>Page 7</t>
  </si>
  <si>
    <t>Page 8</t>
  </si>
  <si>
    <t>Page 9</t>
  </si>
  <si>
    <t>Page 10</t>
  </si>
  <si>
    <t>Page 11</t>
  </si>
  <si>
    <t>VRS-SO Scoring Workbook</t>
  </si>
  <si>
    <t>PreD4_CO_scr</t>
  </si>
  <si>
    <t>PreD4_CP_SoC</t>
  </si>
  <si>
    <t>PstD4_CP_SoC</t>
  </si>
  <si>
    <t>PstD4_CP_scr</t>
  </si>
  <si>
    <t>PreD5_CD_scr</t>
  </si>
  <si>
    <t>PreD5_CD_SoC</t>
  </si>
  <si>
    <t>PstD5_CDSoC</t>
  </si>
  <si>
    <t>PstD5_CD_scr</t>
  </si>
  <si>
    <t>PrePstD5_CD_chng</t>
  </si>
  <si>
    <t>PreD6_IA_scr</t>
  </si>
  <si>
    <t>PreD6_IA_SoC</t>
  </si>
  <si>
    <t>PstD6_IA_SoC</t>
  </si>
  <si>
    <t>PstD6_IA_scr</t>
  </si>
  <si>
    <t>PrePstD6_IA_chng</t>
  </si>
  <si>
    <t>PreD7_EC_scr</t>
  </si>
  <si>
    <t>PreD7_EC_SoC</t>
  </si>
  <si>
    <t>PstD7_EC_SoC</t>
  </si>
  <si>
    <t>PstD7_EC_scr</t>
  </si>
  <si>
    <t>PrePstD7_EC_chng</t>
  </si>
  <si>
    <t>PreD8_In_scr</t>
  </si>
  <si>
    <t>PreD8_In_SoC</t>
  </si>
  <si>
    <t>PstD8_In_SoC</t>
  </si>
  <si>
    <t>PstD8_In_scr</t>
  </si>
  <si>
    <t>PrePstD8_In_chng</t>
  </si>
  <si>
    <t>PreD9_SA_scr</t>
  </si>
  <si>
    <t>PreD9_SA_SoC</t>
  </si>
  <si>
    <t>PstD9_SA_SoC</t>
  </si>
  <si>
    <t>PstD9_SA_scr</t>
  </si>
  <si>
    <t>PrePstD9_SA_chng</t>
  </si>
  <si>
    <t>PreD10_CS_scr</t>
  </si>
  <si>
    <t>PreD10_CS_SoC</t>
  </si>
  <si>
    <t>PstD10_CS_SoC</t>
  </si>
  <si>
    <t>PstD10_CS_scr</t>
  </si>
  <si>
    <t>PrePstD10_CS_chng</t>
  </si>
  <si>
    <t>PreD11_RHRS_scr</t>
  </si>
  <si>
    <t>PreD11_RHRS_SoC</t>
  </si>
  <si>
    <t>PstD11_RHRS_SoC</t>
  </si>
  <si>
    <t>PstD11_RHRS_scr</t>
  </si>
  <si>
    <t>PrePstD11_RHRS_chng</t>
  </si>
  <si>
    <t>PreD12_SOC_scr</t>
  </si>
  <si>
    <t>PreD12_SOC_SoC</t>
  </si>
  <si>
    <t>PstD12_SOC_SoC</t>
  </si>
  <si>
    <t>PstD12_SOC_scr</t>
  </si>
  <si>
    <t>PrePstD12_SOC_chng</t>
  </si>
  <si>
    <t>PreD13_Imp_scr</t>
  </si>
  <si>
    <t>PreD13_Imp_SoC</t>
  </si>
  <si>
    <t>PstD13_Imp_SoC</t>
  </si>
  <si>
    <t>PstD13_Imp_scr</t>
  </si>
  <si>
    <t>PrePstD13_Imp_chng</t>
  </si>
  <si>
    <t>PreD14_CCS_scr</t>
  </si>
  <si>
    <t>PreD14_CCS_SoC</t>
  </si>
  <si>
    <t>PstD14_CCS_SoC</t>
  </si>
  <si>
    <t>PstD14_CCS_scr</t>
  </si>
  <si>
    <t>PrePstD14_CCS_chng</t>
  </si>
  <si>
    <t>D15 change score</t>
  </si>
  <si>
    <t>PreD15_SC - change:  Missing or Omit = ""</t>
  </si>
  <si>
    <t>PreD15_TC_scr</t>
  </si>
  <si>
    <t>PreD15_TC_SoC</t>
  </si>
  <si>
    <t>PstD15_TC_SoC</t>
  </si>
  <si>
    <t>PstD15_TC_scr</t>
  </si>
  <si>
    <t>PrePstD15_TC_chng</t>
  </si>
  <si>
    <t>PreD16_DSP_SoC</t>
  </si>
  <si>
    <t>PstD16_DSP_SoC</t>
  </si>
  <si>
    <t>PstD16_DSP_scr</t>
  </si>
  <si>
    <t>PrePstD16_DSP_chng</t>
  </si>
  <si>
    <t>PreD17_ID_scr</t>
  </si>
  <si>
    <t>PreD17_ID_SoC</t>
  </si>
  <si>
    <t>PstD17_ID_SoC</t>
  </si>
  <si>
    <t>PstD17_ID_scr</t>
  </si>
  <si>
    <t>PrePstD17_ID_chng</t>
  </si>
  <si>
    <t>PreD3_OP_SoC</t>
  </si>
  <si>
    <t>PstD3_OP_SoC</t>
  </si>
  <si>
    <t>PstD3_OP_scr</t>
  </si>
  <si>
    <t>PrePstD3_OP_chng</t>
  </si>
  <si>
    <t>PreD4_CP_scr</t>
  </si>
  <si>
    <t>PrePstD4_CP_chng</t>
  </si>
  <si>
    <t>PstD5_CD_SoC</t>
  </si>
  <si>
    <t>PreD8_Ins_scr</t>
  </si>
  <si>
    <t>PreD8_Ins_SoC</t>
  </si>
  <si>
    <t>PstD8_Ins_SoC</t>
  </si>
  <si>
    <t>PstD8_Ins_scr</t>
  </si>
  <si>
    <t>PrePstD8_Ins_chng</t>
  </si>
  <si>
    <t>PreD16_DSP_scr</t>
  </si>
  <si>
    <t>Comments:</t>
  </si>
  <si>
    <t>Comments</t>
  </si>
  <si>
    <t>1. Sexually Deviant Lifestyle</t>
  </si>
  <si>
    <t>2. Sexual Compulsivity</t>
  </si>
  <si>
    <t>3. Offense Planning</t>
  </si>
  <si>
    <t>4. Criminal Personality</t>
  </si>
  <si>
    <t>5. Cognitive Distortions</t>
  </si>
  <si>
    <t>6. Interpersonal Aggression</t>
  </si>
  <si>
    <t>7. Emotional Control</t>
  </si>
  <si>
    <t>8. Insight</t>
  </si>
  <si>
    <t>9. Substance Abuse</t>
  </si>
  <si>
    <t>10. Community Support</t>
  </si>
  <si>
    <t>11. Release to High Risk Situations</t>
  </si>
  <si>
    <t>12. Sexual Offending Cycle</t>
  </si>
  <si>
    <t>13. Implusivity</t>
  </si>
  <si>
    <t>14. Compliance with Community Supervision</t>
  </si>
  <si>
    <t>15. Treatment Compliance</t>
  </si>
  <si>
    <t>16. Deviant Sexual Preferences</t>
  </si>
  <si>
    <t>17. Intimacy Deficits</t>
  </si>
  <si>
    <t>Release Date or Pre-Treatment Date  (MM/DD/YYYY):</t>
  </si>
  <si>
    <t>Sex Offense Victim Profile (check one):</t>
  </si>
  <si>
    <t>Prior Sexual Offenses :</t>
  </si>
  <si>
    <r>
      <t xml:space="preserve">D1 Sexually Deviant Lifestyle:  
</t>
    </r>
    <r>
      <rPr>
        <sz val="12"/>
        <color theme="1"/>
        <rFont val="Arial"/>
        <family val="2"/>
      </rPr>
      <t xml:space="preserve">To determine the extent the individual’s </t>
    </r>
    <r>
      <rPr>
        <i/>
        <sz val="12"/>
        <color theme="1"/>
        <rFont val="Arial"/>
        <family val="2"/>
      </rPr>
      <t>overall</t>
    </r>
    <r>
      <rPr>
        <sz val="12"/>
        <color theme="1"/>
        <rFont val="Arial"/>
        <family val="2"/>
      </rPr>
      <t xml:space="preserve"> lifestyle, or a particular part of his or her lifestyle, is characterized by sexual deviancy. The definition of sexual deviancy is not restricted to official convictions of sexual crimes. All sexually inappropriate behaviours, such as grooming or creating opportunities to gain access to potential victims, are considered as sexually deviant.</t>
    </r>
  </si>
  <si>
    <r>
      <t xml:space="preserve">D2 Sexual Compulsivity:  
</t>
    </r>
    <r>
      <rPr>
        <sz val="12"/>
        <color theme="1"/>
        <rFont val="Arial"/>
        <family val="2"/>
      </rPr>
      <t>To determine if the individual has a pattern of highly repetitive compulsive sexual behaviour.</t>
    </r>
  </si>
  <si>
    <r>
      <t xml:space="preserve">D3 Offense Planning:  
</t>
    </r>
    <r>
      <rPr>
        <sz val="12"/>
        <color theme="1"/>
        <rFont val="Arial"/>
        <family val="2"/>
      </rPr>
      <t>To determine whether the individual has showed evidence of planning in the sexual offence(s).The unavailability of victims during the period of institutionalization may make this factor particularly difficult to rate. Generally speaking, for those with a history of offense planning, proxy behaviors, in combination with a history of offense planning, such as the collection and/or preoccupation with print or video material related to past victim groups, fantasizing about future offences, etc., are reasonable indications that behaviors similar to offense planning may still be active.</t>
    </r>
  </si>
  <si>
    <r>
      <t xml:space="preserve">D4 Criminal Personality. 
</t>
    </r>
    <r>
      <rPr>
        <sz val="12"/>
        <color theme="1"/>
        <rFont val="Arial"/>
        <family val="2"/>
      </rPr>
      <t>To determine if the individual has the characteristics of the criminal personality. The purpose of this item is to assess the presence of the psychopathic personality characteristics rather than the associated antisocial behaviours. Although personality structures tend to remain stable over time, the behavioural manifestations of the personality may change.</t>
    </r>
  </si>
  <si>
    <r>
      <t xml:space="preserve">D5 Cognitive Distortions:  
</t>
    </r>
    <r>
      <rPr>
        <sz val="12"/>
        <color theme="1"/>
        <rFont val="Arial"/>
        <family val="2"/>
      </rPr>
      <t>To determine if the individual uses cognitive distortions to justify or rationalize his or her sexually deviant behaviour(s).
A distortion of perception that is caused by a mental illness is not considered to be a cognitive distortion for the purpose of rating this item.</t>
    </r>
  </si>
  <si>
    <r>
      <t xml:space="preserve">D6 Interpersonal Aggression:  
</t>
    </r>
    <r>
      <rPr>
        <sz val="12"/>
        <color theme="1"/>
        <rFont val="Arial"/>
        <family val="2"/>
      </rPr>
      <t>To determine if the individual uses aggressive behaviours extensively or consistently in interpersonal interactions. For the purpose of rating this item, aggression directed against objects alone (e.g. punching walls, breaking things, trashing rooms, etc.) could be considered as interpersonally aggressive.</t>
    </r>
  </si>
  <si>
    <r>
      <t xml:space="preserve">D7 Emotional Control:  
</t>
    </r>
    <r>
      <rPr>
        <sz val="12"/>
        <color theme="1"/>
        <rFont val="Arial"/>
        <family val="2"/>
      </rPr>
      <t>To determine if the individual’s tendency to undercontrol or overcontrol emotions has culminated in sexual offending. Undercontrol is defined as not being able to control appropriately the rapid change in the intensity of feelings, for example, "flying off the handle," getting frustrated and angry very quickly. Being overcontrolled is typical of those who tend to "bottle-up their feelings" only to explode into sexual aggression or violence later. The focus of this item is to assess emotions as opposed to attitudes or behaviors.</t>
    </r>
  </si>
  <si>
    <r>
      <t xml:space="preserve">D8 Insight:  
</t>
    </r>
    <r>
      <rPr>
        <sz val="12"/>
        <color theme="1"/>
        <rFont val="Arial"/>
        <family val="2"/>
      </rPr>
      <t>To determine the extent to which the individual understands the factors that precipitate his/her past sexual offences.  Understanding is the first step to change. Therefore, the focus of this item is on the understanding of the precipitating factors of sexually offending behavior and not necessarily on the translation of the understanding into behaviour changes.</t>
    </r>
  </si>
  <si>
    <r>
      <t xml:space="preserve">D9 Substance Abuse:  
</t>
    </r>
    <r>
      <rPr>
        <sz val="12"/>
        <color theme="1"/>
        <rFont val="Arial"/>
        <family val="2"/>
      </rPr>
      <t>To determine the extent to which substance abuse is linked to sexual offending. Note: Giving a victim substances to gain compliance in the course of committing a sex offense would be coded under D3 Offense Planning and not D9 Substance Abuse</t>
    </r>
  </si>
  <si>
    <r>
      <t xml:space="preserve">D10 Community Support:  
</t>
    </r>
    <r>
      <rPr>
        <sz val="12"/>
        <color theme="1"/>
        <rFont val="Arial"/>
        <family val="2"/>
      </rPr>
      <t>To determine if community support is adequate to meet the needs of the individual if released.</t>
    </r>
  </si>
  <si>
    <r>
      <t xml:space="preserve">D11 Released to High-Risk Situations:  
</t>
    </r>
    <r>
      <rPr>
        <sz val="12"/>
        <color theme="1"/>
        <rFont val="Arial"/>
        <family val="2"/>
      </rPr>
      <t>To determine the extent to which the individual's release plans/destination is related to past sexual offending. 
If the individual has no foreseeable release possibility within 3 years, omit this item.</t>
    </r>
  </si>
  <si>
    <r>
      <t xml:space="preserve">D12 Sexual Offending Cycle:  
</t>
    </r>
    <r>
      <rPr>
        <sz val="12"/>
        <color theme="1"/>
        <rFont val="Arial"/>
        <family val="2"/>
      </rPr>
      <t>To determine if an individual’s sexual offending tend to be repeatedly precipitated by similar circumstances that have often resulted in similar outcomes, that is, whether there is a sexual offending cycle, pathway, or pattern. For example, sexual offenses perpetrated by men with pedophilic interests and who target children often has clear precipitating factors.</t>
    </r>
  </si>
  <si>
    <r>
      <t xml:space="preserve">D13 Impulsivity:  
</t>
    </r>
    <r>
      <rPr>
        <sz val="12"/>
        <color theme="1"/>
        <rFont val="Arial"/>
        <family val="2"/>
      </rPr>
      <t>To determine if the individual typically reacts impulsively to situations or provocations.</t>
    </r>
  </si>
  <si>
    <r>
      <t xml:space="preserve">D14 Compliance with Community Supervision:  
</t>
    </r>
    <r>
      <rPr>
        <sz val="12"/>
        <color theme="1"/>
        <rFont val="Arial"/>
        <family val="2"/>
      </rPr>
      <t>To determine the individual’s willingness to comply with community supervision or involvement in relevant
gradual release planning.</t>
    </r>
  </si>
  <si>
    <r>
      <t xml:space="preserve">D15 Treatment Compliance:  
</t>
    </r>
    <r>
      <rPr>
        <sz val="12"/>
        <color theme="1"/>
        <rFont val="Arial"/>
        <family val="2"/>
      </rPr>
      <t>To determine the individual's commitment to sex offender treatment.  If the individual has not previously attended or is just beginning a sex offender treatment program, this item may be omitted due to insufficient information. Re-rate the item when the information is available.</t>
    </r>
  </si>
  <si>
    <r>
      <t xml:space="preserve">D16 Deviant Sexual Preference:  
</t>
    </r>
    <r>
      <rPr>
        <sz val="12"/>
        <color theme="1"/>
        <rFont val="Arial"/>
        <family val="2"/>
      </rPr>
      <t>To determine if the individual has a consistent and marked interest in, or preference for, deviant, rather than non-deviant, sexual stimulus.</t>
    </r>
  </si>
  <si>
    <r>
      <t xml:space="preserve">D17 Intimacy Deficits:  
</t>
    </r>
    <r>
      <rPr>
        <sz val="12"/>
        <color theme="1"/>
        <rFont val="Arial"/>
        <family val="2"/>
      </rPr>
      <t>To assess the individual’s capacity in forming and maintaining intimate relationships.</t>
    </r>
  </si>
  <si>
    <t>Sexual Offense Victim Profile</t>
  </si>
  <si>
    <t>Release to High-Risk Situations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</si>
</sst>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2"/>
      <color theme="1"/>
      <name val="Arial"/>
      <family val="2"/>
    </font>
    <font>
      <b/>
      <sz val="12"/>
      <color theme="1"/>
      <name val="Arial"/>
      <family val="2"/>
    </font>
    <font>
      <b/>
      <i/>
      <sz val="12"/>
      <color theme="1"/>
      <name val="Arial"/>
      <family val="2"/>
    </font>
    <font>
      <sz val="12"/>
      <name val="Arial"/>
      <family val="2"/>
    </font>
    <font>
      <u/>
      <sz val="12"/>
      <color theme="10"/>
      <name val="Arial"/>
      <family val="2"/>
    </font>
    <font>
      <sz val="9"/>
      <color indexed="81"/>
      <name val="Tahoma"/>
      <family val="2"/>
    </font>
    <font>
      <b/>
      <sz val="9"/>
      <color indexed="81"/>
      <name val="Tahoma"/>
      <family val="2"/>
    </font>
    <font>
      <sz val="8"/>
      <color rgb="FF000000"/>
      <name val="Tahoma"/>
      <family val="2"/>
    </font>
    <font>
      <b/>
      <sz val="12"/>
      <color theme="0"/>
      <name val="Arial"/>
      <family val="2"/>
    </font>
    <font>
      <sz val="12"/>
      <color rgb="FF000000"/>
      <name val="Arial"/>
      <family val="2"/>
    </font>
    <font>
      <b/>
      <sz val="11"/>
      <color theme="1"/>
      <name val="Arial"/>
      <family val="2"/>
    </font>
    <font>
      <sz val="11"/>
      <color theme="1"/>
      <name val="Arial"/>
      <family val="2"/>
    </font>
    <font>
      <i/>
      <sz val="11"/>
      <color theme="1"/>
      <name val="Arial"/>
      <family val="2"/>
    </font>
    <font>
      <b/>
      <i/>
      <sz val="11"/>
      <color theme="1"/>
      <name val="Arial"/>
      <family val="2"/>
    </font>
    <font>
      <sz val="12"/>
      <color theme="0"/>
      <name val="Arial"/>
      <family val="2"/>
    </font>
    <font>
      <sz val="8"/>
      <color theme="1"/>
      <name val="Arial Narrow"/>
      <family val="2"/>
    </font>
    <font>
      <i/>
      <sz val="12"/>
      <color theme="1"/>
      <name val="Arial"/>
      <family val="2"/>
    </font>
  </fonts>
  <fills count="23">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s>
  <borders count="29">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222">
    <xf numFmtId="0" fontId="0" fillId="0" borderId="0" xfId="0"/>
    <xf numFmtId="0" fontId="0" fillId="0" borderId="0" xfId="0" applyAlignment="1">
      <alignment horizontal="right" vertical="center"/>
    </xf>
    <xf numFmtId="0" fontId="3" fillId="0" borderId="0" xfId="0" applyFont="1" applyFill="1" applyAlignment="1">
      <alignment horizontal="right" vertical="center"/>
    </xf>
    <xf numFmtId="0" fontId="0" fillId="4" borderId="4" xfId="0" applyFont="1" applyFill="1" applyBorder="1" applyAlignment="1" applyProtection="1">
      <alignment horizontal="center" vertical="center"/>
    </xf>
    <xf numFmtId="0" fontId="4" fillId="0" borderId="0" xfId="1"/>
    <xf numFmtId="0" fontId="0" fillId="0" borderId="0" xfId="0" applyAlignment="1">
      <alignment horizontal="left"/>
    </xf>
    <xf numFmtId="0" fontId="1" fillId="5" borderId="10" xfId="0" applyFont="1" applyFill="1" applyBorder="1" applyAlignment="1" applyProtection="1">
      <alignment horizontal="center" vertical="center"/>
    </xf>
    <xf numFmtId="0" fontId="0" fillId="4" borderId="12" xfId="0" applyFont="1" applyFill="1" applyBorder="1" applyAlignment="1" applyProtection="1">
      <alignment horizontal="center" vertical="center"/>
    </xf>
    <xf numFmtId="0" fontId="0" fillId="3" borderId="15" xfId="0" applyFill="1" applyBorder="1" applyAlignment="1">
      <alignment horizontal="center"/>
    </xf>
    <xf numFmtId="0" fontId="0" fillId="3" borderId="4" xfId="0" applyFill="1" applyBorder="1" applyAlignment="1">
      <alignment horizontal="center"/>
    </xf>
    <xf numFmtId="0" fontId="4" fillId="0" borderId="0" xfId="1" quotePrefix="1" applyAlignment="1">
      <alignment horizontal="left"/>
    </xf>
    <xf numFmtId="0" fontId="1" fillId="5" borderId="14" xfId="0" applyFont="1" applyFill="1" applyBorder="1" applyAlignment="1">
      <alignment horizontal="center"/>
    </xf>
    <xf numFmtId="0" fontId="0" fillId="5" borderId="11" xfId="0" applyFill="1" applyBorder="1" applyAlignment="1">
      <alignment horizontal="center"/>
    </xf>
    <xf numFmtId="0" fontId="0" fillId="0" borderId="0" xfId="0" applyAlignment="1">
      <alignment horizontal="center"/>
    </xf>
    <xf numFmtId="14" fontId="0" fillId="0" borderId="0" xfId="0" applyNumberFormat="1" applyAlignment="1">
      <alignment horizontal="right" vertical="center"/>
    </xf>
    <xf numFmtId="0" fontId="1" fillId="3" borderId="0" xfId="0" applyFont="1" applyFill="1" applyAlignment="1">
      <alignment horizontal="center"/>
    </xf>
    <xf numFmtId="0" fontId="0" fillId="3" borderId="0" xfId="0" applyFill="1"/>
    <xf numFmtId="0" fontId="1" fillId="0" borderId="0" xfId="0" applyFont="1" applyAlignment="1">
      <alignment horizontal="right"/>
    </xf>
    <xf numFmtId="0" fontId="0" fillId="0" borderId="0" xfId="0" applyFill="1"/>
    <xf numFmtId="0" fontId="1" fillId="0" borderId="0" xfId="0" applyFont="1" applyAlignment="1">
      <alignment horizontal="center"/>
    </xf>
    <xf numFmtId="0" fontId="0" fillId="11" borderId="0" xfId="0" applyFill="1"/>
    <xf numFmtId="0" fontId="0" fillId="11" borderId="0" xfId="0" applyFill="1" applyAlignment="1">
      <alignment horizontal="center"/>
    </xf>
    <xf numFmtId="0" fontId="0" fillId="12" borderId="0" xfId="0" applyFill="1"/>
    <xf numFmtId="0" fontId="0" fillId="12" borderId="0" xfId="0" applyFill="1" applyAlignment="1">
      <alignment horizontal="center"/>
    </xf>
    <xf numFmtId="0" fontId="0" fillId="3" borderId="0" xfId="0" applyFill="1" applyAlignment="1">
      <alignment horizontal="center"/>
    </xf>
    <xf numFmtId="0" fontId="0" fillId="13" borderId="0" xfId="0" applyFill="1" applyAlignment="1">
      <alignment horizontal="center"/>
    </xf>
    <xf numFmtId="0" fontId="0" fillId="13" borderId="0" xfId="0" applyFill="1"/>
    <xf numFmtId="0" fontId="1" fillId="13" borderId="0" xfId="0" applyFont="1" applyFill="1" applyAlignment="1">
      <alignment horizontal="center"/>
    </xf>
    <xf numFmtId="0" fontId="1" fillId="13" borderId="0" xfId="0" applyFont="1" applyFill="1"/>
    <xf numFmtId="0" fontId="1" fillId="13" borderId="0" xfId="0" applyFont="1" applyFill="1" applyAlignment="1">
      <alignment horizontal="right"/>
    </xf>
    <xf numFmtId="0" fontId="0" fillId="6" borderId="0" xfId="0" applyFill="1" applyAlignment="1">
      <alignment horizontal="center"/>
    </xf>
    <xf numFmtId="0" fontId="1" fillId="14" borderId="0" xfId="0" applyFont="1" applyFill="1" applyAlignment="1">
      <alignment horizontal="center"/>
    </xf>
    <xf numFmtId="0" fontId="0" fillId="14" borderId="0" xfId="0" applyFill="1"/>
    <xf numFmtId="0" fontId="2" fillId="0" borderId="0" xfId="0" applyFont="1" applyAlignment="1">
      <alignment horizontal="right"/>
    </xf>
    <xf numFmtId="164" fontId="2" fillId="0" borderId="0" xfId="0" applyNumberFormat="1" applyFont="1" applyAlignment="1">
      <alignment horizontal="center"/>
    </xf>
    <xf numFmtId="0" fontId="0" fillId="15" borderId="0" xfId="0" applyFill="1"/>
    <xf numFmtId="0" fontId="4" fillId="15" borderId="0" xfId="1" applyFill="1"/>
    <xf numFmtId="0" fontId="0" fillId="0" borderId="0" xfId="0" applyFill="1" applyAlignment="1">
      <alignment horizontal="right"/>
    </xf>
    <xf numFmtId="0" fontId="1" fillId="17" borderId="0" xfId="0" applyFont="1" applyFill="1" applyAlignment="1">
      <alignment horizontal="center"/>
    </xf>
    <xf numFmtId="0" fontId="1" fillId="18" borderId="0" xfId="0" applyFont="1" applyFill="1" applyAlignment="1">
      <alignment horizontal="center"/>
    </xf>
    <xf numFmtId="0" fontId="0" fillId="6" borderId="0" xfId="0" applyFill="1"/>
    <xf numFmtId="0" fontId="1" fillId="6" borderId="0" xfId="0" applyFont="1" applyFill="1" applyAlignment="1">
      <alignment horizontal="right" vertical="center"/>
    </xf>
    <xf numFmtId="0" fontId="4" fillId="6" borderId="0" xfId="1" applyFill="1" applyAlignment="1">
      <alignment horizontal="center"/>
    </xf>
    <xf numFmtId="164" fontId="1" fillId="18" borderId="0" xfId="0" applyNumberFormat="1" applyFont="1" applyFill="1" applyAlignment="1">
      <alignment horizontal="center"/>
    </xf>
    <xf numFmtId="0" fontId="0" fillId="0" borderId="0" xfId="0" applyProtection="1">
      <protection locked="0"/>
    </xf>
    <xf numFmtId="0" fontId="0" fillId="7" borderId="18" xfId="0" applyFill="1" applyBorder="1" applyAlignment="1" applyProtection="1">
      <alignment horizontal="right"/>
      <protection locked="0"/>
    </xf>
    <xf numFmtId="14" fontId="0" fillId="7" borderId="18" xfId="0" applyNumberFormat="1" applyFill="1" applyBorder="1" applyAlignment="1" applyProtection="1">
      <alignment horizontal="right"/>
      <protection locked="0"/>
    </xf>
    <xf numFmtId="14" fontId="0" fillId="11" borderId="18" xfId="0" applyNumberFormat="1" applyFill="1" applyBorder="1" applyAlignment="1" applyProtection="1">
      <alignment horizontal="right"/>
      <protection locked="0"/>
    </xf>
    <xf numFmtId="0" fontId="0" fillId="11" borderId="18" xfId="0" applyFill="1" applyBorder="1" applyAlignment="1" applyProtection="1">
      <alignment horizontal="center"/>
      <protection locked="0"/>
    </xf>
    <xf numFmtId="0" fontId="4" fillId="0" borderId="0" xfId="1" applyProtection="1"/>
    <xf numFmtId="0" fontId="1" fillId="0" borderId="0" xfId="0" applyFont="1" applyAlignment="1" applyProtection="1">
      <alignment horizontal="center"/>
    </xf>
    <xf numFmtId="0" fontId="0" fillId="0" borderId="0" xfId="0" applyProtection="1"/>
    <xf numFmtId="0" fontId="0" fillId="7" borderId="4" xfId="0" applyFill="1" applyBorder="1" applyAlignment="1" applyProtection="1">
      <alignment horizontal="right"/>
    </xf>
    <xf numFmtId="0" fontId="0" fillId="7" borderId="17" xfId="0" applyFill="1" applyBorder="1" applyAlignment="1" applyProtection="1">
      <alignment horizontal="right"/>
    </xf>
    <xf numFmtId="0" fontId="0" fillId="0" borderId="20" xfId="0" applyFill="1" applyBorder="1" applyAlignment="1" applyProtection="1">
      <alignment horizontal="right"/>
    </xf>
    <xf numFmtId="0" fontId="0" fillId="19" borderId="0" xfId="0" applyFill="1" applyProtection="1"/>
    <xf numFmtId="0" fontId="0" fillId="7" borderId="19" xfId="0" applyFill="1" applyBorder="1" applyAlignment="1" applyProtection="1">
      <alignment horizontal="right"/>
    </xf>
    <xf numFmtId="0" fontId="0" fillId="0" borderId="0" xfId="0" applyFill="1" applyBorder="1" applyAlignment="1" applyProtection="1">
      <alignment horizontal="right"/>
    </xf>
    <xf numFmtId="14" fontId="0" fillId="0" borderId="0" xfId="0" applyNumberFormat="1" applyFill="1" applyBorder="1" applyAlignment="1" applyProtection="1">
      <alignment horizontal="right"/>
    </xf>
    <xf numFmtId="0" fontId="1" fillId="9" borderId="0" xfId="0" applyFont="1" applyFill="1" applyAlignment="1" applyProtection="1">
      <alignment horizontal="center"/>
    </xf>
    <xf numFmtId="0" fontId="0" fillId="10" borderId="0" xfId="0" applyFill="1" applyAlignment="1" applyProtection="1">
      <alignment horizontal="center"/>
    </xf>
    <xf numFmtId="0" fontId="0" fillId="8" borderId="0" xfId="0" applyFill="1" applyAlignment="1" applyProtection="1">
      <alignment horizontal="right"/>
    </xf>
    <xf numFmtId="0" fontId="0" fillId="3" borderId="0" xfId="0" applyFill="1" applyProtection="1"/>
    <xf numFmtId="0" fontId="8" fillId="16" borderId="18" xfId="0" applyFont="1" applyFill="1" applyBorder="1" applyAlignment="1" applyProtection="1">
      <alignment horizontal="right"/>
    </xf>
    <xf numFmtId="1" fontId="1" fillId="3" borderId="0" xfId="0" applyNumberFormat="1" applyFont="1" applyFill="1" applyAlignment="1" applyProtection="1">
      <alignment horizontal="center"/>
    </xf>
    <xf numFmtId="0" fontId="1" fillId="3" borderId="0" xfId="0" applyFont="1" applyFill="1" applyAlignment="1" applyProtection="1">
      <alignment horizontal="center"/>
    </xf>
    <xf numFmtId="0" fontId="0" fillId="11" borderId="5" xfId="0" applyFill="1" applyBorder="1" applyProtection="1"/>
    <xf numFmtId="0" fontId="0" fillId="12" borderId="5" xfId="0" applyFill="1" applyBorder="1" applyProtection="1"/>
    <xf numFmtId="0" fontId="0" fillId="11" borderId="20" xfId="0" applyFill="1" applyBorder="1" applyProtection="1"/>
    <xf numFmtId="0" fontId="0" fillId="12" borderId="20" xfId="0" applyFill="1" applyBorder="1" applyProtection="1"/>
    <xf numFmtId="0" fontId="0" fillId="11" borderId="21" xfId="0" applyFill="1" applyBorder="1" applyProtection="1"/>
    <xf numFmtId="0" fontId="0" fillId="12" borderId="21" xfId="0" applyFill="1" applyBorder="1" applyProtection="1"/>
    <xf numFmtId="0" fontId="0" fillId="8" borderId="0" xfId="0" applyFill="1" applyProtection="1"/>
    <xf numFmtId="0" fontId="0" fillId="8" borderId="0" xfId="0" applyFill="1" applyAlignment="1" applyProtection="1">
      <alignment horizontal="center"/>
    </xf>
    <xf numFmtId="0" fontId="0" fillId="0" borderId="0" xfId="0" applyAlignment="1" applyProtection="1">
      <alignment horizontal="right"/>
    </xf>
    <xf numFmtId="1" fontId="1" fillId="9" borderId="0" xfId="0" applyNumberFormat="1" applyFont="1" applyFill="1" applyAlignment="1" applyProtection="1">
      <alignment horizontal="center"/>
    </xf>
    <xf numFmtId="0" fontId="0" fillId="0" borderId="0" xfId="0" applyAlignment="1" applyProtection="1">
      <alignment horizontal="right" vertical="center"/>
      <protection locked="0"/>
    </xf>
    <xf numFmtId="0" fontId="1" fillId="5" borderId="14" xfId="0" applyFont="1" applyFill="1" applyBorder="1" applyAlignment="1" applyProtection="1">
      <alignment horizontal="center"/>
      <protection locked="0"/>
    </xf>
    <xf numFmtId="0" fontId="1" fillId="4" borderId="13" xfId="0" applyFont="1" applyFill="1" applyBorder="1" applyAlignment="1" applyProtection="1">
      <alignment horizontal="center"/>
      <protection locked="0"/>
    </xf>
    <xf numFmtId="0" fontId="1" fillId="4" borderId="9" xfId="0" applyFont="1" applyFill="1" applyBorder="1" applyAlignment="1" applyProtection="1">
      <alignment horizontal="center"/>
      <protection locked="0"/>
    </xf>
    <xf numFmtId="0" fontId="0" fillId="5" borderId="11" xfId="0" applyFill="1" applyBorder="1" applyAlignment="1" applyProtection="1">
      <alignment horizontal="center"/>
      <protection locked="0"/>
    </xf>
    <xf numFmtId="0" fontId="0" fillId="9" borderId="0" xfId="0" applyFill="1"/>
    <xf numFmtId="0" fontId="11" fillId="0" borderId="0" xfId="0" applyFont="1"/>
    <xf numFmtId="0" fontId="11" fillId="0" borderId="0" xfId="0" applyFont="1" applyAlignment="1"/>
    <xf numFmtId="0" fontId="11" fillId="0" borderId="4" xfId="0" applyFont="1" applyBorder="1" applyAlignment="1">
      <alignment horizontal="right"/>
    </xf>
    <xf numFmtId="0" fontId="11" fillId="0" borderId="12" xfId="0" applyFont="1" applyBorder="1"/>
    <xf numFmtId="0" fontId="11" fillId="0" borderId="15" xfId="0" applyFont="1" applyBorder="1"/>
    <xf numFmtId="0" fontId="11" fillId="0" borderId="17" xfId="0" applyFont="1" applyBorder="1" applyAlignment="1">
      <alignment horizontal="right"/>
    </xf>
    <xf numFmtId="0" fontId="11" fillId="0" borderId="0" xfId="0" applyFont="1" applyBorder="1"/>
    <xf numFmtId="0" fontId="11" fillId="0" borderId="16" xfId="0" applyFont="1" applyBorder="1"/>
    <xf numFmtId="14" fontId="11" fillId="0" borderId="16" xfId="0" applyNumberFormat="1" applyFont="1" applyBorder="1"/>
    <xf numFmtId="0" fontId="11" fillId="0" borderId="19" xfId="0" applyFont="1" applyBorder="1" applyAlignment="1">
      <alignment horizontal="right"/>
    </xf>
    <xf numFmtId="0" fontId="11" fillId="0" borderId="22" xfId="0" applyFont="1" applyBorder="1"/>
    <xf numFmtId="14" fontId="11" fillId="0" borderId="23" xfId="0" applyNumberFormat="1" applyFont="1" applyBorder="1"/>
    <xf numFmtId="0" fontId="11" fillId="0" borderId="0" xfId="0" applyFont="1" applyFill="1" applyBorder="1" applyAlignment="1">
      <alignment horizontal="right"/>
    </xf>
    <xf numFmtId="0" fontId="10" fillId="0" borderId="0" xfId="0" applyFont="1" applyFill="1" applyBorder="1" applyAlignment="1">
      <alignment horizontal="right"/>
    </xf>
    <xf numFmtId="0" fontId="10" fillId="0" borderId="0" xfId="0" applyFont="1" applyAlignment="1">
      <alignment horizontal="center"/>
    </xf>
    <xf numFmtId="0" fontId="11" fillId="0" borderId="0" xfId="0" applyFont="1" applyAlignment="1">
      <alignment horizontal="center"/>
    </xf>
    <xf numFmtId="0" fontId="11" fillId="0" borderId="22" xfId="0" applyFont="1" applyBorder="1" applyAlignment="1">
      <alignment horizontal="center"/>
    </xf>
    <xf numFmtId="0" fontId="11" fillId="0" borderId="22" xfId="0" applyFont="1" applyBorder="1" applyAlignment="1"/>
    <xf numFmtId="0" fontId="11" fillId="0" borderId="0" xfId="0" applyFont="1" applyBorder="1" applyAlignment="1"/>
    <xf numFmtId="0" fontId="10" fillId="0" borderId="15" xfId="0" applyFont="1" applyBorder="1" applyAlignment="1">
      <alignment horizontal="center"/>
    </xf>
    <xf numFmtId="0" fontId="11" fillId="0" borderId="23" xfId="0" applyFont="1" applyBorder="1" applyAlignment="1">
      <alignment horizontal="center"/>
    </xf>
    <xf numFmtId="0" fontId="11" fillId="5" borderId="19" xfId="0" applyFont="1" applyFill="1" applyBorder="1" applyAlignment="1"/>
    <xf numFmtId="0" fontId="11" fillId="5" borderId="22" xfId="0" applyFont="1" applyFill="1" applyBorder="1" applyAlignment="1">
      <alignment horizontal="center"/>
    </xf>
    <xf numFmtId="0" fontId="12" fillId="0" borderId="0" xfId="0" applyFont="1"/>
    <xf numFmtId="0" fontId="11" fillId="0" borderId="4" xfId="0" applyFont="1" applyBorder="1" applyAlignment="1">
      <alignment horizontal="center"/>
    </xf>
    <xf numFmtId="0" fontId="11" fillId="0" borderId="12" xfId="0" applyFont="1" applyBorder="1" applyAlignment="1">
      <alignment horizontal="center"/>
    </xf>
    <xf numFmtId="0" fontId="11" fillId="0" borderId="15" xfId="0" applyFont="1" applyBorder="1" applyAlignment="1">
      <alignment horizontal="center"/>
    </xf>
    <xf numFmtId="0" fontId="11" fillId="0" borderId="17" xfId="0" applyFont="1" applyBorder="1" applyAlignment="1">
      <alignment horizontal="center"/>
    </xf>
    <xf numFmtId="0" fontId="11" fillId="0" borderId="0" xfId="0" applyFont="1" applyBorder="1" applyAlignment="1">
      <alignment horizontal="center"/>
    </xf>
    <xf numFmtId="0" fontId="11" fillId="0" borderId="16" xfId="0" applyFont="1" applyBorder="1" applyAlignment="1">
      <alignment horizontal="center"/>
    </xf>
    <xf numFmtId="0" fontId="11" fillId="0" borderId="19" xfId="0" applyFont="1" applyBorder="1" applyAlignment="1">
      <alignment horizontal="center"/>
    </xf>
    <xf numFmtId="0" fontId="11" fillId="0" borderId="5" xfId="0" applyFont="1" applyBorder="1" applyAlignment="1">
      <alignment horizontal="center"/>
    </xf>
    <xf numFmtId="0" fontId="11" fillId="0" borderId="20" xfId="0" applyFont="1" applyBorder="1" applyAlignment="1">
      <alignment horizontal="center"/>
    </xf>
    <xf numFmtId="0" fontId="11" fillId="0" borderId="21" xfId="0" applyFont="1" applyBorder="1" applyAlignment="1">
      <alignment horizontal="center"/>
    </xf>
    <xf numFmtId="0" fontId="10" fillId="0" borderId="0" xfId="0" applyFont="1" applyAlignment="1">
      <alignment horizontal="right"/>
    </xf>
    <xf numFmtId="0" fontId="13" fillId="0" borderId="0" xfId="0" applyFont="1" applyAlignment="1">
      <alignment horizontal="right"/>
    </xf>
    <xf numFmtId="164" fontId="13" fillId="0" borderId="0" xfId="0" applyNumberFormat="1" applyFont="1" applyAlignment="1">
      <alignment horizontal="center"/>
    </xf>
    <xf numFmtId="164" fontId="10" fillId="0" borderId="0" xfId="0" applyNumberFormat="1" applyFont="1" applyAlignment="1">
      <alignment horizontal="center"/>
    </xf>
    <xf numFmtId="0" fontId="0" fillId="20" borderId="0" xfId="0" applyFill="1"/>
    <xf numFmtId="0" fontId="0" fillId="0" borderId="0" xfId="0" applyAlignment="1">
      <alignment vertical="center"/>
    </xf>
    <xf numFmtId="0" fontId="0" fillId="0" borderId="0" xfId="0" applyAlignment="1">
      <alignment vertical="center" wrapText="1"/>
    </xf>
    <xf numFmtId="0" fontId="11" fillId="0" borderId="0" xfId="0" applyFont="1" applyAlignment="1">
      <alignment horizontal="right"/>
    </xf>
    <xf numFmtId="0" fontId="11" fillId="5" borderId="4" xfId="0" applyFont="1" applyFill="1" applyBorder="1"/>
    <xf numFmtId="0" fontId="11" fillId="5" borderId="15" xfId="0" applyFont="1" applyFill="1" applyBorder="1"/>
    <xf numFmtId="0" fontId="11" fillId="5" borderId="12" xfId="0" applyFont="1" applyFill="1" applyBorder="1"/>
    <xf numFmtId="0" fontId="11" fillId="0" borderId="0" xfId="0" applyFont="1" applyFill="1" applyBorder="1"/>
    <xf numFmtId="0" fontId="14" fillId="0" borderId="0" xfId="0" applyFont="1" applyFill="1" applyAlignment="1">
      <alignment horizontal="right" vertical="center"/>
    </xf>
    <xf numFmtId="0" fontId="14" fillId="0" borderId="0" xfId="0" applyFont="1" applyFill="1" applyAlignment="1">
      <alignment horizontal="left" vertical="center"/>
    </xf>
    <xf numFmtId="0" fontId="0" fillId="22" borderId="0" xfId="0" applyFill="1" applyAlignment="1">
      <alignment vertical="center"/>
    </xf>
    <xf numFmtId="0" fontId="0" fillId="6" borderId="0" xfId="0" applyFill="1" applyAlignment="1">
      <alignment vertical="center"/>
    </xf>
    <xf numFmtId="14" fontId="0" fillId="3" borderId="0" xfId="0" applyNumberFormat="1" applyFill="1"/>
    <xf numFmtId="1" fontId="0" fillId="3" borderId="0" xfId="0" applyNumberFormat="1" applyFill="1"/>
    <xf numFmtId="0" fontId="0" fillId="5" borderId="0" xfId="0" applyFill="1" applyAlignment="1">
      <alignment vertical="center"/>
    </xf>
    <xf numFmtId="0" fontId="0" fillId="19" borderId="0" xfId="0" applyFill="1" applyAlignment="1">
      <alignment vertical="center"/>
    </xf>
    <xf numFmtId="0" fontId="0" fillId="19" borderId="24" xfId="0" applyFill="1" applyBorder="1" applyAlignment="1">
      <alignment vertical="center"/>
    </xf>
    <xf numFmtId="0" fontId="0" fillId="5" borderId="24" xfId="0" applyFill="1" applyBorder="1" applyAlignment="1">
      <alignment vertical="center"/>
    </xf>
    <xf numFmtId="0" fontId="0" fillId="22" borderId="24" xfId="0" applyFill="1" applyBorder="1" applyAlignment="1">
      <alignment vertical="center"/>
    </xf>
    <xf numFmtId="0" fontId="0" fillId="22" borderId="24" xfId="0" applyFill="1" applyBorder="1" applyAlignment="1">
      <alignment vertical="center" wrapText="1"/>
    </xf>
    <xf numFmtId="0" fontId="10" fillId="0" borderId="21" xfId="0" applyFont="1" applyBorder="1" applyAlignment="1">
      <alignment horizontal="center"/>
    </xf>
    <xf numFmtId="0" fontId="11" fillId="5" borderId="22" xfId="0" applyFont="1" applyFill="1" applyBorder="1" applyAlignment="1">
      <alignment horizontal="center"/>
    </xf>
    <xf numFmtId="0" fontId="11" fillId="5" borderId="23" xfId="0" applyFont="1" applyFill="1" applyBorder="1" applyAlignment="1">
      <alignment horizontal="center"/>
    </xf>
    <xf numFmtId="0" fontId="10" fillId="5" borderId="23" xfId="0" applyFont="1" applyFill="1" applyBorder="1" applyAlignment="1">
      <alignment horizontal="center"/>
    </xf>
    <xf numFmtId="0" fontId="11" fillId="0" borderId="18" xfId="0" applyFont="1" applyBorder="1" applyAlignment="1">
      <alignment horizontal="center" vertical="top"/>
    </xf>
    <xf numFmtId="0" fontId="4" fillId="6" borderId="0" xfId="1" applyFill="1" applyAlignment="1">
      <alignment horizontal="center"/>
    </xf>
    <xf numFmtId="0" fontId="0" fillId="6" borderId="0" xfId="0" applyFill="1" applyAlignment="1">
      <alignment horizontal="center"/>
    </xf>
    <xf numFmtId="0" fontId="4" fillId="21" borderId="0" xfId="1" applyFill="1" applyAlignment="1">
      <alignment horizontal="center"/>
    </xf>
    <xf numFmtId="0" fontId="4" fillId="6" borderId="0" xfId="1" applyFill="1" applyAlignment="1">
      <alignment horizontal="center" vertical="center"/>
    </xf>
    <xf numFmtId="0" fontId="1" fillId="11" borderId="1" xfId="0" applyFont="1" applyFill="1" applyBorder="1" applyAlignment="1" applyProtection="1">
      <alignment horizontal="center" vertical="center"/>
    </xf>
    <xf numFmtId="0" fontId="1" fillId="11" borderId="3" xfId="0" applyFont="1" applyFill="1" applyBorder="1" applyAlignment="1" applyProtection="1">
      <alignment horizontal="center" vertical="center"/>
    </xf>
    <xf numFmtId="0" fontId="1" fillId="12" borderId="1" xfId="0" applyFont="1" applyFill="1" applyBorder="1" applyAlignment="1" applyProtection="1">
      <alignment horizontal="center" vertical="center"/>
    </xf>
    <xf numFmtId="0" fontId="1" fillId="12" borderId="3" xfId="0" applyFont="1" applyFill="1" applyBorder="1" applyAlignment="1" applyProtection="1">
      <alignment horizontal="center" vertical="center"/>
    </xf>
    <xf numFmtId="0" fontId="0" fillId="0" borderId="6"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8" xfId="0" applyBorder="1" applyAlignment="1" applyProtection="1">
      <alignment horizontal="center"/>
    </xf>
    <xf numFmtId="0" fontId="1" fillId="11" borderId="6" xfId="0" applyFont="1" applyFill="1" applyBorder="1" applyAlignment="1" applyProtection="1">
      <alignment horizontal="center" vertical="center"/>
    </xf>
    <xf numFmtId="0" fontId="1" fillId="12" borderId="2" xfId="0" applyFont="1" applyFill="1" applyBorder="1" applyAlignment="1" applyProtection="1">
      <alignment horizontal="center" vertical="center"/>
    </xf>
    <xf numFmtId="0" fontId="1" fillId="12" borderId="7" xfId="0" applyFont="1" applyFill="1" applyBorder="1" applyAlignment="1" applyProtection="1">
      <alignment horizontal="center" vertical="center"/>
    </xf>
    <xf numFmtId="0" fontId="1" fillId="0" borderId="8" xfId="0" applyFont="1" applyBorder="1" applyAlignment="1">
      <alignment horizontal="center" vertical="center" wrapText="1"/>
    </xf>
    <xf numFmtId="0" fontId="1" fillId="0" borderId="8" xfId="0" applyFont="1" applyBorder="1" applyAlignment="1">
      <alignment horizontal="center" vertical="center"/>
    </xf>
    <xf numFmtId="0" fontId="0" fillId="6" borderId="0" xfId="0" applyFill="1" applyAlignment="1" applyProtection="1">
      <alignment horizontal="left" vertical="top" wrapText="1"/>
      <protection locked="0"/>
    </xf>
    <xf numFmtId="0" fontId="0" fillId="6" borderId="16" xfId="0" applyFill="1" applyBorder="1" applyAlignment="1" applyProtection="1">
      <alignment horizontal="left" vertical="top"/>
      <protection locked="0"/>
    </xf>
    <xf numFmtId="0" fontId="1" fillId="2" borderId="0" xfId="0" applyFont="1" applyFill="1" applyAlignment="1">
      <alignment horizontal="center"/>
    </xf>
    <xf numFmtId="0" fontId="1" fillId="11" borderId="0" xfId="0" applyFont="1" applyFill="1" applyAlignment="1">
      <alignment horizontal="center"/>
    </xf>
    <xf numFmtId="0" fontId="1" fillId="12" borderId="0" xfId="0" applyFont="1" applyFill="1" applyAlignment="1">
      <alignment horizontal="center"/>
    </xf>
    <xf numFmtId="0" fontId="0" fillId="0" borderId="0" xfId="0" applyAlignment="1">
      <alignment horizontal="center"/>
    </xf>
    <xf numFmtId="0" fontId="0" fillId="0" borderId="0" xfId="0" applyAlignment="1" applyProtection="1">
      <alignment horizontal="left" vertical="top" wrapText="1"/>
      <protection locked="0"/>
    </xf>
    <xf numFmtId="0" fontId="11" fillId="0" borderId="0" xfId="0" applyFont="1" applyFill="1" applyBorder="1" applyAlignment="1">
      <alignment horizontal="center"/>
    </xf>
    <xf numFmtId="0" fontId="11" fillId="0" borderId="0" xfId="0" applyFont="1" applyFill="1" applyBorder="1" applyAlignment="1">
      <alignment horizontal="left" vertical="top" wrapText="1"/>
    </xf>
    <xf numFmtId="0" fontId="10" fillId="5" borderId="9" xfId="0" applyFont="1" applyFill="1" applyBorder="1" applyAlignment="1">
      <alignment horizontal="center"/>
    </xf>
    <xf numFmtId="0" fontId="10" fillId="5" borderId="24" xfId="0" applyFont="1" applyFill="1" applyBorder="1" applyAlignment="1">
      <alignment horizontal="center"/>
    </xf>
    <xf numFmtId="0" fontId="10" fillId="5" borderId="13" xfId="0" applyFont="1" applyFill="1" applyBorder="1" applyAlignment="1">
      <alignment horizontal="center"/>
    </xf>
    <xf numFmtId="0" fontId="10" fillId="5" borderId="12" xfId="0" applyFont="1" applyFill="1" applyBorder="1" applyAlignment="1">
      <alignment horizontal="center"/>
    </xf>
    <xf numFmtId="0" fontId="11" fillId="5" borderId="12" xfId="0" applyFont="1" applyFill="1" applyBorder="1" applyAlignment="1">
      <alignment horizontal="center"/>
    </xf>
    <xf numFmtId="0" fontId="11" fillId="5" borderId="19" xfId="0" applyFont="1" applyFill="1" applyBorder="1" applyAlignment="1">
      <alignment horizontal="center"/>
    </xf>
    <xf numFmtId="0" fontId="11" fillId="5" borderId="22" xfId="0" applyFont="1" applyFill="1" applyBorder="1" applyAlignment="1">
      <alignment horizontal="center"/>
    </xf>
    <xf numFmtId="0" fontId="15" fillId="0" borderId="4" xfId="0" applyFont="1" applyBorder="1" applyAlignment="1">
      <alignment horizontal="left" vertical="top" wrapText="1"/>
    </xf>
    <xf numFmtId="0" fontId="15" fillId="0" borderId="12" xfId="0" applyFont="1" applyBorder="1" applyAlignment="1">
      <alignment horizontal="left" vertical="top" wrapText="1"/>
    </xf>
    <xf numFmtId="0" fontId="15" fillId="0" borderId="15" xfId="0" applyFont="1" applyBorder="1" applyAlignment="1">
      <alignment horizontal="left" vertical="top" wrapText="1"/>
    </xf>
    <xf numFmtId="0" fontId="15" fillId="0" borderId="17" xfId="0" applyFont="1" applyBorder="1" applyAlignment="1">
      <alignment horizontal="left" vertical="top" wrapText="1"/>
    </xf>
    <xf numFmtId="0" fontId="15" fillId="0" borderId="0" xfId="0" applyFont="1" applyBorder="1" applyAlignment="1">
      <alignment horizontal="left" vertical="top" wrapText="1"/>
    </xf>
    <xf numFmtId="0" fontId="15" fillId="0" borderId="16" xfId="0" applyFont="1" applyBorder="1" applyAlignment="1">
      <alignment horizontal="left" vertical="top" wrapText="1"/>
    </xf>
    <xf numFmtId="0" fontId="15" fillId="0" borderId="19" xfId="0" applyFont="1" applyBorder="1" applyAlignment="1">
      <alignment horizontal="left" vertical="top" wrapText="1"/>
    </xf>
    <xf numFmtId="0" fontId="15" fillId="0" borderId="22" xfId="0" applyFont="1" applyBorder="1" applyAlignment="1">
      <alignment horizontal="left" vertical="top" wrapText="1"/>
    </xf>
    <xf numFmtId="0" fontId="15" fillId="0" borderId="23" xfId="0" applyFont="1" applyBorder="1" applyAlignment="1">
      <alignment horizontal="left" vertical="top" wrapText="1"/>
    </xf>
    <xf numFmtId="0" fontId="10" fillId="5" borderId="4" xfId="0" applyFont="1" applyFill="1" applyBorder="1" applyAlignment="1">
      <alignment horizontal="center"/>
    </xf>
    <xf numFmtId="0" fontId="10" fillId="5" borderId="15" xfId="0" applyFont="1" applyFill="1" applyBorder="1" applyAlignment="1">
      <alignment horizontal="center"/>
    </xf>
    <xf numFmtId="0" fontId="10" fillId="0" borderId="4" xfId="0" applyFont="1" applyBorder="1" applyAlignment="1">
      <alignment horizontal="right"/>
    </xf>
    <xf numFmtId="0" fontId="10" fillId="0" borderId="12" xfId="0" applyFont="1" applyBorder="1" applyAlignment="1">
      <alignment horizontal="right"/>
    </xf>
    <xf numFmtId="0" fontId="10" fillId="0" borderId="12" xfId="0" applyFont="1" applyBorder="1" applyAlignment="1">
      <alignment horizontal="center"/>
    </xf>
    <xf numFmtId="0" fontId="10" fillId="0" borderId="0" xfId="0" applyFont="1" applyAlignment="1">
      <alignment horizontal="right"/>
    </xf>
    <xf numFmtId="0" fontId="10" fillId="0" borderId="0" xfId="0" applyFont="1" applyBorder="1" applyAlignment="1">
      <alignment horizontal="center"/>
    </xf>
    <xf numFmtId="0" fontId="11" fillId="0" borderId="0" xfId="0" applyFont="1" applyBorder="1" applyAlignment="1">
      <alignment horizontal="center"/>
    </xf>
    <xf numFmtId="0" fontId="11" fillId="0" borderId="0" xfId="0" applyFont="1" applyBorder="1" applyAlignment="1">
      <alignment horizontal="right"/>
    </xf>
    <xf numFmtId="0" fontId="11" fillId="0" borderId="22" xfId="0" applyFont="1" applyBorder="1" applyAlignment="1">
      <alignment horizontal="right"/>
    </xf>
    <xf numFmtId="0" fontId="10" fillId="0" borderId="0" xfId="0" applyFont="1" applyBorder="1" applyAlignment="1">
      <alignment horizontal="right"/>
    </xf>
    <xf numFmtId="0" fontId="11" fillId="0" borderId="5" xfId="0" applyFont="1" applyBorder="1" applyAlignment="1">
      <alignment horizontal="left" vertical="top" wrapText="1"/>
    </xf>
    <xf numFmtId="0" fontId="11" fillId="0" borderId="20" xfId="0" applyFont="1" applyBorder="1" applyAlignment="1">
      <alignment horizontal="left" vertical="top" wrapText="1"/>
    </xf>
    <xf numFmtId="0" fontId="11" fillId="0" borderId="21" xfId="0" applyFont="1" applyBorder="1" applyAlignment="1">
      <alignment horizontal="left" vertical="top" wrapText="1"/>
    </xf>
    <xf numFmtId="0" fontId="11" fillId="0" borderId="9" xfId="0" applyFont="1" applyBorder="1" applyAlignment="1">
      <alignment horizontal="center"/>
    </xf>
    <xf numFmtId="0" fontId="11" fillId="0" borderId="24" xfId="0" applyFont="1" applyBorder="1" applyAlignment="1">
      <alignment horizontal="center"/>
    </xf>
    <xf numFmtId="0" fontId="11" fillId="0" borderId="13" xfId="0" applyFont="1" applyBorder="1" applyAlignment="1">
      <alignment horizontal="center"/>
    </xf>
    <xf numFmtId="0" fontId="11" fillId="0" borderId="4" xfId="0" applyNumberFormat="1" applyFont="1" applyFill="1" applyBorder="1" applyAlignment="1">
      <alignment horizontal="left" vertical="top" wrapText="1"/>
    </xf>
    <xf numFmtId="0" fontId="11" fillId="0" borderId="12" xfId="0" applyNumberFormat="1" applyFont="1" applyFill="1" applyBorder="1" applyAlignment="1">
      <alignment horizontal="left" vertical="top" wrapText="1"/>
    </xf>
    <xf numFmtId="0" fontId="11" fillId="0" borderId="15" xfId="0" applyNumberFormat="1" applyFont="1" applyFill="1" applyBorder="1" applyAlignment="1">
      <alignment horizontal="left" vertical="top" wrapText="1"/>
    </xf>
    <xf numFmtId="0" fontId="11" fillId="0" borderId="17" xfId="0" applyNumberFormat="1" applyFont="1" applyFill="1" applyBorder="1" applyAlignment="1">
      <alignment horizontal="left" vertical="top" wrapText="1"/>
    </xf>
    <xf numFmtId="0" fontId="11" fillId="0" borderId="0" xfId="0" applyNumberFormat="1" applyFont="1" applyFill="1" applyBorder="1" applyAlignment="1">
      <alignment horizontal="left" vertical="top" wrapText="1"/>
    </xf>
    <xf numFmtId="0" fontId="11" fillId="0" borderId="16" xfId="0" applyNumberFormat="1" applyFont="1" applyFill="1" applyBorder="1" applyAlignment="1">
      <alignment horizontal="left" vertical="top" wrapText="1"/>
    </xf>
    <xf numFmtId="0" fontId="11" fillId="0" borderId="19" xfId="0" applyNumberFormat="1" applyFont="1" applyFill="1" applyBorder="1" applyAlignment="1">
      <alignment horizontal="left" vertical="top" wrapText="1"/>
    </xf>
    <xf numFmtId="0" fontId="11" fillId="0" borderId="22" xfId="0" applyNumberFormat="1" applyFont="1" applyFill="1" applyBorder="1" applyAlignment="1">
      <alignment horizontal="left" vertical="top" wrapText="1"/>
    </xf>
    <xf numFmtId="0" fontId="11" fillId="0" borderId="23" xfId="0" applyNumberFormat="1" applyFont="1" applyFill="1" applyBorder="1" applyAlignment="1">
      <alignment horizontal="left" vertical="top" wrapText="1"/>
    </xf>
    <xf numFmtId="0" fontId="11" fillId="0" borderId="22" xfId="0" applyFont="1" applyBorder="1" applyAlignment="1">
      <alignment horizontal="center"/>
    </xf>
    <xf numFmtId="14" fontId="11" fillId="0" borderId="12" xfId="0" applyNumberFormat="1" applyFont="1" applyBorder="1" applyAlignment="1">
      <alignment horizontal="right"/>
    </xf>
    <xf numFmtId="0" fontId="10" fillId="0" borderId="22" xfId="0" applyFont="1" applyBorder="1" applyAlignment="1">
      <alignment horizontal="right"/>
    </xf>
  </cellXfs>
  <cellStyles count="2">
    <cellStyle name="Hyperlink" xfId="1" builtinId="8"/>
    <cellStyle name="Normal" xfId="0" builtinId="0"/>
  </cellStyles>
  <dxfs count="37">
    <dxf>
      <font>
        <color theme="0"/>
      </font>
      <border>
        <left/>
        <right/>
        <top/>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dxf>
    <dxf>
      <font>
        <color rgb="FFC00000"/>
      </font>
      <fill>
        <patternFill>
          <bgColor rgb="FFFFCCCC"/>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C00000"/>
      </font>
      <fill>
        <patternFill>
          <bgColor rgb="FFFFCCCC"/>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ont>
        <b/>
        <i val="0"/>
        <strike val="0"/>
        <color theme="0"/>
      </font>
      <fill>
        <patternFill>
          <bgColor rgb="FFC00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CCCC"/>
      <color rgb="FFFFCCFF"/>
      <color rgb="FFFF6699"/>
      <color rgb="FFFFC7C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CheckBox" fmlaLink="'Data Values'!$K$13"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fmlaLink="'Data Values'!$K$12" lockText="1" noThreeD="1"/>
</file>

<file path=xl/ctrlProps/ctrlProp13.xml><?xml version="1.0" encoding="utf-8"?>
<formControlPr xmlns="http://schemas.microsoft.com/office/spreadsheetml/2009/9/main" objectType="CheckBox" fmlaLink="'Data Values'!$K$14" lockText="1" noThreeD="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CheckBox" fmlaLink="'Data Values'!$K$4" lockText="1" noThreeD="1"/>
</file>

<file path=xl/ctrlProps/ctrlProp3.xml><?xml version="1.0" encoding="utf-8"?>
<formControlPr xmlns="http://schemas.microsoft.com/office/spreadsheetml/2009/9/main" objectType="CheckBox" fmlaLink="'Data Values'!$K$6" lockText="1" noThreeD="1"/>
</file>

<file path=xl/ctrlProps/ctrlProp4.xml><?xml version="1.0" encoding="utf-8"?>
<formControlPr xmlns="http://schemas.microsoft.com/office/spreadsheetml/2009/9/main" objectType="CheckBox" fmlaLink="'Data Values'!$K$5" lockText="1" noThreeD="1"/>
</file>

<file path=xl/ctrlProps/ctrlProp5.xml><?xml version="1.0" encoding="utf-8"?>
<formControlPr xmlns="http://schemas.microsoft.com/office/spreadsheetml/2009/9/main" objectType="CheckBox" fmlaLink="'Data Values'!$K$7" lockText="1" noThreeD="1"/>
</file>

<file path=xl/ctrlProps/ctrlProp6.xml><?xml version="1.0" encoding="utf-8"?>
<formControlPr xmlns="http://schemas.microsoft.com/office/spreadsheetml/2009/9/main" objectType="CheckBox" fmlaLink="'Data Values'!$K$8" lockText="1" noThreeD="1"/>
</file>

<file path=xl/ctrlProps/ctrlProp7.xml><?xml version="1.0" encoding="utf-8"?>
<formControlPr xmlns="http://schemas.microsoft.com/office/spreadsheetml/2009/9/main" objectType="CheckBox" fmlaLink="'Data Values'!$K$10" lockText="1" noThreeD="1"/>
</file>

<file path=xl/ctrlProps/ctrlProp8.xml><?xml version="1.0" encoding="utf-8"?>
<formControlPr xmlns="http://schemas.microsoft.com/office/spreadsheetml/2009/9/main" objectType="CheckBox" fmlaLink="'Data Values'!$K$9" lockText="1" noThreeD="1"/>
</file>

<file path=xl/ctrlProps/ctrlProp9.xml><?xml version="1.0" encoding="utf-8"?>
<formControlPr xmlns="http://schemas.microsoft.com/office/spreadsheetml/2009/9/main" objectType="CheckBox" fmlaLink="'Data Values'!$K$1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180975</xdr:colOff>
          <xdr:row>2</xdr:row>
          <xdr:rowOff>0</xdr:rowOff>
        </xdr:from>
        <xdr:to>
          <xdr:col>0</xdr:col>
          <xdr:colOff>1466850</xdr:colOff>
          <xdr:row>5</xdr:row>
          <xdr:rowOff>19050</xdr:rowOff>
        </xdr:to>
        <xdr:sp macro="" textlink="">
          <xdr:nvSpPr>
            <xdr:cNvPr id="41985" name="Button 1" hidden="1">
              <a:extLst>
                <a:ext uri="{63B3BB69-23CF-44E3-9099-C40C66FF867C}">
                  <a14:compatExt spid="_x0000_s41985"/>
                </a:ext>
              </a:extLst>
            </xdr:cNvPr>
            <xdr:cNvSpPr/>
          </xdr:nvSpPr>
          <xdr:spPr>
            <a:xfrm>
              <a:off x="0" y="0"/>
              <a:ext cx="0" cy="0"/>
            </a:xfrm>
            <a:prstGeom prst="rect">
              <a:avLst/>
            </a:prstGeom>
          </xdr:spPr>
          <xdr:txBody>
            <a:bodyPr vertOverflow="clip" wrap="square" lIns="36576" tIns="22860" rIns="36576" bIns="22860" anchor="ctr" upright="1"/>
            <a:lstStyle/>
            <a:p>
              <a:pPr algn="ctr" rtl="0">
                <a:defRPr sz="1000"/>
              </a:pPr>
              <a:r>
                <a:rPr lang="en-CA" sz="1200" b="0" i="0" u="none" strike="noStrike" baseline="0">
                  <a:solidFill>
                    <a:srgbClr val="000000"/>
                  </a:solidFill>
                  <a:latin typeface="Arial"/>
                  <a:cs typeface="Arial"/>
                </a:rPr>
                <a:t>Clear Workbook</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21</xdr:row>
          <xdr:rowOff>190500</xdr:rowOff>
        </xdr:from>
        <xdr:to>
          <xdr:col>3</xdr:col>
          <xdr:colOff>276225</xdr:colOff>
          <xdr:row>22</xdr:row>
          <xdr:rowOff>200025</xdr:rowOff>
        </xdr:to>
        <xdr:sp macro="" textlink="">
          <xdr:nvSpPr>
            <xdr:cNvPr id="22536" name="Check Box 8" hidden="1">
              <a:extLst>
                <a:ext uri="{63B3BB69-23CF-44E3-9099-C40C66FF867C}">
                  <a14:compatExt spid="_x0000_s225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Mixed adult/teen and child victim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142875</xdr:rowOff>
        </xdr:from>
        <xdr:to>
          <xdr:col>1</xdr:col>
          <xdr:colOff>2133600</xdr:colOff>
          <xdr:row>24</xdr:row>
          <xdr:rowOff>171450</xdr:rowOff>
        </xdr:to>
        <xdr:sp macro="" textlink="">
          <xdr:nvSpPr>
            <xdr:cNvPr id="22532" name="Check Box 4" hidden="1">
              <a:extLst>
                <a:ext uri="{63B3BB69-23CF-44E3-9099-C40C66FF867C}">
                  <a14:compatExt spid="_x0000_s225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Extrafamiliar adult/teen victim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161925</xdr:rowOff>
        </xdr:from>
        <xdr:to>
          <xdr:col>1</xdr:col>
          <xdr:colOff>2000250</xdr:colOff>
          <xdr:row>23</xdr:row>
          <xdr:rowOff>171450</xdr:rowOff>
        </xdr:to>
        <xdr:sp macro="" textlink="">
          <xdr:nvSpPr>
            <xdr:cNvPr id="22541" name="Check Box 13" hidden="1">
              <a:extLst>
                <a:ext uri="{63B3BB69-23CF-44E3-9099-C40C66FF867C}">
                  <a14:compatExt spid="_x0000_s225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Extrafamiliar child victim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142875</xdr:rowOff>
        </xdr:from>
        <xdr:to>
          <xdr:col>3</xdr:col>
          <xdr:colOff>200025</xdr:colOff>
          <xdr:row>25</xdr:row>
          <xdr:rowOff>190500</xdr:rowOff>
        </xdr:to>
        <xdr:sp macro="" textlink="">
          <xdr:nvSpPr>
            <xdr:cNvPr id="22568" name="Check Box 40" hidden="1">
              <a:extLst>
                <a:ext uri="{63B3BB69-23CF-44E3-9099-C40C66FF867C}">
                  <a14:compatExt spid="_x0000_s225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Intrafamilial victim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190500</xdr:rowOff>
        </xdr:from>
        <xdr:to>
          <xdr:col>9</xdr:col>
          <xdr:colOff>276225</xdr:colOff>
          <xdr:row>22</xdr:row>
          <xdr:rowOff>200025</xdr:rowOff>
        </xdr:to>
        <xdr:sp macro="" textlink="">
          <xdr:nvSpPr>
            <xdr:cNvPr id="22569" name="Check Box 41" hidden="1">
              <a:extLst>
                <a:ext uri="{63B3BB69-23CF-44E3-9099-C40C66FF867C}">
                  <a14:compatExt spid="_x0000_s225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Mixed adult/teen and child victim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142875</xdr:rowOff>
        </xdr:from>
        <xdr:to>
          <xdr:col>7</xdr:col>
          <xdr:colOff>2133600</xdr:colOff>
          <xdr:row>24</xdr:row>
          <xdr:rowOff>171450</xdr:rowOff>
        </xdr:to>
        <xdr:sp macro="" textlink="">
          <xdr:nvSpPr>
            <xdr:cNvPr id="22570" name="Check Box 42" hidden="1">
              <a:extLst>
                <a:ext uri="{63B3BB69-23CF-44E3-9099-C40C66FF867C}">
                  <a14:compatExt spid="_x0000_s225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Extrafamiliar adult/teen victim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161925</xdr:rowOff>
        </xdr:from>
        <xdr:to>
          <xdr:col>7</xdr:col>
          <xdr:colOff>2000250</xdr:colOff>
          <xdr:row>23</xdr:row>
          <xdr:rowOff>171450</xdr:rowOff>
        </xdr:to>
        <xdr:sp macro="" textlink="">
          <xdr:nvSpPr>
            <xdr:cNvPr id="22571" name="Check Box 43" hidden="1">
              <a:extLst>
                <a:ext uri="{63B3BB69-23CF-44E3-9099-C40C66FF867C}">
                  <a14:compatExt spid="_x0000_s225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Extrafamiliar child victim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142875</xdr:rowOff>
        </xdr:from>
        <xdr:to>
          <xdr:col>9</xdr:col>
          <xdr:colOff>209550</xdr:colOff>
          <xdr:row>25</xdr:row>
          <xdr:rowOff>190500</xdr:rowOff>
        </xdr:to>
        <xdr:sp macro="" textlink="">
          <xdr:nvSpPr>
            <xdr:cNvPr id="22572" name="Check Box 44" hidden="1">
              <a:extLst>
                <a:ext uri="{63B3BB69-23CF-44E3-9099-C40C66FF867C}">
                  <a14:compatExt spid="_x0000_s225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Intrafamilial victim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1209675</xdr:colOff>
          <xdr:row>5</xdr:row>
          <xdr:rowOff>133350</xdr:rowOff>
        </xdr:from>
        <xdr:to>
          <xdr:col>6</xdr:col>
          <xdr:colOff>3133725</xdr:colOff>
          <xdr:row>6</xdr:row>
          <xdr:rowOff>152400</xdr:rowOff>
        </xdr:to>
        <xdr:sp macro="" textlink="">
          <xdr:nvSpPr>
            <xdr:cNvPr id="22575" name="Check Box 47" hidden="1">
              <a:extLst>
                <a:ext uri="{63B3BB69-23CF-44E3-9099-C40C66FF867C}">
                  <a14:compatExt spid="_x0000_s225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Pre-Treatment Ratings Only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1209675</xdr:colOff>
          <xdr:row>7</xdr:row>
          <xdr:rowOff>57150</xdr:rowOff>
        </xdr:from>
        <xdr:to>
          <xdr:col>6</xdr:col>
          <xdr:colOff>2714625</xdr:colOff>
          <xdr:row>8</xdr:row>
          <xdr:rowOff>85725</xdr:rowOff>
        </xdr:to>
        <xdr:sp macro="" textlink="">
          <xdr:nvSpPr>
            <xdr:cNvPr id="22577" name="Check Box 49" hidden="1">
              <a:extLst>
                <a:ext uri="{63B3BB69-23CF-44E3-9099-C40C66FF867C}">
                  <a14:compatExt spid="_x0000_s225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Copy Pre-Tx --&gt; Post-Tx</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381000</xdr:colOff>
          <xdr:row>1</xdr:row>
          <xdr:rowOff>95250</xdr:rowOff>
        </xdr:from>
        <xdr:to>
          <xdr:col>1</xdr:col>
          <xdr:colOff>1943100</xdr:colOff>
          <xdr:row>2</xdr:row>
          <xdr:rowOff>114300</xdr:rowOff>
        </xdr:to>
        <xdr:sp macro="" textlink="">
          <xdr:nvSpPr>
            <xdr:cNvPr id="40962" name="Check Box 2" hidden="1">
              <a:extLst>
                <a:ext uri="{63B3BB69-23CF-44E3-9099-C40C66FF867C}">
                  <a14:compatExt spid="_x0000_s409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Use VRS SO Static Scores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2</xdr:row>
          <xdr:rowOff>171450</xdr:rowOff>
        </xdr:from>
        <xdr:to>
          <xdr:col>14</xdr:col>
          <xdr:colOff>1238250</xdr:colOff>
          <xdr:row>4</xdr:row>
          <xdr:rowOff>0</xdr:rowOff>
        </xdr:to>
        <xdr:sp macro="" textlink="">
          <xdr:nvSpPr>
            <xdr:cNvPr id="40969" name="Check Box 9" hidden="1">
              <a:extLst>
                <a:ext uri="{63B3BB69-23CF-44E3-9099-C40C66FF867C}">
                  <a14:compatExt spid="_x0000_s409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Clinical Override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7</xdr:row>
          <xdr:rowOff>0</xdr:rowOff>
        </xdr:from>
        <xdr:to>
          <xdr:col>15</xdr:col>
          <xdr:colOff>0</xdr:colOff>
          <xdr:row>9</xdr:row>
          <xdr:rowOff>133350</xdr:rowOff>
        </xdr:to>
        <xdr:sp macro="" textlink="">
          <xdr:nvSpPr>
            <xdr:cNvPr id="40970" name="Button 10" hidden="1">
              <a:extLst>
                <a:ext uri="{63B3BB69-23CF-44E3-9099-C40C66FF867C}">
                  <a14:compatExt spid="_x0000_s40970"/>
                </a:ext>
              </a:extLst>
            </xdr:cNvPr>
            <xdr:cNvSpPr/>
          </xdr:nvSpPr>
          <xdr:spPr>
            <a:xfrm>
              <a:off x="0" y="0"/>
              <a:ext cx="0" cy="0"/>
            </a:xfrm>
            <a:prstGeom prst="rect">
              <a:avLst/>
            </a:prstGeom>
          </xdr:spPr>
          <xdr:txBody>
            <a:bodyPr vertOverflow="clip" wrap="square" lIns="36576" tIns="22860" rIns="36576" bIns="22860" anchor="ctr" upright="1"/>
            <a:lstStyle/>
            <a:p>
              <a:pPr algn="ctr" rtl="0">
                <a:defRPr sz="1000"/>
              </a:pPr>
              <a:r>
                <a:rPr lang="en-CA" sz="1200" b="0" i="0" u="none" strike="noStrike" baseline="0">
                  <a:solidFill>
                    <a:srgbClr val="000000"/>
                  </a:solidFill>
                  <a:latin typeface="Arial"/>
                  <a:cs typeface="Arial"/>
                </a:rPr>
                <a:t>Print Report</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6.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7.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7.xml"/><Relationship Id="rId1" Type="http://schemas.openxmlformats.org/officeDocument/2006/relationships/vmlDrawing" Target="../drawings/vmlDrawing18.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8.xml"/><Relationship Id="rId1" Type="http://schemas.openxmlformats.org/officeDocument/2006/relationships/vmlDrawing" Target="../drawings/vmlDrawing19.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7" Type="http://schemas.openxmlformats.org/officeDocument/2006/relationships/comments" Target="../comments19.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1.v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23"/>
  <sheetViews>
    <sheetView showGridLines="0" showRowColHeaders="0" tabSelected="1" workbookViewId="0">
      <selection activeCell="E6" sqref="E6"/>
    </sheetView>
  </sheetViews>
  <sheetFormatPr defaultRowHeight="15" x14ac:dyDescent="0.2"/>
  <cols>
    <col min="1" max="1" width="34.33203125" customWidth="1"/>
    <col min="2" max="2" width="35.6640625" customWidth="1"/>
  </cols>
  <sheetData>
    <row r="1" spans="1:2" ht="15.75" x14ac:dyDescent="0.2">
      <c r="A1" s="40"/>
      <c r="B1" s="41" t="s">
        <v>371</v>
      </c>
    </row>
    <row r="2" spans="1:2" ht="15.75" x14ac:dyDescent="0.2">
      <c r="A2" s="40"/>
      <c r="B2" s="41"/>
    </row>
    <row r="3" spans="1:2" x14ac:dyDescent="0.2">
      <c r="A3" s="148" t="s">
        <v>144</v>
      </c>
      <c r="B3" s="148"/>
    </row>
    <row r="4" spans="1:2" x14ac:dyDescent="0.2">
      <c r="A4" s="145" t="s">
        <v>49</v>
      </c>
      <c r="B4" s="145"/>
    </row>
    <row r="5" spans="1:2" x14ac:dyDescent="0.2">
      <c r="A5" s="145" t="s">
        <v>54</v>
      </c>
      <c r="B5" s="145"/>
    </row>
    <row r="6" spans="1:2" x14ac:dyDescent="0.2">
      <c r="A6" s="145" t="s">
        <v>55</v>
      </c>
      <c r="B6" s="145"/>
    </row>
    <row r="7" spans="1:2" x14ac:dyDescent="0.2">
      <c r="A7" s="145" t="s">
        <v>56</v>
      </c>
      <c r="B7" s="145"/>
    </row>
    <row r="8" spans="1:2" x14ac:dyDescent="0.2">
      <c r="A8" s="145" t="s">
        <v>57</v>
      </c>
      <c r="B8" s="145"/>
    </row>
    <row r="9" spans="1:2" x14ac:dyDescent="0.2">
      <c r="A9" s="145" t="s">
        <v>58</v>
      </c>
      <c r="B9" s="145"/>
    </row>
    <row r="10" spans="1:2" x14ac:dyDescent="0.2">
      <c r="A10" s="145" t="s">
        <v>59</v>
      </c>
      <c r="B10" s="145"/>
    </row>
    <row r="11" spans="1:2" x14ac:dyDescent="0.2">
      <c r="A11" s="145" t="s">
        <v>60</v>
      </c>
      <c r="B11" s="145"/>
    </row>
    <row r="12" spans="1:2" x14ac:dyDescent="0.2">
      <c r="A12" s="145" t="s">
        <v>61</v>
      </c>
      <c r="B12" s="145"/>
    </row>
    <row r="13" spans="1:2" x14ac:dyDescent="0.2">
      <c r="A13" s="145" t="s">
        <v>62</v>
      </c>
      <c r="B13" s="145"/>
    </row>
    <row r="14" spans="1:2" x14ac:dyDescent="0.2">
      <c r="A14" s="145" t="s">
        <v>63</v>
      </c>
      <c r="B14" s="145"/>
    </row>
    <row r="15" spans="1:2" x14ac:dyDescent="0.2">
      <c r="A15" s="145" t="s">
        <v>64</v>
      </c>
      <c r="B15" s="145"/>
    </row>
    <row r="16" spans="1:2" x14ac:dyDescent="0.2">
      <c r="A16" s="145" t="s">
        <v>65</v>
      </c>
      <c r="B16" s="145"/>
    </row>
    <row r="17" spans="1:2" x14ac:dyDescent="0.2">
      <c r="A17" s="145" t="s">
        <v>66</v>
      </c>
      <c r="B17" s="145"/>
    </row>
    <row r="18" spans="1:2" x14ac:dyDescent="0.2">
      <c r="A18" s="145" t="s">
        <v>67</v>
      </c>
      <c r="B18" s="145"/>
    </row>
    <row r="19" spans="1:2" x14ac:dyDescent="0.2">
      <c r="A19" s="145" t="s">
        <v>68</v>
      </c>
      <c r="B19" s="145"/>
    </row>
    <row r="20" spans="1:2" x14ac:dyDescent="0.2">
      <c r="A20" s="145" t="s">
        <v>69</v>
      </c>
      <c r="B20" s="145"/>
    </row>
    <row r="21" spans="1:2" x14ac:dyDescent="0.2">
      <c r="A21" s="40"/>
      <c r="B21" s="40"/>
    </row>
    <row r="22" spans="1:2" x14ac:dyDescent="0.2">
      <c r="A22" s="147" t="s">
        <v>135</v>
      </c>
      <c r="B22" s="147"/>
    </row>
    <row r="23" spans="1:2" x14ac:dyDescent="0.2">
      <c r="A23" s="146"/>
      <c r="B23" s="146"/>
    </row>
  </sheetData>
  <sheetProtection password="E82C" sheet="1" objects="1" scenarios="1"/>
  <mergeCells count="20">
    <mergeCell ref="A3:B3"/>
    <mergeCell ref="A5:B5"/>
    <mergeCell ref="A6:B6"/>
    <mergeCell ref="A4:B4"/>
    <mergeCell ref="A7:B7"/>
    <mergeCell ref="A18:B18"/>
    <mergeCell ref="A19:B19"/>
    <mergeCell ref="A8:B8"/>
    <mergeCell ref="A23:B23"/>
    <mergeCell ref="A22:B22"/>
    <mergeCell ref="A20:B20"/>
    <mergeCell ref="A9:B9"/>
    <mergeCell ref="A10:B10"/>
    <mergeCell ref="A11:B11"/>
    <mergeCell ref="A12:B12"/>
    <mergeCell ref="A13:B13"/>
    <mergeCell ref="A14:B14"/>
    <mergeCell ref="A15:B15"/>
    <mergeCell ref="A16:B16"/>
    <mergeCell ref="A17:B17"/>
  </mergeCells>
  <hyperlinks>
    <hyperlink ref="A3:B3" location="'Static 2'!A1" display="VRS-SO STATIC Scoring"/>
    <hyperlink ref="A4:B4" location="'D1'!D1" display="D1 Sexually Deviant Lifestyle"/>
    <hyperlink ref="A5:B5" location="'D2'!B2" display="D2 Sexual Compulsivity "/>
    <hyperlink ref="A6:B6" location="'D3'!B2" display="D3 Offence Planning"/>
    <hyperlink ref="A7:B7" location="'D4'!B2" display="D4 Criminal Personality"/>
    <hyperlink ref="A8:B8" location="'D5'!B2" display="D5 Cognitive Distortions"/>
    <hyperlink ref="A9:B9" location="'D6'!B2" display="D6 Interpersonal Aggression"/>
    <hyperlink ref="A10:B10" location="'D7'!B2" display="D7 Emotional Control"/>
    <hyperlink ref="A11:B11" location="'D8'!B2" display="D8 Insight"/>
    <hyperlink ref="A12:B12" location="'D9'!B2" display="D9 Substance Abuse"/>
    <hyperlink ref="A13:B13" location="'D10'!B2" display="D10 Community Support"/>
    <hyperlink ref="A14:B14" location="'D11'!B2" display="D11 Released to High-Risk Situations"/>
    <hyperlink ref="A15:B15" location="'D12'!B2" display="D12 Sexual Offending Cycle"/>
    <hyperlink ref="A16:B16" location="'D13'!B2" display="D13 Impulsivity"/>
    <hyperlink ref="A17:B17" location="'D14'!B2" display="D14 Compliance with Community Supervision"/>
    <hyperlink ref="A18:B18" location="'D15'!B2" display="D15 Treatment Compliance"/>
    <hyperlink ref="A19:B19" location="'D16'!B2" display="D16 Deviant Sexual Preference"/>
    <hyperlink ref="A20:B20" location="'D17'!B2" display="D17 Intimacy Deficits"/>
    <hyperlink ref="A22:B22" location="'Summary Report'!A1" display="Summary Report"/>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Button 1">
              <controlPr defaultSize="0" print="0" autoFill="0" autoPict="0" macro="[0]!Clear_data">
                <anchor moveWithCells="1" sizeWithCells="1">
                  <from>
                    <xdr:col>0</xdr:col>
                    <xdr:colOff>180975</xdr:colOff>
                    <xdr:row>2</xdr:row>
                    <xdr:rowOff>0</xdr:rowOff>
                  </from>
                  <to>
                    <xdr:col>0</xdr:col>
                    <xdr:colOff>1466850</xdr:colOff>
                    <xdr:row>5</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D7"/>
  <sheetViews>
    <sheetView showGridLines="0" showRowColHeaders="0" topLeftCell="A2" workbookViewId="0">
      <selection activeCell="D6" sqref="D6"/>
    </sheetView>
  </sheetViews>
  <sheetFormatPr defaultRowHeight="15" x14ac:dyDescent="0.2"/>
  <cols>
    <col min="1" max="1" width="15.77734375" customWidth="1"/>
    <col min="2" max="3" width="60.77734375" customWidth="1"/>
    <col min="4" max="4" width="15.77734375" customWidth="1"/>
  </cols>
  <sheetData>
    <row r="1" spans="1:4" x14ac:dyDescent="0.2">
      <c r="A1" s="4" t="s">
        <v>47</v>
      </c>
      <c r="D1" s="10" t="s">
        <v>61</v>
      </c>
    </row>
    <row r="2" spans="1:4" ht="65.25" customHeight="1" thickBot="1" x14ac:dyDescent="0.25">
      <c r="A2" s="4"/>
      <c r="B2" s="166" t="s">
        <v>484</v>
      </c>
      <c r="C2" s="167"/>
      <c r="D2" s="5"/>
    </row>
    <row r="3" spans="1:4" ht="16.5" thickBot="1" x14ac:dyDescent="0.25">
      <c r="A3" s="163" t="s">
        <v>7</v>
      </c>
      <c r="B3" s="150"/>
      <c r="C3" s="164" t="s">
        <v>8</v>
      </c>
      <c r="D3" s="165"/>
    </row>
    <row r="4" spans="1:4" ht="15.75" x14ac:dyDescent="0.2">
      <c r="A4" s="6" t="s">
        <v>46</v>
      </c>
      <c r="B4" s="7" t="s">
        <v>51</v>
      </c>
      <c r="C4" s="3" t="s">
        <v>51</v>
      </c>
      <c r="D4" s="6" t="s">
        <v>46</v>
      </c>
    </row>
    <row r="5" spans="1:4" ht="15.75" x14ac:dyDescent="0.25">
      <c r="A5" s="77"/>
      <c r="B5" s="78"/>
      <c r="C5" s="79"/>
      <c r="D5" s="11" t="str">
        <f>IF(OR(A5="OMIT (NA)",C5="OMIT (NA)",A5="OMIT (Info)",C5="OMIT (Info)",C5=""),"",
IF(B5=C5,A5,
IF(AND(OR(B5='Data Values'!B2,B5='Data Values'!B3),OR(C5='Data Values'!B2,C5='Data Values'!B3)),A5,
IF(AND(OR(B5='Data Values'!B2,B5='Data Values'!B3),C5='Data Values'!B4),MAX(0,A5-0.5),
IF(AND(OR(B5='Data Values'!B2,B5='Data Values'!B3),C5='Data Values'!B5),MAX(0,A5-1),
IF(AND(OR(B5='Data Values'!B2,B5='Data Values'!B3),C5='Data Values'!B6),MAX(0,A5-1.5),
IF(AND(B5='Data Values'!B4,C5='Data Values'!B5),MAX(0,A5-0.5),
IF(AND(B5='Data Values'!B4,C5='Data Values'!B6),MAX(0,A5-1),
IF(AND(B5='Data Values'!B5,C5='Data Values'!B6),MAX(0,A5-0.5),
IF(AND(B5='Data Values'!B6,C5='Data Values'!B5),MIN(3,A5+0.5),
IF(AND(B5='Data Values'!B6,C5='Data Values'!B4),MIN(3,A5+1),
IF(AND(B5='Data Values'!B6,OR(C5='Data Values'!B2,C5='Data Values'!B3)),MIN(3,A5+1.5),
IF(AND(B5='Data Values'!B5,C5='Data Values'!B4),MIN(3,A5+0.5),
IF(AND(B5='Data Values'!B5,OR(C5='Data Values'!B2,C5='Data Values'!B3)),MIN(3,A5+1),
IF(AND(B5='Data Values'!B4,OR(C5='Data Values'!B2,C5='Data Values'!B3)),MIN(3,A5+0.5),"")))))))))))))))</f>
        <v/>
      </c>
    </row>
    <row r="6" spans="1:4" ht="15.75" thickBot="1" x14ac:dyDescent="0.25">
      <c r="A6" s="12"/>
      <c r="B6" s="8" t="s">
        <v>50</v>
      </c>
      <c r="C6" s="9" t="s">
        <v>53</v>
      </c>
      <c r="D6" s="80"/>
    </row>
    <row r="7" spans="1:4" ht="409.5" customHeight="1" x14ac:dyDescent="0.2">
      <c r="A7" s="168"/>
      <c r="B7" s="169"/>
      <c r="C7" s="168"/>
      <c r="D7" s="169"/>
    </row>
  </sheetData>
  <sheetProtection password="E82C" sheet="1" objects="1" scenarios="1"/>
  <mergeCells count="5">
    <mergeCell ref="B2:C2"/>
    <mergeCell ref="A3:B3"/>
    <mergeCell ref="C3:D3"/>
    <mergeCell ref="A7:B7"/>
    <mergeCell ref="C7:D7"/>
  </mergeCells>
  <hyperlinks>
    <hyperlink ref="A1" location="'Navigation page'!B1" display="VRS-SO Scoring Page"/>
    <hyperlink ref="D1" location="'D9'!B2" display="D9 Substance Abuse"/>
  </hyperlinks>
  <pageMargins left="0.7" right="0.7" top="0.75" bottom="0.75" header="0.3" footer="0.3"/>
  <legacyDrawing r:id="rId1"/>
  <extLst>
    <ext xmlns:x14="http://schemas.microsoft.com/office/spreadsheetml/2009/9/main" uri="{CCE6A557-97BC-4b89-ADB6-D9C93CAAB3DF}">
      <x14:dataValidations xmlns:xm="http://schemas.microsoft.com/office/excel/2006/main" xWindow="329" yWindow="339" count="3">
        <x14:dataValidation type="list" allowBlank="1" showInputMessage="1" showErrorMessage="1">
          <x14:formula1>
            <xm:f>'Data Values'!$A$2:$A$7</xm:f>
          </x14:formula1>
          <xm:sqref>D6 A5</xm:sqref>
        </x14:dataValidation>
        <x14:dataValidation type="list" allowBlank="1" showInputMessage="1" showErrorMessage="1" promptTitle="Assigning Post-treatment SOCs" prompt="If no pre-treatment stage of change was assigned because this factor was scored 0 or 1 and deemed to be low risk, do not assign a post-treatment stage of change.  Just provide a post-treatment score. ">
          <x14:formula1>
            <xm:f>'Data Values'!$B$2:$B$7</xm:f>
          </x14:formula1>
          <xm:sqref>C5</xm:sqref>
        </x14:dataValidation>
        <x14:dataValidation type="list" allowBlank="1" showInputMessage="1" showErrorMessage="1" promptTitle="Stage of Change for 0 or 1" prompt="If score is 0 or omitted, do not assign SOC._x000a__x000a_If score is 1, only assign SOC if item was a significant problem in the past, but is currently well managed. If it is a low risk item, do not assign SOC._x000a_">
          <x14:formula1>
            <xm:f>'Data Values'!$B$2:$B$7</xm:f>
          </x14:formula1>
          <xm:sqref>B5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D7"/>
  <sheetViews>
    <sheetView showGridLines="0" showRowColHeaders="0" workbookViewId="0">
      <selection activeCell="D6" sqref="D6"/>
    </sheetView>
  </sheetViews>
  <sheetFormatPr defaultRowHeight="15" x14ac:dyDescent="0.2"/>
  <cols>
    <col min="1" max="1" width="15.77734375" customWidth="1"/>
    <col min="2" max="3" width="60.77734375" customWidth="1"/>
    <col min="4" max="4" width="15.77734375" customWidth="1"/>
  </cols>
  <sheetData>
    <row r="1" spans="1:4" x14ac:dyDescent="0.2">
      <c r="A1" s="4" t="s">
        <v>47</v>
      </c>
      <c r="D1" s="10" t="s">
        <v>62</v>
      </c>
    </row>
    <row r="2" spans="1:4" ht="65.25" customHeight="1" thickBot="1" x14ac:dyDescent="0.25">
      <c r="A2" s="4"/>
      <c r="B2" s="166" t="s">
        <v>485</v>
      </c>
      <c r="C2" s="167"/>
      <c r="D2" s="5"/>
    </row>
    <row r="3" spans="1:4" ht="16.5" thickBot="1" x14ac:dyDescent="0.25">
      <c r="A3" s="163" t="s">
        <v>7</v>
      </c>
      <c r="B3" s="150"/>
      <c r="C3" s="164" t="s">
        <v>8</v>
      </c>
      <c r="D3" s="165"/>
    </row>
    <row r="4" spans="1:4" ht="15.75" x14ac:dyDescent="0.2">
      <c r="A4" s="6" t="s">
        <v>46</v>
      </c>
      <c r="B4" s="7" t="s">
        <v>51</v>
      </c>
      <c r="C4" s="3" t="s">
        <v>51</v>
      </c>
      <c r="D4" s="6" t="s">
        <v>46</v>
      </c>
    </row>
    <row r="5" spans="1:4" ht="15.75" x14ac:dyDescent="0.25">
      <c r="A5" s="77"/>
      <c r="B5" s="78"/>
      <c r="C5" s="79"/>
      <c r="D5" s="11" t="str">
        <f>IF(OR(A5="OMIT (NA)",C5="OMIT (NA)",A5="OMIT (Info)",C5="OMIT (Info)",C5=""),"",
IF(B5=C5,A5,
IF(AND(OR(B5='Data Values'!B2,B5='Data Values'!B3),OR(C5='Data Values'!B2,C5='Data Values'!B3)),A5,
IF(AND(OR(B5='Data Values'!B2,B5='Data Values'!B3),C5='Data Values'!B4),MAX(0,A5-0.5),
IF(AND(OR(B5='Data Values'!B2,B5='Data Values'!B3),C5='Data Values'!B5),MAX(0,A5-1),
IF(AND(OR(B5='Data Values'!B2,B5='Data Values'!B3),C5='Data Values'!B6),MAX(0,A5-1.5),
IF(AND(B5='Data Values'!B4,C5='Data Values'!B5),MAX(0,A5-0.5),
IF(AND(B5='Data Values'!B4,C5='Data Values'!B6),MAX(0,A5-1),
IF(AND(B5='Data Values'!B5,C5='Data Values'!B6),MAX(0,A5-0.5),
IF(AND(B5='Data Values'!B6,C5='Data Values'!B5),MIN(3,A5+0.5),
IF(AND(B5='Data Values'!B6,C5='Data Values'!B4),MIN(3,A5+1),
IF(AND(B5='Data Values'!B6,OR(C5='Data Values'!B2,C5='Data Values'!B3)),MIN(3,A5+1.5),
IF(AND(B5='Data Values'!B5,C5='Data Values'!B4),MIN(3,A5+0.5),
IF(AND(B5='Data Values'!B5,OR(C5='Data Values'!B2,C5='Data Values'!B3)),MIN(3,A5+1),
IF(AND(B5='Data Values'!B4,OR(C5='Data Values'!B2,C5='Data Values'!B3)),MIN(3,A5+0.5),"")))))))))))))))</f>
        <v/>
      </c>
    </row>
    <row r="6" spans="1:4" ht="15.75" thickBot="1" x14ac:dyDescent="0.25">
      <c r="A6" s="12"/>
      <c r="B6" s="8" t="s">
        <v>50</v>
      </c>
      <c r="C6" s="9" t="s">
        <v>53</v>
      </c>
      <c r="D6" s="80"/>
    </row>
    <row r="7" spans="1:4" ht="409.5" customHeight="1" x14ac:dyDescent="0.2">
      <c r="A7" s="168"/>
      <c r="B7" s="169"/>
      <c r="C7" s="168"/>
      <c r="D7" s="169"/>
    </row>
  </sheetData>
  <sheetProtection password="E82C" sheet="1" objects="1" scenarios="1"/>
  <mergeCells count="5">
    <mergeCell ref="B2:C2"/>
    <mergeCell ref="A3:B3"/>
    <mergeCell ref="C3:D3"/>
    <mergeCell ref="A7:B7"/>
    <mergeCell ref="C7:D7"/>
  </mergeCells>
  <hyperlinks>
    <hyperlink ref="A1" location="'Navigation page'!B1" display="VRS-SO Scoring Page"/>
    <hyperlink ref="D1" location="'D10'!B2" display="D10 Community Support"/>
  </hyperlinks>
  <pageMargins left="0.7" right="0.7" top="0.75" bottom="0.75" header="0.3" footer="0.3"/>
  <legacyDrawing r:id="rId1"/>
  <extLst>
    <ext xmlns:x14="http://schemas.microsoft.com/office/spreadsheetml/2009/9/main" uri="{CCE6A557-97BC-4b89-ADB6-D9C93CAAB3DF}">
      <x14:dataValidations xmlns:xm="http://schemas.microsoft.com/office/excel/2006/main" xWindow="320" yWindow="341" count="3">
        <x14:dataValidation type="list" allowBlank="1" showInputMessage="1" showErrorMessage="1">
          <x14:formula1>
            <xm:f>'Data Values'!$A$2:$A$7</xm:f>
          </x14:formula1>
          <xm:sqref>D6 A5</xm:sqref>
        </x14:dataValidation>
        <x14:dataValidation type="list" allowBlank="1" showInputMessage="1" showErrorMessage="1" promptTitle="Assigning Post-treatment SOCs" prompt="If no pre-treatment stage of change was assigned because this factor was scored 0 or 1 and deemed to be low risk, do not assign a post-treatment stage of change.  Just provide a post-treatment score. ">
          <x14:formula1>
            <xm:f>'Data Values'!$B$2:$B$7</xm:f>
          </x14:formula1>
          <xm:sqref>C5</xm:sqref>
        </x14:dataValidation>
        <x14:dataValidation type="list" allowBlank="1" showInputMessage="1" showErrorMessage="1" promptTitle="Stage of Change for 0 or 1" prompt="If score is 0 or omitted, do not assign SOC._x000a__x000a_If score is 1, only assign SOC if item was a significant problem in the past, but is currently well managed. If it is a low risk item, do not assign SOC._x000a_">
          <x14:formula1>
            <xm:f>'Data Values'!$B$2:$B$7</xm:f>
          </x14:formula1>
          <xm:sqref>B5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D7"/>
  <sheetViews>
    <sheetView showGridLines="0" showRowColHeaders="0" workbookViewId="0">
      <selection activeCell="D6" sqref="D6"/>
    </sheetView>
  </sheetViews>
  <sheetFormatPr defaultRowHeight="15" x14ac:dyDescent="0.2"/>
  <cols>
    <col min="1" max="1" width="15.77734375" customWidth="1"/>
    <col min="2" max="3" width="60.77734375" customWidth="1"/>
    <col min="4" max="4" width="15.77734375" customWidth="1"/>
  </cols>
  <sheetData>
    <row r="1" spans="1:4" x14ac:dyDescent="0.2">
      <c r="A1" s="4" t="s">
        <v>47</v>
      </c>
      <c r="D1" s="10" t="s">
        <v>63</v>
      </c>
    </row>
    <row r="2" spans="1:4" ht="65.25" customHeight="1" thickBot="1" x14ac:dyDescent="0.25">
      <c r="A2" s="4"/>
      <c r="B2" s="166" t="s">
        <v>486</v>
      </c>
      <c r="C2" s="167"/>
      <c r="D2" s="5"/>
    </row>
    <row r="3" spans="1:4" ht="16.5" thickBot="1" x14ac:dyDescent="0.25">
      <c r="A3" s="163" t="s">
        <v>7</v>
      </c>
      <c r="B3" s="150"/>
      <c r="C3" s="164" t="s">
        <v>8</v>
      </c>
      <c r="D3" s="165"/>
    </row>
    <row r="4" spans="1:4" ht="15.75" x14ac:dyDescent="0.2">
      <c r="A4" s="6" t="s">
        <v>46</v>
      </c>
      <c r="B4" s="7" t="s">
        <v>51</v>
      </c>
      <c r="C4" s="3" t="s">
        <v>51</v>
      </c>
      <c r="D4" s="6" t="s">
        <v>46</v>
      </c>
    </row>
    <row r="5" spans="1:4" ht="15.75" x14ac:dyDescent="0.25">
      <c r="A5" s="77"/>
      <c r="B5" s="78"/>
      <c r="C5" s="79"/>
      <c r="D5" s="11" t="str">
        <f>IF(OR(A5="OMIT (NA)",C5="OMIT (NA)",A5="OMIT (Info)",C5="OMIT (Info)",C5=""),"",
IF(B5=C5,A5,
IF(AND(OR(B5='Data Values'!B2,B5='Data Values'!B3),OR(C5='Data Values'!B2,C5='Data Values'!B3)),A5,
IF(AND(OR(B5='Data Values'!B2,B5='Data Values'!B3),C5='Data Values'!B4),MAX(0,A5-0.5),
IF(AND(OR(B5='Data Values'!B2,B5='Data Values'!B3),C5='Data Values'!B5),MAX(0,A5-1),
IF(AND(OR(B5='Data Values'!B2,B5='Data Values'!B3),C5='Data Values'!B6),MAX(0,A5-1.5),
IF(AND(B5='Data Values'!B4,C5='Data Values'!B5),MAX(0,A5-0.5),
IF(AND(B5='Data Values'!B4,C5='Data Values'!B6),MAX(0,A5-1),
IF(AND(B5='Data Values'!B5,C5='Data Values'!B6),MAX(0,A5-0.5),
IF(AND(B5='Data Values'!B6,C5='Data Values'!B5),MIN(3,A5+0.5),
IF(AND(B5='Data Values'!B6,C5='Data Values'!B4),MIN(3,A5+1),
IF(AND(B5='Data Values'!B6,OR(C5='Data Values'!B2,C5='Data Values'!B3)),MIN(3,A5+1.5),
IF(AND(B5='Data Values'!B5,C5='Data Values'!B4),MIN(3,A5+0.5),
IF(AND(B5='Data Values'!B5,OR(C5='Data Values'!B2,C5='Data Values'!B3)),MIN(3,A5+1),
IF(AND(B5='Data Values'!B4,OR(C5='Data Values'!B2,C5='Data Values'!B3)),MIN(3,A5+0.5),"")))))))))))))))</f>
        <v/>
      </c>
    </row>
    <row r="6" spans="1:4" ht="15.75" thickBot="1" x14ac:dyDescent="0.25">
      <c r="A6" s="12"/>
      <c r="B6" s="8" t="s">
        <v>50</v>
      </c>
      <c r="C6" s="9" t="s">
        <v>53</v>
      </c>
      <c r="D6" s="80"/>
    </row>
    <row r="7" spans="1:4" ht="409.5" customHeight="1" x14ac:dyDescent="0.2">
      <c r="A7" s="168"/>
      <c r="B7" s="169"/>
      <c r="C7" s="168"/>
      <c r="D7" s="169"/>
    </row>
  </sheetData>
  <sheetProtection password="E82C" sheet="1" objects="1" scenarios="1"/>
  <mergeCells count="5">
    <mergeCell ref="B2:C2"/>
    <mergeCell ref="A3:B3"/>
    <mergeCell ref="C3:D3"/>
    <mergeCell ref="A7:B7"/>
    <mergeCell ref="C7:D7"/>
  </mergeCells>
  <hyperlinks>
    <hyperlink ref="A1" location="'Navigation page'!B1" display="VRS-SO Scoring Page"/>
    <hyperlink ref="D1" location="'D11'!B2" display="D11 Released to High-Risk Situations"/>
  </hyperlinks>
  <pageMargins left="0.7" right="0.7" top="0.75" bottom="0.75" header="0.3" footer="0.3"/>
  <legacyDrawing r:id="rId1"/>
  <extLst>
    <ext xmlns:x14="http://schemas.microsoft.com/office/spreadsheetml/2009/9/main" uri="{CCE6A557-97BC-4b89-ADB6-D9C93CAAB3DF}">
      <x14:dataValidations xmlns:xm="http://schemas.microsoft.com/office/excel/2006/main" xWindow="326" yWindow="338" count="3">
        <x14:dataValidation type="list" allowBlank="1" showInputMessage="1" showErrorMessage="1">
          <x14:formula1>
            <xm:f>'Data Values'!$A$2:$A$7</xm:f>
          </x14:formula1>
          <xm:sqref>D6 A5</xm:sqref>
        </x14:dataValidation>
        <x14:dataValidation type="list" allowBlank="1" showInputMessage="1" showErrorMessage="1" promptTitle="Assigning Post-treatment SOCs" prompt="If no pre-treatment stage of change was assigned because this factor was scored 0 or 1 and deemed to be low risk, do not assign a post-treatment stage of change.  Just provide a post-treatment score. ">
          <x14:formula1>
            <xm:f>'Data Values'!$B$2:$B$7</xm:f>
          </x14:formula1>
          <xm:sqref>C5</xm:sqref>
        </x14:dataValidation>
        <x14:dataValidation type="list" allowBlank="1" showInputMessage="1" showErrorMessage="1" promptTitle="Stage of Change for 0 or 1" prompt="If score is 0 or omitted, do not assign SOC._x000a__x000a_If score is 1, only assign SOC if item was a significant problem in the past, but is currently well managed. If it is a low risk item, do not assign SOC._x000a_">
          <x14:formula1>
            <xm:f>'Data Values'!$B$2:$B$7</xm:f>
          </x14:formula1>
          <xm:sqref>B5</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D7"/>
  <sheetViews>
    <sheetView showGridLines="0" showRowColHeaders="0" workbookViewId="0">
      <selection activeCell="D6" sqref="D6"/>
    </sheetView>
  </sheetViews>
  <sheetFormatPr defaultRowHeight="15" x14ac:dyDescent="0.2"/>
  <cols>
    <col min="1" max="1" width="15.77734375" customWidth="1"/>
    <col min="2" max="3" width="60.77734375" customWidth="1"/>
    <col min="4" max="4" width="15.77734375" customWidth="1"/>
  </cols>
  <sheetData>
    <row r="1" spans="1:4" x14ac:dyDescent="0.2">
      <c r="A1" s="4" t="s">
        <v>47</v>
      </c>
      <c r="D1" s="10" t="s">
        <v>64</v>
      </c>
    </row>
    <row r="2" spans="1:4" ht="65.25" customHeight="1" thickBot="1" x14ac:dyDescent="0.25">
      <c r="A2" s="4"/>
      <c r="B2" s="166" t="s">
        <v>487</v>
      </c>
      <c r="C2" s="167"/>
      <c r="D2" s="5"/>
    </row>
    <row r="3" spans="1:4" ht="16.5" thickBot="1" x14ac:dyDescent="0.25">
      <c r="A3" s="163" t="s">
        <v>7</v>
      </c>
      <c r="B3" s="150"/>
      <c r="C3" s="164" t="s">
        <v>8</v>
      </c>
      <c r="D3" s="165"/>
    </row>
    <row r="4" spans="1:4" ht="15.75" x14ac:dyDescent="0.2">
      <c r="A4" s="6" t="s">
        <v>46</v>
      </c>
      <c r="B4" s="7" t="s">
        <v>51</v>
      </c>
      <c r="C4" s="3" t="s">
        <v>51</v>
      </c>
      <c r="D4" s="6" t="s">
        <v>46</v>
      </c>
    </row>
    <row r="5" spans="1:4" ht="15.75" x14ac:dyDescent="0.25">
      <c r="A5" s="77"/>
      <c r="B5" s="78"/>
      <c r="C5" s="79"/>
      <c r="D5" s="11" t="str">
        <f>IF(OR(A5="OMIT (NA)",C5="OMIT (NA)",A5="OMIT (Info)",C5="OMIT (Info)",C5=""),"",
IF(B5=C5,A5,
IF(AND(OR(B5='Data Values'!B2,B5='Data Values'!B3),OR(C5='Data Values'!B2,C5='Data Values'!B3)),A5,
IF(AND(OR(B5='Data Values'!B2,B5='Data Values'!B3),C5='Data Values'!B4),MAX(0,A5-0.5),
IF(AND(OR(B5='Data Values'!B2,B5='Data Values'!B3),C5='Data Values'!B5),MAX(0,A5-1),
IF(AND(OR(B5='Data Values'!B2,B5='Data Values'!B3),C5='Data Values'!B6),MAX(0,A5-1.5),
IF(AND(B5='Data Values'!B4,C5='Data Values'!B5),MAX(0,A5-0.5),
IF(AND(B5='Data Values'!B4,C5='Data Values'!B6),MAX(0,A5-1),
IF(AND(B5='Data Values'!B5,C5='Data Values'!B6),MAX(0,A5-0.5),
IF(AND(B5='Data Values'!B6,C5='Data Values'!B5),MIN(3,A5+0.5),
IF(AND(B5='Data Values'!B6,C5='Data Values'!B4),MIN(3,A5+1),
IF(AND(B5='Data Values'!B6,OR(C5='Data Values'!B2,C5='Data Values'!B3)),MIN(3,A5+1.5),
IF(AND(B5='Data Values'!B5,C5='Data Values'!B4),MIN(3,A5+0.5),
IF(AND(B5='Data Values'!B5,OR(C5='Data Values'!B2,C5='Data Values'!B3)),MIN(3,A5+1),
IF(AND(B5='Data Values'!B4,OR(C5='Data Values'!B2,C5='Data Values'!B3)),MIN(3,A5+0.5),"")))))))))))))))</f>
        <v/>
      </c>
    </row>
    <row r="6" spans="1:4" ht="15.75" thickBot="1" x14ac:dyDescent="0.25">
      <c r="A6" s="12"/>
      <c r="B6" s="8" t="s">
        <v>50</v>
      </c>
      <c r="C6" s="9" t="s">
        <v>53</v>
      </c>
      <c r="D6" s="80"/>
    </row>
    <row r="7" spans="1:4" ht="409.5" customHeight="1" x14ac:dyDescent="0.2">
      <c r="A7" s="168"/>
      <c r="B7" s="169"/>
      <c r="C7" s="168"/>
      <c r="D7" s="169"/>
    </row>
  </sheetData>
  <sheetProtection password="E82C" sheet="1" objects="1" scenarios="1"/>
  <mergeCells count="5">
    <mergeCell ref="B2:C2"/>
    <mergeCell ref="A3:B3"/>
    <mergeCell ref="C3:D3"/>
    <mergeCell ref="A7:B7"/>
    <mergeCell ref="C7:D7"/>
  </mergeCells>
  <hyperlinks>
    <hyperlink ref="A1" location="'Navigation page'!B1" display="VRS-SO Scoring Page"/>
    <hyperlink ref="D1" location="'D12'!B2" display="D12 Sexual Offending Cycle"/>
  </hyperlink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xWindow="324" yWindow="338" count="3">
        <x14:dataValidation type="list" allowBlank="1" showInputMessage="1" showErrorMessage="1">
          <x14:formula1>
            <xm:f>'Data Values'!$A$2:$A$7</xm:f>
          </x14:formula1>
          <xm:sqref>D6 A5</xm:sqref>
        </x14:dataValidation>
        <x14:dataValidation type="list" allowBlank="1" showInputMessage="1" showErrorMessage="1" promptTitle="Assigning Post-treatment SOCs" prompt="If no pre-treatment stage of change was assigned because this factor was scored 0 or 1 and deemed to be low risk, do not assign a post-treatment stage of change.  Just provide a post-treatment score. ">
          <x14:formula1>
            <xm:f>'Data Values'!$B$2:$B$7</xm:f>
          </x14:formula1>
          <xm:sqref>C5</xm:sqref>
        </x14:dataValidation>
        <x14:dataValidation type="list" allowBlank="1" showInputMessage="1" showErrorMessage="1" promptTitle="Stage of Change for 0 or 1" prompt="If score is 0 or omitted, do not assign SOC._x000a__x000a_If score is 1, only assign SOC if item was a significant problem in the past, but is currently well managed. If it is a low risk item, do not assign SOC._x000a_">
          <x14:formula1>
            <xm:f>'Data Values'!$B$2:$B$7</xm:f>
          </x14:formula1>
          <xm:sqref>B5</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D7"/>
  <sheetViews>
    <sheetView showGridLines="0" showRowColHeaders="0" workbookViewId="0">
      <selection activeCell="D6" sqref="D6"/>
    </sheetView>
  </sheetViews>
  <sheetFormatPr defaultRowHeight="15" x14ac:dyDescent="0.2"/>
  <cols>
    <col min="1" max="1" width="15.77734375" customWidth="1"/>
    <col min="2" max="3" width="60.77734375" customWidth="1"/>
    <col min="4" max="4" width="15.77734375" customWidth="1"/>
  </cols>
  <sheetData>
    <row r="1" spans="1:4" x14ac:dyDescent="0.2">
      <c r="A1" s="4" t="s">
        <v>47</v>
      </c>
      <c r="D1" s="10" t="s">
        <v>65</v>
      </c>
    </row>
    <row r="2" spans="1:4" ht="65.25" customHeight="1" thickBot="1" x14ac:dyDescent="0.25">
      <c r="A2" s="4"/>
      <c r="B2" s="166" t="s">
        <v>488</v>
      </c>
      <c r="C2" s="167"/>
      <c r="D2" s="5"/>
    </row>
    <row r="3" spans="1:4" ht="16.5" thickBot="1" x14ac:dyDescent="0.25">
      <c r="A3" s="163" t="s">
        <v>7</v>
      </c>
      <c r="B3" s="150"/>
      <c r="C3" s="164" t="s">
        <v>8</v>
      </c>
      <c r="D3" s="165"/>
    </row>
    <row r="4" spans="1:4" ht="15.75" x14ac:dyDescent="0.2">
      <c r="A4" s="6" t="s">
        <v>46</v>
      </c>
      <c r="B4" s="7" t="s">
        <v>51</v>
      </c>
      <c r="C4" s="3" t="s">
        <v>51</v>
      </c>
      <c r="D4" s="6" t="s">
        <v>46</v>
      </c>
    </row>
    <row r="5" spans="1:4" ht="15.75" x14ac:dyDescent="0.25">
      <c r="A5" s="77"/>
      <c r="B5" s="78"/>
      <c r="C5" s="79"/>
      <c r="D5" s="11" t="str">
        <f>IF(OR(A5="OMIT (NA)",C5="OMIT (NA)",A5="OMIT (Info)",C5="OMIT (Info)",C5=""),"",
IF(B5=C5,A5,
IF(AND(OR(B5='Data Values'!B2,B5='Data Values'!B3),OR(C5='Data Values'!B2,C5='Data Values'!B3)),A5,
IF(AND(OR(B5='Data Values'!B2,B5='Data Values'!B3),C5='Data Values'!B4),MAX(0,A5-0.5),
IF(AND(OR(B5='Data Values'!B2,B5='Data Values'!B3),C5='Data Values'!B5),MAX(0,A5-1),
IF(AND(OR(B5='Data Values'!B2,B5='Data Values'!B3),C5='Data Values'!B6),MAX(0,A5-1.5),
IF(AND(B5='Data Values'!B4,C5='Data Values'!B5),MAX(0,A5-0.5),
IF(AND(B5='Data Values'!B4,C5='Data Values'!B6),MAX(0,A5-1),
IF(AND(B5='Data Values'!B5,C5='Data Values'!B6),MAX(0,A5-0.5),
IF(AND(B5='Data Values'!B6,C5='Data Values'!B5),MIN(3,A5+0.5),
IF(AND(B5='Data Values'!B6,C5='Data Values'!B4),MIN(3,A5+1),
IF(AND(B5='Data Values'!B6,OR(C5='Data Values'!B2,C5='Data Values'!B3)),MIN(3,A5+1.5),
IF(AND(B5='Data Values'!B5,C5='Data Values'!B4),MIN(3,A5+0.5),
IF(AND(B5='Data Values'!B5,OR(C5='Data Values'!B2,C5='Data Values'!B3)),MIN(3,A5+1),
IF(AND(B5='Data Values'!B4,OR(C5='Data Values'!B2,C5='Data Values'!B3)),MIN(3,A5+0.5),"")))))))))))))))</f>
        <v/>
      </c>
    </row>
    <row r="6" spans="1:4" ht="15.75" thickBot="1" x14ac:dyDescent="0.25">
      <c r="A6" s="12"/>
      <c r="B6" s="8" t="s">
        <v>50</v>
      </c>
      <c r="C6" s="9" t="s">
        <v>53</v>
      </c>
      <c r="D6" s="80"/>
    </row>
    <row r="7" spans="1:4" ht="409.5" customHeight="1" x14ac:dyDescent="0.2">
      <c r="A7" s="168"/>
      <c r="B7" s="169"/>
      <c r="C7" s="168"/>
      <c r="D7" s="169"/>
    </row>
  </sheetData>
  <sheetProtection password="E82C" sheet="1" objects="1" scenarios="1"/>
  <mergeCells count="5">
    <mergeCell ref="B2:C2"/>
    <mergeCell ref="A3:B3"/>
    <mergeCell ref="C3:D3"/>
    <mergeCell ref="A7:B7"/>
    <mergeCell ref="C7:D7"/>
  </mergeCells>
  <hyperlinks>
    <hyperlink ref="A1" location="'Navigation page'!B1" display="VRS-SO Scoring Page"/>
    <hyperlink ref="D1" location="'D13'!B2" display="D13 Impulsivity"/>
  </hyperlinks>
  <pageMargins left="0.7" right="0.7" top="0.75" bottom="0.75" header="0.3" footer="0.3"/>
  <legacyDrawing r:id="rId1"/>
  <extLst>
    <ext xmlns:x14="http://schemas.microsoft.com/office/spreadsheetml/2009/9/main" uri="{CCE6A557-97BC-4b89-ADB6-D9C93CAAB3DF}">
      <x14:dataValidations xmlns:xm="http://schemas.microsoft.com/office/excel/2006/main" xWindow="326" yWindow="339" count="3">
        <x14:dataValidation type="list" allowBlank="1" showInputMessage="1" showErrorMessage="1">
          <x14:formula1>
            <xm:f>'Data Values'!$A$2:$A$7</xm:f>
          </x14:formula1>
          <xm:sqref>D6 A5</xm:sqref>
        </x14:dataValidation>
        <x14:dataValidation type="list" allowBlank="1" showInputMessage="1" showErrorMessage="1" promptTitle="Assigning Post-treatment SOCs" prompt="If no pre-treatment stage of change was assigned because this factor was scored 0 or 1 and deemed to be low risk, do not assign a post-treatment stage of change.  Just provide a post-treatment score. ">
          <x14:formula1>
            <xm:f>'Data Values'!$B$2:$B$7</xm:f>
          </x14:formula1>
          <xm:sqref>C5</xm:sqref>
        </x14:dataValidation>
        <x14:dataValidation type="list" allowBlank="1" showInputMessage="1" showErrorMessage="1" promptTitle="Stage of Change for 0 or 1" prompt="If score is 0 or omitted, do not assign SOC._x000a__x000a_If score is 1, only assign SOC if item was a significant problem in the past, but is currently well managed. If it is a low risk item, do not assign SOC._x000a_">
          <x14:formula1>
            <xm:f>'Data Values'!$B$2:$B$7</xm:f>
          </x14:formula1>
          <xm:sqref>B5</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D7"/>
  <sheetViews>
    <sheetView showGridLines="0" showRowColHeaders="0" workbookViewId="0">
      <selection activeCell="D6" sqref="D6"/>
    </sheetView>
  </sheetViews>
  <sheetFormatPr defaultRowHeight="15" x14ac:dyDescent="0.2"/>
  <cols>
    <col min="1" max="1" width="15.77734375" customWidth="1"/>
    <col min="2" max="3" width="60.77734375" customWidth="1"/>
    <col min="4" max="4" width="15.77734375" customWidth="1"/>
  </cols>
  <sheetData>
    <row r="1" spans="1:4" x14ac:dyDescent="0.2">
      <c r="A1" s="4" t="s">
        <v>47</v>
      </c>
      <c r="D1" s="10" t="s">
        <v>66</v>
      </c>
    </row>
    <row r="2" spans="1:4" ht="65.25" customHeight="1" thickBot="1" x14ac:dyDescent="0.25">
      <c r="A2" s="4"/>
      <c r="B2" s="166" t="s">
        <v>489</v>
      </c>
      <c r="C2" s="167"/>
      <c r="D2" s="5"/>
    </row>
    <row r="3" spans="1:4" ht="16.5" thickBot="1" x14ac:dyDescent="0.25">
      <c r="A3" s="163" t="s">
        <v>7</v>
      </c>
      <c r="B3" s="150"/>
      <c r="C3" s="164" t="s">
        <v>8</v>
      </c>
      <c r="D3" s="165"/>
    </row>
    <row r="4" spans="1:4" ht="15.75" x14ac:dyDescent="0.2">
      <c r="A4" s="6" t="s">
        <v>46</v>
      </c>
      <c r="B4" s="7" t="s">
        <v>51</v>
      </c>
      <c r="C4" s="3" t="s">
        <v>51</v>
      </c>
      <c r="D4" s="6" t="s">
        <v>46</v>
      </c>
    </row>
    <row r="5" spans="1:4" ht="15.75" x14ac:dyDescent="0.25">
      <c r="A5" s="77"/>
      <c r="B5" s="78"/>
      <c r="C5" s="79"/>
      <c r="D5" s="11" t="str">
        <f>IF(OR(A5="OMIT (NA)",C5="OMIT (NA)",A5="OMIT (Info)",C5="OMIT (Info)",C5=""),"",
IF(B5=C5,A5,
IF(AND(OR(B5='Data Values'!B2,B5='Data Values'!B3),OR(C5='Data Values'!B2,C5='Data Values'!B3)),A5,
IF(AND(OR(B5='Data Values'!B2,B5='Data Values'!B3),C5='Data Values'!B4),MAX(0,A5-0.5),
IF(AND(OR(B5='Data Values'!B2,B5='Data Values'!B3),C5='Data Values'!B5),MAX(0,A5-1),
IF(AND(OR(B5='Data Values'!B2,B5='Data Values'!B3),C5='Data Values'!B6),MAX(0,A5-1.5),
IF(AND(B5='Data Values'!B4,C5='Data Values'!B5),MAX(0,A5-0.5),
IF(AND(B5='Data Values'!B4,C5='Data Values'!B6),MAX(0,A5-1),
IF(AND(B5='Data Values'!B5,C5='Data Values'!B6),MAX(0,A5-0.5),
IF(AND(B5='Data Values'!B6,C5='Data Values'!B5),MIN(3,A5+0.5),
IF(AND(B5='Data Values'!B6,C5='Data Values'!B4),MIN(3,A5+1),
IF(AND(B5='Data Values'!B6,OR(C5='Data Values'!B2,C5='Data Values'!B3)),MIN(3,A5+1.5),
IF(AND(B5='Data Values'!B5,C5='Data Values'!B4),MIN(3,A5+0.5),
IF(AND(B5='Data Values'!B5,OR(C5='Data Values'!B2,C5='Data Values'!B3)),MIN(3,A5+1),
IF(AND(B5='Data Values'!B4,OR(C5='Data Values'!B2,C5='Data Values'!B3)),MIN(3,A5+0.5),"")))))))))))))))</f>
        <v/>
      </c>
    </row>
    <row r="6" spans="1:4" ht="15.75" thickBot="1" x14ac:dyDescent="0.25">
      <c r="A6" s="12"/>
      <c r="B6" s="8" t="s">
        <v>50</v>
      </c>
      <c r="C6" s="9" t="s">
        <v>53</v>
      </c>
      <c r="D6" s="80"/>
    </row>
    <row r="7" spans="1:4" ht="409.5" customHeight="1" x14ac:dyDescent="0.2">
      <c r="A7" s="168"/>
      <c r="B7" s="169"/>
      <c r="C7" s="168"/>
      <c r="D7" s="169"/>
    </row>
  </sheetData>
  <sheetProtection password="E82C" sheet="1" objects="1" scenarios="1"/>
  <mergeCells count="5">
    <mergeCell ref="B2:C2"/>
    <mergeCell ref="A3:B3"/>
    <mergeCell ref="C3:D3"/>
    <mergeCell ref="A7:B7"/>
    <mergeCell ref="C7:D7"/>
  </mergeCells>
  <dataValidations xWindow="326" yWindow="340" count="1">
    <dataValidation allowBlank="1" showInputMessage="1" showErrorMessage="1" promptTitle="Assigning Post-treatment SOCs" prompt="If no pre-treatment stage of change was assigned because this factor was scored 0 or 1 and deemed to be low risk, do not assign a post-treatment stage of change.  Just provide a post-treatment score. " sqref="D1"/>
  </dataValidations>
  <hyperlinks>
    <hyperlink ref="A1" location="'Navigation page'!B1" display="VRS-SO Scoring Page"/>
    <hyperlink ref="D1" location="'D14'!B2" display="D14 Compliance with Community Supervision"/>
  </hyperlinks>
  <pageMargins left="0.7" right="0.7" top="0.75" bottom="0.75" header="0.3" footer="0.3"/>
  <legacyDrawing r:id="rId1"/>
  <extLst>
    <ext xmlns:x14="http://schemas.microsoft.com/office/spreadsheetml/2009/9/main" uri="{CCE6A557-97BC-4b89-ADB6-D9C93CAAB3DF}">
      <x14:dataValidations xmlns:xm="http://schemas.microsoft.com/office/excel/2006/main" xWindow="326" yWindow="340" count="3">
        <x14:dataValidation type="list" allowBlank="1" showInputMessage="1" showErrorMessage="1">
          <x14:formula1>
            <xm:f>'Data Values'!$A$2:$A$7</xm:f>
          </x14:formula1>
          <xm:sqref>D6 A5</xm:sqref>
        </x14:dataValidation>
        <x14:dataValidation type="list" allowBlank="1" showInputMessage="1" showErrorMessage="1" promptTitle="Assigning Post-treatment SOCs" prompt="If no pre-treatment stage of change was assigned because this factor was scored 0 or 1 and deemed to be low risk, do not assign a post-treatment stage of change.  Just provide a post-treatment score. ">
          <x14:formula1>
            <xm:f>'Data Values'!$B$2:$B$7</xm:f>
          </x14:formula1>
          <xm:sqref>C5</xm:sqref>
        </x14:dataValidation>
        <x14:dataValidation type="list" allowBlank="1" showInputMessage="1" showErrorMessage="1" promptTitle="Stage of Change for 0 or 1" prompt="If score is 0 or omitted, do not assign SOC._x000a__x000a_If score is 1, only assign SOC if item was a significant problem in the past, but is currently well managed. If it is a low risk item, do not assign SOC._x000a_">
          <x14:formula1>
            <xm:f>'Data Values'!$B$2:$B$7</xm:f>
          </x14:formula1>
          <xm:sqref>B5</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D7"/>
  <sheetViews>
    <sheetView showGridLines="0" showRowColHeaders="0" workbookViewId="0">
      <selection activeCell="D6" sqref="D6"/>
    </sheetView>
  </sheetViews>
  <sheetFormatPr defaultRowHeight="15" x14ac:dyDescent="0.2"/>
  <cols>
    <col min="1" max="1" width="15.77734375" customWidth="1"/>
    <col min="2" max="3" width="60.77734375" customWidth="1"/>
    <col min="4" max="4" width="15.77734375" customWidth="1"/>
  </cols>
  <sheetData>
    <row r="1" spans="1:4" x14ac:dyDescent="0.2">
      <c r="A1" s="4" t="s">
        <v>47</v>
      </c>
      <c r="D1" s="10" t="s">
        <v>67</v>
      </c>
    </row>
    <row r="2" spans="1:4" ht="65.25" customHeight="1" thickBot="1" x14ac:dyDescent="0.25">
      <c r="A2" s="4"/>
      <c r="B2" s="166" t="s">
        <v>490</v>
      </c>
      <c r="C2" s="167"/>
      <c r="D2" s="5"/>
    </row>
    <row r="3" spans="1:4" ht="16.5" thickBot="1" x14ac:dyDescent="0.25">
      <c r="A3" s="163" t="s">
        <v>7</v>
      </c>
      <c r="B3" s="150"/>
      <c r="C3" s="164" t="s">
        <v>8</v>
      </c>
      <c r="D3" s="165"/>
    </row>
    <row r="4" spans="1:4" ht="15.75" x14ac:dyDescent="0.2">
      <c r="A4" s="6" t="s">
        <v>46</v>
      </c>
      <c r="B4" s="7" t="s">
        <v>51</v>
      </c>
      <c r="C4" s="3" t="s">
        <v>51</v>
      </c>
      <c r="D4" s="6" t="s">
        <v>46</v>
      </c>
    </row>
    <row r="5" spans="1:4" ht="15.75" x14ac:dyDescent="0.25">
      <c r="A5" s="77"/>
      <c r="B5" s="78"/>
      <c r="C5" s="79"/>
      <c r="D5" s="11" t="str">
        <f>IF(OR(A5="OMIT (NA)",C5="OMIT (NA)",A5="OMIT (Info)",C5="OMIT (Info)",C5=""),"",
IF(B5=C5,A5,
IF(AND(OR(B5='Data Values'!B2,B5='Data Values'!B3),OR(C5='Data Values'!B2,C5='Data Values'!B3)),A5,
IF(AND(OR(B5='Data Values'!B2,B5='Data Values'!B3),C5='Data Values'!B4),MAX(0,A5-0.5),
IF(AND(OR(B5='Data Values'!B2,B5='Data Values'!B3),C5='Data Values'!B5),MAX(0,A5-1),
IF(AND(OR(B5='Data Values'!B2,B5='Data Values'!B3),C5='Data Values'!B6),MAX(0,A5-1.5),
IF(AND(B5='Data Values'!B4,C5='Data Values'!B5),MAX(0,A5-0.5),
IF(AND(B5='Data Values'!B4,C5='Data Values'!B6),MAX(0,A5-1),
IF(AND(B5='Data Values'!B5,C5='Data Values'!B6),MAX(0,A5-0.5),
IF(AND(B5='Data Values'!B6,C5='Data Values'!B5),MIN(3,A5+0.5),
IF(AND(B5='Data Values'!B6,C5='Data Values'!B4),MIN(3,A5+1),
IF(AND(B5='Data Values'!B6,OR(C5='Data Values'!B2,C5='Data Values'!B3)),MIN(3,A5+1.5),
IF(AND(B5='Data Values'!B5,C5='Data Values'!B4),MIN(3,A5+0.5),
IF(AND(B5='Data Values'!B5,OR(C5='Data Values'!B2,C5='Data Values'!B3)),MIN(3,A5+1),
IF(AND(B5='Data Values'!B4,OR(C5='Data Values'!B2,C5='Data Values'!B3)),MIN(3,A5+0.5),"")))))))))))))))</f>
        <v/>
      </c>
    </row>
    <row r="6" spans="1:4" ht="15.75" thickBot="1" x14ac:dyDescent="0.25">
      <c r="A6" s="12"/>
      <c r="B6" s="8" t="s">
        <v>50</v>
      </c>
      <c r="C6" s="9" t="s">
        <v>53</v>
      </c>
      <c r="D6" s="80"/>
    </row>
    <row r="7" spans="1:4" ht="409.5" customHeight="1" x14ac:dyDescent="0.2">
      <c r="A7" s="168"/>
      <c r="B7" s="169"/>
      <c r="C7" s="168"/>
      <c r="D7" s="169"/>
    </row>
  </sheetData>
  <sheetProtection password="E82C" sheet="1" objects="1" scenarios="1"/>
  <mergeCells count="5">
    <mergeCell ref="B2:C2"/>
    <mergeCell ref="A3:B3"/>
    <mergeCell ref="C3:D3"/>
    <mergeCell ref="A7:B7"/>
    <mergeCell ref="C7:D7"/>
  </mergeCells>
  <hyperlinks>
    <hyperlink ref="A1" location="'Navigation page'!B1" display="VRS-SO Scoring Page"/>
    <hyperlink ref="D1" location="'D15'!B2" display="D15 Treatment Compliance"/>
  </hyperlinks>
  <pageMargins left="0.7" right="0.7" top="0.75" bottom="0.75" header="0.3" footer="0.3"/>
  <legacyDrawing r:id="rId1"/>
  <extLst>
    <ext xmlns:x14="http://schemas.microsoft.com/office/spreadsheetml/2009/9/main" uri="{CCE6A557-97BC-4b89-ADB6-D9C93CAAB3DF}">
      <x14:dataValidations xmlns:xm="http://schemas.microsoft.com/office/excel/2006/main" xWindow="330" yWindow="339" count="3">
        <x14:dataValidation type="list" allowBlank="1" showInputMessage="1" showErrorMessage="1">
          <x14:formula1>
            <xm:f>'Data Values'!$A$2:$A$7</xm:f>
          </x14:formula1>
          <xm:sqref>D6 A5</xm:sqref>
        </x14:dataValidation>
        <x14:dataValidation type="list" allowBlank="1" showInputMessage="1" showErrorMessage="1" promptTitle="Assigning Post-treatment SOCs" prompt="If no pre-treatment stage of change was assigned because this factor was scored 0 or 1 and deemed to be low risk, do not assign a post-treatment stage of change.  Just provide a post-treatment score. ">
          <x14:formula1>
            <xm:f>'Data Values'!$B$2:$B$7</xm:f>
          </x14:formula1>
          <xm:sqref>C5</xm:sqref>
        </x14:dataValidation>
        <x14:dataValidation type="list" allowBlank="1" showInputMessage="1" showErrorMessage="1" promptTitle="Stage of Change for 0 or 1" prompt="If score is 0 or omitted, do not assign SOC._x000a__x000a_If score is 1, only assign SOC if item was a significant problem in the past, but is currently well managed. If it is a low risk item, do not assign SOC._x000a_">
          <x14:formula1>
            <xm:f>'Data Values'!$B$2:$B$7</xm:f>
          </x14:formula1>
          <xm:sqref>B5</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D7"/>
  <sheetViews>
    <sheetView showGridLines="0" showRowColHeaders="0" workbookViewId="0">
      <selection activeCell="D6" sqref="D6"/>
    </sheetView>
  </sheetViews>
  <sheetFormatPr defaultRowHeight="15" x14ac:dyDescent="0.2"/>
  <cols>
    <col min="1" max="1" width="15.77734375" customWidth="1"/>
    <col min="2" max="3" width="60.77734375" customWidth="1"/>
    <col min="4" max="4" width="15.77734375" customWidth="1"/>
  </cols>
  <sheetData>
    <row r="1" spans="1:4" x14ac:dyDescent="0.2">
      <c r="A1" s="4" t="s">
        <v>47</v>
      </c>
      <c r="D1" s="10" t="s">
        <v>68</v>
      </c>
    </row>
    <row r="2" spans="1:4" ht="65.25" customHeight="1" thickBot="1" x14ac:dyDescent="0.25">
      <c r="A2" s="4"/>
      <c r="B2" s="166" t="s">
        <v>491</v>
      </c>
      <c r="C2" s="167"/>
      <c r="D2" s="5"/>
    </row>
    <row r="3" spans="1:4" ht="16.5" thickBot="1" x14ac:dyDescent="0.25">
      <c r="A3" s="163" t="s">
        <v>7</v>
      </c>
      <c r="B3" s="150"/>
      <c r="C3" s="164" t="s">
        <v>8</v>
      </c>
      <c r="D3" s="165"/>
    </row>
    <row r="4" spans="1:4" ht="15.75" x14ac:dyDescent="0.2">
      <c r="A4" s="6" t="s">
        <v>46</v>
      </c>
      <c r="B4" s="7" t="s">
        <v>51</v>
      </c>
      <c r="C4" s="3" t="s">
        <v>51</v>
      </c>
      <c r="D4" s="6" t="s">
        <v>46</v>
      </c>
    </row>
    <row r="5" spans="1:4" ht="15.75" x14ac:dyDescent="0.25">
      <c r="A5" s="77"/>
      <c r="B5" s="78"/>
      <c r="C5" s="79"/>
      <c r="D5" s="11" t="str">
        <f>IF(OR(A5="OMIT (NA)",C5="OMIT (NA)",A5="OMIT (Info)",C5="OMIT (Info)",C5=""),"",
IF(B5=C5,A5,
IF(AND(OR(B5='Data Values'!B2,B5='Data Values'!B3),OR(C5='Data Values'!B2,C5='Data Values'!B3)),A5,
IF(AND(OR(B5='Data Values'!B2,B5='Data Values'!B3),C5='Data Values'!B4),MAX(0,A5-0.5),
IF(AND(OR(B5='Data Values'!B2,B5='Data Values'!B3),C5='Data Values'!B5),MAX(0,A5-1),
IF(AND(OR(B5='Data Values'!B2,B5='Data Values'!B3),C5='Data Values'!B6),MAX(0,A5-1.5),
IF(AND(B5='Data Values'!B4,C5='Data Values'!B5),MAX(0,A5-0.5),
IF(AND(B5='Data Values'!B4,C5='Data Values'!B6),MAX(0,A5-1),
IF(AND(B5='Data Values'!B5,C5='Data Values'!B6),MAX(0,A5-0.5),
IF(AND(B5='Data Values'!B6,C5='Data Values'!B5),MIN(3,A5+0.5),
IF(AND(B5='Data Values'!B6,C5='Data Values'!B4),MIN(3,A5+1),
IF(AND(B5='Data Values'!B6,OR(C5='Data Values'!B2,C5='Data Values'!B3)),MIN(3,A5+1.5),
IF(AND(B5='Data Values'!B5,C5='Data Values'!B4),MIN(3,A5+0.5),
IF(AND(B5='Data Values'!B5,OR(C5='Data Values'!B2,C5='Data Values'!B3)),MIN(3,A5+1),
IF(AND(B5='Data Values'!B4,OR(C5='Data Values'!B2,C5='Data Values'!B3)),MIN(3,A5+0.5),"")))))))))))))))</f>
        <v/>
      </c>
    </row>
    <row r="6" spans="1:4" ht="15.75" thickBot="1" x14ac:dyDescent="0.25">
      <c r="A6" s="12"/>
      <c r="B6" s="8" t="s">
        <v>50</v>
      </c>
      <c r="C6" s="9" t="s">
        <v>53</v>
      </c>
      <c r="D6" s="80"/>
    </row>
    <row r="7" spans="1:4" ht="409.5" customHeight="1" x14ac:dyDescent="0.2">
      <c r="A7" s="168"/>
      <c r="B7" s="169"/>
      <c r="C7" s="168"/>
      <c r="D7" s="169"/>
    </row>
  </sheetData>
  <sheetProtection password="E82C" sheet="1" objects="1" scenarios="1"/>
  <mergeCells count="5">
    <mergeCell ref="B2:C2"/>
    <mergeCell ref="A3:B3"/>
    <mergeCell ref="C3:D3"/>
    <mergeCell ref="A7:B7"/>
    <mergeCell ref="C7:D7"/>
  </mergeCells>
  <hyperlinks>
    <hyperlink ref="A1" location="'Navigation page'!B1" display="VRS-SO Scoring Page"/>
    <hyperlink ref="D1" location="'D16'!B2" display="D16 Deviant Sexual Preference"/>
  </hyperlinks>
  <pageMargins left="0.7" right="0.7" top="0.75" bottom="0.75" header="0.3" footer="0.3"/>
  <legacyDrawing r:id="rId1"/>
  <extLst>
    <ext xmlns:x14="http://schemas.microsoft.com/office/spreadsheetml/2009/9/main" uri="{CCE6A557-97BC-4b89-ADB6-D9C93CAAB3DF}">
      <x14:dataValidations xmlns:xm="http://schemas.microsoft.com/office/excel/2006/main" xWindow="325" yWindow="342" count="3">
        <x14:dataValidation type="list" allowBlank="1" showInputMessage="1" showErrorMessage="1">
          <x14:formula1>
            <xm:f>'Data Values'!$A$2:$A$7</xm:f>
          </x14:formula1>
          <xm:sqref>D6 A5</xm:sqref>
        </x14:dataValidation>
        <x14:dataValidation type="list" allowBlank="1" showInputMessage="1" showErrorMessage="1" promptTitle="Assigning Post-treatment SOCs" prompt="If no pre-treatment stage of change was assigned because this factor was scored 0 or 1 and deemed to be low risk, do not assign a post-treatment stage of change.  Just provide a post-treatment score. ">
          <x14:formula1>
            <xm:f>'Data Values'!$B$2:$B$7</xm:f>
          </x14:formula1>
          <xm:sqref>C5</xm:sqref>
        </x14:dataValidation>
        <x14:dataValidation type="list" allowBlank="1" showInputMessage="1" showErrorMessage="1" promptTitle="Stage of Change for 0 or 1" prompt="If score is 0 or omitted, do not assign SOC._x000a__x000a_If score is 1, only assign SOC if item was a significant problem in the past, but is currently well managed. If it is a low risk item, do not assign SOC._x000a_">
          <x14:formula1>
            <xm:f>'Data Values'!$B$2:$B$7</xm:f>
          </x14:formula1>
          <xm:sqref>B5</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D7"/>
  <sheetViews>
    <sheetView showGridLines="0" showRowColHeaders="0" workbookViewId="0">
      <selection activeCell="D6" sqref="D6"/>
    </sheetView>
  </sheetViews>
  <sheetFormatPr defaultRowHeight="15" x14ac:dyDescent="0.2"/>
  <cols>
    <col min="1" max="1" width="15.77734375" customWidth="1"/>
    <col min="2" max="3" width="60.77734375" customWidth="1"/>
    <col min="4" max="4" width="15.77734375" customWidth="1"/>
  </cols>
  <sheetData>
    <row r="1" spans="1:4" x14ac:dyDescent="0.2">
      <c r="A1" s="4" t="s">
        <v>47</v>
      </c>
      <c r="D1" s="10" t="s">
        <v>69</v>
      </c>
    </row>
    <row r="2" spans="1:4" ht="65.25" customHeight="1" thickBot="1" x14ac:dyDescent="0.25">
      <c r="A2" s="4"/>
      <c r="B2" s="166" t="s">
        <v>492</v>
      </c>
      <c r="C2" s="167"/>
      <c r="D2" s="5"/>
    </row>
    <row r="3" spans="1:4" ht="16.5" thickBot="1" x14ac:dyDescent="0.25">
      <c r="A3" s="163" t="s">
        <v>7</v>
      </c>
      <c r="B3" s="150"/>
      <c r="C3" s="164" t="s">
        <v>8</v>
      </c>
      <c r="D3" s="165"/>
    </row>
    <row r="4" spans="1:4" ht="15.75" x14ac:dyDescent="0.2">
      <c r="A4" s="6" t="s">
        <v>46</v>
      </c>
      <c r="B4" s="7" t="s">
        <v>51</v>
      </c>
      <c r="C4" s="3" t="s">
        <v>51</v>
      </c>
      <c r="D4" s="6" t="s">
        <v>46</v>
      </c>
    </row>
    <row r="5" spans="1:4" ht="15.75" x14ac:dyDescent="0.25">
      <c r="A5" s="77"/>
      <c r="B5" s="78"/>
      <c r="C5" s="79"/>
      <c r="D5" s="11" t="str">
        <f>IF(OR(A5="OMIT (NA)",C5="OMIT (NA)",A5="OMIT (Info)",C5="OMIT (Info)",C5=""),"",
IF(B5=C5,A5,
IF(AND(OR(B5='Data Values'!B2,B5='Data Values'!B3),OR(C5='Data Values'!B2,C5='Data Values'!B3)),A5,
IF(AND(OR(B5='Data Values'!B2,B5='Data Values'!B3),C5='Data Values'!B4),MAX(0,A5-0.5),
IF(AND(OR(B5='Data Values'!B2,B5='Data Values'!B3),C5='Data Values'!B5),MAX(0,A5-1),
IF(AND(OR(B5='Data Values'!B2,B5='Data Values'!B3),C5='Data Values'!B6),MAX(0,A5-1.5),
IF(AND(B5='Data Values'!B4,C5='Data Values'!B5),MAX(0,A5-0.5),
IF(AND(B5='Data Values'!B4,C5='Data Values'!B6),MAX(0,A5-1),
IF(AND(B5='Data Values'!B5,C5='Data Values'!B6),MAX(0,A5-0.5),
IF(AND(B5='Data Values'!B6,C5='Data Values'!B5),MIN(3,A5+0.5),
IF(AND(B5='Data Values'!B6,C5='Data Values'!B4),MIN(3,A5+1),
IF(AND(B5='Data Values'!B6,OR(C5='Data Values'!B2,C5='Data Values'!B3)),MIN(3,A5+1.5),
IF(AND(B5='Data Values'!B5,C5='Data Values'!B4),MIN(3,A5+0.5),
IF(AND(B5='Data Values'!B5,OR(C5='Data Values'!B2,C5='Data Values'!B3)),MIN(3,A5+1),
IF(AND(B5='Data Values'!B4,OR(C5='Data Values'!B2,C5='Data Values'!B3)),MIN(3,A5+0.5),"")))))))))))))))</f>
        <v/>
      </c>
    </row>
    <row r="6" spans="1:4" ht="15.75" thickBot="1" x14ac:dyDescent="0.25">
      <c r="A6" s="12"/>
      <c r="B6" s="8" t="s">
        <v>50</v>
      </c>
      <c r="C6" s="9" t="s">
        <v>53</v>
      </c>
      <c r="D6" s="80"/>
    </row>
    <row r="7" spans="1:4" ht="409.5" customHeight="1" x14ac:dyDescent="0.2">
      <c r="A7" s="168"/>
      <c r="B7" s="169"/>
      <c r="C7" s="168"/>
      <c r="D7" s="169"/>
    </row>
  </sheetData>
  <sheetProtection password="E82C" sheet="1" objects="1" scenarios="1"/>
  <mergeCells count="5">
    <mergeCell ref="B2:C2"/>
    <mergeCell ref="A3:B3"/>
    <mergeCell ref="C3:D3"/>
    <mergeCell ref="A7:B7"/>
    <mergeCell ref="C7:D7"/>
  </mergeCells>
  <hyperlinks>
    <hyperlink ref="A1" location="'Navigation page'!B1" display="VRS-SO Scoring Page"/>
    <hyperlink ref="D1" location="'D17'!B2" display="D17 Intimacy Deficits"/>
  </hyperlinks>
  <pageMargins left="0.7" right="0.7" top="0.75" bottom="0.75" header="0.3" footer="0.3"/>
  <legacyDrawing r:id="rId1"/>
  <extLst>
    <ext xmlns:x14="http://schemas.microsoft.com/office/spreadsheetml/2009/9/main" uri="{CCE6A557-97BC-4b89-ADB6-D9C93CAAB3DF}">
      <x14:dataValidations xmlns:xm="http://schemas.microsoft.com/office/excel/2006/main" xWindow="316" yWindow="344" count="3">
        <x14:dataValidation type="list" allowBlank="1" showInputMessage="1" showErrorMessage="1">
          <x14:formula1>
            <xm:f>'Data Values'!$A$2:$A$7</xm:f>
          </x14:formula1>
          <xm:sqref>D6 A5</xm:sqref>
        </x14:dataValidation>
        <x14:dataValidation type="list" allowBlank="1" showInputMessage="1" showErrorMessage="1" promptTitle="Assigning Post-treatment SOCs" prompt="If no pre-treatment stage of change was assigned because this factor was scored 0 or 1 and deemed to be low risk, do not assign a post-treatment stage of change.  Just provide a post-treatment score. ">
          <x14:formula1>
            <xm:f>'Data Values'!$B$2:$B$7</xm:f>
          </x14:formula1>
          <xm:sqref>C5</xm:sqref>
        </x14:dataValidation>
        <x14:dataValidation type="list" allowBlank="1" showInputMessage="1" showErrorMessage="1" promptTitle="Stage of Change for 0 or 1" prompt="If score is 0 or omitted, do not assign SOC._x000a__x000a_If score is 1, only assign SOC if item was a significant problem in the past, but is currently well managed. If it is a low risk item, do not assign SOC._x000a_">
          <x14:formula1>
            <xm:f>'Data Values'!$B$2:$B$7</xm:f>
          </x14:formula1>
          <xm:sqref>B5</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D7"/>
  <sheetViews>
    <sheetView showGridLines="0" showRowColHeaders="0" workbookViewId="0">
      <selection activeCell="D6" sqref="D6"/>
    </sheetView>
  </sheetViews>
  <sheetFormatPr defaultRowHeight="15" x14ac:dyDescent="0.2"/>
  <cols>
    <col min="1" max="1" width="15.77734375" customWidth="1"/>
    <col min="2" max="3" width="60.77734375" customWidth="1"/>
    <col min="4" max="4" width="15.77734375" customWidth="1"/>
  </cols>
  <sheetData>
    <row r="1" spans="1:4" x14ac:dyDescent="0.2">
      <c r="A1" s="4" t="s">
        <v>47</v>
      </c>
      <c r="D1" s="10" t="s">
        <v>135</v>
      </c>
    </row>
    <row r="2" spans="1:4" ht="65.25" customHeight="1" thickBot="1" x14ac:dyDescent="0.25">
      <c r="A2" s="4"/>
      <c r="B2" s="166" t="s">
        <v>493</v>
      </c>
      <c r="C2" s="167"/>
      <c r="D2" s="5"/>
    </row>
    <row r="3" spans="1:4" ht="16.5" thickBot="1" x14ac:dyDescent="0.25">
      <c r="A3" s="163" t="s">
        <v>7</v>
      </c>
      <c r="B3" s="150"/>
      <c r="C3" s="164" t="s">
        <v>8</v>
      </c>
      <c r="D3" s="165"/>
    </row>
    <row r="4" spans="1:4" ht="15.75" x14ac:dyDescent="0.2">
      <c r="A4" s="6" t="s">
        <v>46</v>
      </c>
      <c r="B4" s="7" t="s">
        <v>51</v>
      </c>
      <c r="C4" s="3" t="s">
        <v>51</v>
      </c>
      <c r="D4" s="6" t="s">
        <v>46</v>
      </c>
    </row>
    <row r="5" spans="1:4" ht="15.75" x14ac:dyDescent="0.25">
      <c r="A5" s="77"/>
      <c r="B5" s="78"/>
      <c r="C5" s="79"/>
      <c r="D5" s="11" t="str">
        <f>IF(OR(A5="OMIT (NA)",C5="OMIT (NA)",A5="OMIT (Info)",C5="OMIT (Info)",C5=""),"",
IF(B5=C5,A5,
IF(AND(OR(B5='Data Values'!B2,B5='Data Values'!B3),OR(C5='Data Values'!B2,C5='Data Values'!B3)),A5,
IF(AND(OR(B5='Data Values'!B2,B5='Data Values'!B3),C5='Data Values'!B4),MAX(0,A5-0.5),
IF(AND(OR(B5='Data Values'!B2,B5='Data Values'!B3),C5='Data Values'!B5),MAX(0,A5-1),
IF(AND(OR(B5='Data Values'!B2,B5='Data Values'!B3),C5='Data Values'!B6),MAX(0,A5-1.5),
IF(AND(B5='Data Values'!B4,C5='Data Values'!B5),MAX(0,A5-0.5),
IF(AND(B5='Data Values'!B4,C5='Data Values'!B6),MAX(0,A5-1),
IF(AND(B5='Data Values'!B5,C5='Data Values'!B6),MAX(0,A5-0.5),
IF(AND(B5='Data Values'!B6,C5='Data Values'!B5),MIN(3,A5+0.5),
IF(AND(B5='Data Values'!B6,C5='Data Values'!B4),MIN(3,A5+1),
IF(AND(B5='Data Values'!B6,OR(C5='Data Values'!B2,C5='Data Values'!B3)),MIN(3,A5+1.5),
IF(AND(B5='Data Values'!B5,C5='Data Values'!B4),MIN(3,A5+0.5),
IF(AND(B5='Data Values'!B5,OR(C5='Data Values'!B2,C5='Data Values'!B3)),MIN(3,A5+1),
IF(AND(B5='Data Values'!B4,OR(C5='Data Values'!B2,C5='Data Values'!B3)),MIN(3,A5+0.5),"")))))))))))))))</f>
        <v/>
      </c>
    </row>
    <row r="6" spans="1:4" ht="15.75" thickBot="1" x14ac:dyDescent="0.25">
      <c r="A6" s="12"/>
      <c r="B6" s="8" t="s">
        <v>50</v>
      </c>
      <c r="C6" s="9" t="s">
        <v>53</v>
      </c>
      <c r="D6" s="80"/>
    </row>
    <row r="7" spans="1:4" ht="409.5" customHeight="1" x14ac:dyDescent="0.2">
      <c r="A7" s="168"/>
      <c r="B7" s="169"/>
      <c r="C7" s="168"/>
      <c r="D7" s="169"/>
    </row>
  </sheetData>
  <sheetProtection password="E82C" sheet="1" objects="1" scenarios="1"/>
  <mergeCells count="5">
    <mergeCell ref="B2:C2"/>
    <mergeCell ref="A3:B3"/>
    <mergeCell ref="C3:D3"/>
    <mergeCell ref="A7:B7"/>
    <mergeCell ref="C7:D7"/>
  </mergeCells>
  <hyperlinks>
    <hyperlink ref="A1" location="'Navigation page'!B1" display="VRS-SO Scoring Page"/>
    <hyperlink ref="D1" location="'Summary Report'!A1" display="Summary Report"/>
  </hyperlinks>
  <pageMargins left="0.7" right="0.7" top="0.75" bottom="0.75" header="0.3" footer="0.3"/>
  <legacyDrawing r:id="rId1"/>
  <extLst>
    <ext xmlns:x14="http://schemas.microsoft.com/office/spreadsheetml/2009/9/main" uri="{CCE6A557-97BC-4b89-ADB6-D9C93CAAB3DF}">
      <x14:dataValidations xmlns:xm="http://schemas.microsoft.com/office/excel/2006/main" xWindow="318" yWindow="339" count="3">
        <x14:dataValidation type="list" allowBlank="1" showInputMessage="1" showErrorMessage="1">
          <x14:formula1>
            <xm:f>'Data Values'!$A$2:$A$7</xm:f>
          </x14:formula1>
          <xm:sqref>D6 A5</xm:sqref>
        </x14:dataValidation>
        <x14:dataValidation type="list" allowBlank="1" showInputMessage="1" showErrorMessage="1" promptTitle="Assigning Post-treatment SOCs" prompt="If no pre-treatment stage of change was assigned because this factor was scored 0 or 1 and deemed to be low risk, do not assign a post-treatment stage of change.  Just provide a post-treatment score. ">
          <x14:formula1>
            <xm:f>'Data Values'!$B$2:$B$7</xm:f>
          </x14:formula1>
          <xm:sqref>C5</xm:sqref>
        </x14:dataValidation>
        <x14:dataValidation type="list" allowBlank="1" showInputMessage="1" showErrorMessage="1" promptTitle="Stage of Change for 0 or 1" prompt="If score is 0 or omitted, do not assign SOC._x000a__x000a_If score is 1, only assign SOC if item was a significant problem in the past, but is currently well managed. If it is a low risk item, do not assign SOC._x000a_">
          <x14:formula1>
            <xm:f>'Data Values'!$B$2:$B$7</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39"/>
  <sheetViews>
    <sheetView showGridLines="0" showRowColHeaders="0" zoomScale="85" zoomScaleNormal="85" workbookViewId="0">
      <selection activeCell="H37" sqref="H37"/>
    </sheetView>
  </sheetViews>
  <sheetFormatPr defaultRowHeight="15" x14ac:dyDescent="0.2"/>
  <cols>
    <col min="1" max="1" width="50.77734375" style="51" customWidth="1"/>
    <col min="2" max="2" width="25.77734375" style="51" customWidth="1"/>
    <col min="3" max="3" width="2.77734375" style="51" customWidth="1"/>
    <col min="4" max="4" width="10.77734375" style="51" customWidth="1"/>
    <col min="5" max="5" width="15.77734375" style="51" customWidth="1"/>
    <col min="6" max="6" width="2.77734375" style="51" customWidth="1"/>
    <col min="7" max="7" width="50.77734375" style="51" customWidth="1"/>
    <col min="8" max="8" width="25.77734375" style="51" customWidth="1"/>
    <col min="9" max="9" width="2.77734375" style="51" customWidth="1"/>
    <col min="10" max="10" width="10.77734375" style="51" customWidth="1"/>
    <col min="11" max="11" width="15.77734375" style="51" customWidth="1"/>
    <col min="12" max="16384" width="8.88671875" style="51"/>
  </cols>
  <sheetData>
    <row r="1" spans="1:11" ht="16.5" thickBot="1" x14ac:dyDescent="0.3">
      <c r="A1" s="49" t="s">
        <v>47</v>
      </c>
      <c r="B1" s="50" t="s">
        <v>143</v>
      </c>
      <c r="D1" s="49" t="s">
        <v>49</v>
      </c>
      <c r="H1" s="162" t="s">
        <v>455</v>
      </c>
      <c r="I1" s="162"/>
      <c r="J1" s="162"/>
    </row>
    <row r="2" spans="1:11" x14ac:dyDescent="0.2">
      <c r="H2" s="153"/>
      <c r="I2" s="154"/>
      <c r="J2" s="155"/>
    </row>
    <row r="3" spans="1:11" x14ac:dyDescent="0.2">
      <c r="A3" s="52" t="s">
        <v>70</v>
      </c>
      <c r="B3" s="45"/>
      <c r="H3" s="156"/>
      <c r="I3" s="157"/>
      <c r="J3" s="158"/>
    </row>
    <row r="4" spans="1:11" x14ac:dyDescent="0.2">
      <c r="A4" s="53"/>
      <c r="B4" s="54"/>
      <c r="H4" s="156"/>
      <c r="I4" s="157"/>
      <c r="J4" s="158"/>
    </row>
    <row r="5" spans="1:11" x14ac:dyDescent="0.2">
      <c r="A5" s="53" t="s">
        <v>71</v>
      </c>
      <c r="B5" s="45"/>
      <c r="H5" s="156"/>
      <c r="I5" s="157"/>
      <c r="J5" s="158"/>
    </row>
    <row r="6" spans="1:11" x14ac:dyDescent="0.2">
      <c r="A6" s="53"/>
      <c r="B6" s="54"/>
      <c r="G6" s="55"/>
      <c r="H6" s="156"/>
      <c r="I6" s="157"/>
      <c r="J6" s="158"/>
    </row>
    <row r="7" spans="1:11" x14ac:dyDescent="0.2">
      <c r="A7" s="53" t="s">
        <v>72</v>
      </c>
      <c r="B7" s="45"/>
      <c r="G7" s="55"/>
      <c r="H7" s="156"/>
      <c r="I7" s="157"/>
      <c r="J7" s="158"/>
    </row>
    <row r="8" spans="1:11" x14ac:dyDescent="0.2">
      <c r="A8" s="53"/>
      <c r="B8" s="54"/>
      <c r="G8" s="55"/>
      <c r="H8" s="156"/>
      <c r="I8" s="157"/>
      <c r="J8" s="158"/>
    </row>
    <row r="9" spans="1:11" x14ac:dyDescent="0.2">
      <c r="A9" s="53" t="s">
        <v>73</v>
      </c>
      <c r="B9" s="46"/>
      <c r="G9" s="55"/>
      <c r="H9" s="156"/>
      <c r="I9" s="157"/>
      <c r="J9" s="158"/>
    </row>
    <row r="10" spans="1:11" x14ac:dyDescent="0.2">
      <c r="A10" s="53"/>
      <c r="B10" s="54"/>
      <c r="H10" s="156"/>
      <c r="I10" s="157"/>
      <c r="J10" s="158"/>
    </row>
    <row r="11" spans="1:11" x14ac:dyDescent="0.2">
      <c r="A11" s="53" t="s">
        <v>74</v>
      </c>
      <c r="B11" s="45"/>
      <c r="H11" s="156"/>
      <c r="I11" s="157"/>
      <c r="J11" s="158"/>
    </row>
    <row r="12" spans="1:11" x14ac:dyDescent="0.2">
      <c r="A12" s="53"/>
      <c r="B12" s="54"/>
      <c r="H12" s="156"/>
      <c r="I12" s="157"/>
      <c r="J12" s="158"/>
    </row>
    <row r="13" spans="1:11" x14ac:dyDescent="0.2">
      <c r="A13" s="56" t="s">
        <v>75</v>
      </c>
      <c r="B13" s="46"/>
      <c r="H13" s="156"/>
      <c r="I13" s="157"/>
      <c r="J13" s="158"/>
    </row>
    <row r="14" spans="1:11" ht="15.75" thickBot="1" x14ac:dyDescent="0.25">
      <c r="A14" s="57"/>
      <c r="B14" s="58"/>
      <c r="H14" s="159"/>
      <c r="I14" s="160"/>
      <c r="J14" s="161"/>
    </row>
    <row r="15" spans="1:11" ht="15.75" thickBot="1" x14ac:dyDescent="0.25">
      <c r="A15" s="57"/>
      <c r="B15" s="58"/>
    </row>
    <row r="16" spans="1:11" ht="16.5" thickBot="1" x14ac:dyDescent="0.3">
      <c r="A16" s="149" t="s">
        <v>7</v>
      </c>
      <c r="B16" s="150"/>
      <c r="D16" s="59" t="s">
        <v>46</v>
      </c>
      <c r="E16" s="60" t="s">
        <v>89</v>
      </c>
      <c r="G16" s="151" t="s">
        <v>8</v>
      </c>
      <c r="H16" s="152"/>
      <c r="J16" s="59" t="s">
        <v>46</v>
      </c>
      <c r="K16" s="60" t="s">
        <v>89</v>
      </c>
    </row>
    <row r="17" spans="1:11" ht="15.75" x14ac:dyDescent="0.25">
      <c r="A17" s="61" t="s">
        <v>77</v>
      </c>
      <c r="B17" s="47"/>
      <c r="D17" s="62"/>
      <c r="G17" s="61" t="s">
        <v>77</v>
      </c>
      <c r="H17" s="47"/>
      <c r="J17" s="62"/>
      <c r="K17" s="63" t="s">
        <v>142</v>
      </c>
    </row>
    <row r="18" spans="1:11" x14ac:dyDescent="0.2">
      <c r="A18" s="61"/>
      <c r="B18" s="61"/>
      <c r="D18" s="62"/>
      <c r="G18" s="61"/>
      <c r="H18" s="61"/>
      <c r="J18" s="62"/>
    </row>
    <row r="19" spans="1:11" ht="15.75" x14ac:dyDescent="0.25">
      <c r="A19" s="61" t="s">
        <v>474</v>
      </c>
      <c r="B19" s="47"/>
      <c r="D19" s="64" t="str">
        <f>IF(OR(B19="",B17=""),"OMIT",
IF((B19-B17)/365.25 &lt; 25,3,
IF((B19-B17)/365.25 &lt; 35,2,
IF((B19-B17)/365.25 &lt; 45,1,
IF((B19-B17)/365.25 &gt;= 45,0,"")))))</f>
        <v>OMIT</v>
      </c>
      <c r="E19" s="44"/>
      <c r="G19" s="61" t="s">
        <v>76</v>
      </c>
      <c r="H19" s="46"/>
      <c r="J19" s="64" t="str">
        <f>IF('Data Values'!K13='Data Values'!K2,"",
IF(OR(H19="",H17=""),"OMIT",
IF((H19-H17)/365.25 &lt; 25,3,
IF((H19-H17)/365.25 &lt; 35,2,
IF((H19-H17)/365.25 &lt; 45,1,
IF((H19-H17)/365.25 &gt;= 45,0,""))))))</f>
        <v>OMIT</v>
      </c>
      <c r="K19" s="44"/>
    </row>
    <row r="20" spans="1:11" ht="15.75" x14ac:dyDescent="0.25">
      <c r="A20" s="61"/>
      <c r="B20" s="61"/>
      <c r="D20" s="65"/>
      <c r="G20" s="61"/>
      <c r="H20" s="61"/>
      <c r="J20" s="65"/>
    </row>
    <row r="21" spans="1:11" ht="15.75" x14ac:dyDescent="0.25">
      <c r="A21" s="61" t="s">
        <v>78</v>
      </c>
      <c r="B21" s="47"/>
      <c r="D21" s="64" t="str">
        <f>IF(OR(B21="",B17=""),"OMIT",
IF((B21-B17)/365.25 &lt; 20,3,
IF((B21-B17)/365.25 &lt; 25,2,
IF((B21-B17)/365.25 &lt; 35,1,
IF((B21-B17)/365.25 &gt;= 35,0,"")))))</f>
        <v>OMIT</v>
      </c>
      <c r="E21" s="44"/>
      <c r="G21" s="61" t="s">
        <v>78</v>
      </c>
      <c r="H21" s="47"/>
      <c r="J21" s="64" t="str">
        <f>IF('Data Values'!K13='Data Values'!K2,"",
IF(OR(H21="",H17=""),"OMIT",
IF((H21-H17)/365.25 &lt; 20,3,
IF((H21-H17)/365.25 &lt; 25,2,
IF((H21-H17)/365.25 &lt; 35,1,
IF((H21-H17)/365.25 &gt;= 35,0,""))))))</f>
        <v>OMIT</v>
      </c>
      <c r="K21" s="44"/>
    </row>
    <row r="22" spans="1:11" ht="15.75" x14ac:dyDescent="0.25">
      <c r="A22" s="61"/>
      <c r="B22" s="61"/>
      <c r="D22" s="65"/>
      <c r="G22" s="61"/>
      <c r="H22" s="61"/>
      <c r="J22" s="65"/>
    </row>
    <row r="23" spans="1:11" ht="15.75" x14ac:dyDescent="0.25">
      <c r="A23" s="61" t="s">
        <v>475</v>
      </c>
      <c r="B23" s="66"/>
      <c r="D23" s="65" t="str">
        <f>IF('Data Values'!K4='Data Values'!K2,3,
IF('Data Values'!K5='Data Values'!K2,2,
IF('Data Values'!K6='Data Values'!K2,1,
IF('Data Values'!K7='Data Values'!K2,0,"OMIT"))))</f>
        <v>OMIT</v>
      </c>
      <c r="E23" s="44"/>
      <c r="G23" s="61" t="s">
        <v>79</v>
      </c>
      <c r="H23" s="67"/>
      <c r="J23" s="65" t="str">
        <f>IF('Data Values'!K13='Data Values'!K2,"",
IF('Data Values'!K8='Data Values'!K2,3,
IF('Data Values'!K9='Data Values'!K2,2,
IF('Data Values'!K10='Data Values'!K2,1,
IF('Data Values'!K11='Data Values'!K2,0,"OMIT")))))</f>
        <v>OMIT</v>
      </c>
    </row>
    <row r="24" spans="1:11" ht="15.75" x14ac:dyDescent="0.25">
      <c r="A24" s="61"/>
      <c r="B24" s="68"/>
      <c r="D24" s="65"/>
      <c r="G24" s="61"/>
      <c r="H24" s="69"/>
      <c r="J24" s="65"/>
    </row>
    <row r="25" spans="1:11" ht="15.75" x14ac:dyDescent="0.25">
      <c r="A25" s="61"/>
      <c r="B25" s="68"/>
      <c r="D25" s="65"/>
      <c r="G25" s="61"/>
      <c r="H25" s="69"/>
      <c r="J25" s="65"/>
    </row>
    <row r="26" spans="1:11" ht="15.75" x14ac:dyDescent="0.25">
      <c r="A26" s="61"/>
      <c r="B26" s="70"/>
      <c r="D26" s="65"/>
      <c r="G26" s="61"/>
      <c r="H26" s="71"/>
      <c r="J26" s="65"/>
    </row>
    <row r="27" spans="1:11" ht="15.75" x14ac:dyDescent="0.25">
      <c r="A27" s="61"/>
      <c r="B27" s="72"/>
      <c r="D27" s="65"/>
      <c r="G27" s="61"/>
      <c r="H27" s="72"/>
      <c r="J27" s="65"/>
    </row>
    <row r="28" spans="1:11" ht="15.75" x14ac:dyDescent="0.25">
      <c r="A28" s="61" t="s">
        <v>476</v>
      </c>
      <c r="B28" s="48"/>
      <c r="D28" s="65" t="str">
        <f>IF(B28="","OMIT",
IF(B28 &gt;= 4,3,
IF(OR(B28=3,B28=2),2,
IF(B28=1,1,
IF(B28=0,0,"")))))</f>
        <v>OMIT</v>
      </c>
      <c r="E28" s="44"/>
      <c r="G28" s="61" t="s">
        <v>476</v>
      </c>
      <c r="H28" s="48"/>
      <c r="J28" s="65" t="str">
        <f>IF('Data Values'!K13='Data Values'!K2,"",
IF(H28="","OMIT",
IF(H28 &gt;= 4,3,
IF(OR(H28=3,H28=2),2,
IF(H28=1,1,
IF(H28=0,0,""))))))</f>
        <v>OMIT</v>
      </c>
      <c r="K28" s="44"/>
    </row>
    <row r="29" spans="1:11" ht="15.75" x14ac:dyDescent="0.25">
      <c r="A29" s="61" t="s">
        <v>80</v>
      </c>
      <c r="B29" s="73"/>
      <c r="D29" s="65"/>
      <c r="G29" s="61" t="s">
        <v>80</v>
      </c>
      <c r="H29" s="73"/>
      <c r="J29" s="65"/>
    </row>
    <row r="30" spans="1:11" ht="15.75" x14ac:dyDescent="0.25">
      <c r="A30" s="61"/>
      <c r="B30" s="73"/>
      <c r="D30" s="65"/>
      <c r="G30" s="61"/>
      <c r="H30" s="73"/>
      <c r="J30" s="65"/>
    </row>
    <row r="31" spans="1:11" ht="15.75" x14ac:dyDescent="0.25">
      <c r="A31" s="61" t="s">
        <v>81</v>
      </c>
      <c r="B31" s="48"/>
      <c r="D31" s="65" t="str">
        <f>IF(B31="","OMIT",
IF(B31 &gt;= 4,3,
IF(OR(B31=3,B31=2),2,
IF(B31=1,1,
IF(B31=0,0,"")))))</f>
        <v>OMIT</v>
      </c>
      <c r="E31" s="44"/>
      <c r="G31" s="61" t="s">
        <v>81</v>
      </c>
      <c r="H31" s="48"/>
      <c r="J31" s="65" t="str">
        <f>IF('Data Values'!K13='Data Values'!K2,"",
IF(H31="","OMIT",
IF(H31 &gt;= 4,3,
IF(OR(H31=3,H31=2),2,
IF(H31=1,1,
IF(H31=0,0,""))))))</f>
        <v>OMIT</v>
      </c>
      <c r="K31" s="44"/>
    </row>
    <row r="32" spans="1:11" ht="15.75" x14ac:dyDescent="0.25">
      <c r="A32" s="61"/>
      <c r="B32" s="73"/>
      <c r="D32" s="65"/>
      <c r="G32" s="61"/>
      <c r="H32" s="73"/>
      <c r="J32" s="65"/>
    </row>
    <row r="33" spans="1:11" ht="15.75" x14ac:dyDescent="0.25">
      <c r="A33" s="61" t="s">
        <v>82</v>
      </c>
      <c r="B33" s="48"/>
      <c r="D33" s="65" t="str">
        <f>IF(OR(B33="",B35=""),"OMIT",
IF(B33 &gt;= 2,3,
IF(OR(B35&gt;=2,AND(B33=1,B35=1)),2,
IF(AND(B33=1,B35=0),1,
IF(AND(B33=0,B35=1),0,
IF(AND(B33=0,B35=0),"No victims?",""))))))</f>
        <v>OMIT</v>
      </c>
      <c r="E33" s="44"/>
      <c r="G33" s="61" t="s">
        <v>82</v>
      </c>
      <c r="H33" s="48"/>
      <c r="J33" s="65" t="str">
        <f>IF('Data Values'!K13='Data Values'!K2,"",
IF(OR(H33="",H35=""),"OMIT",
IF(H33 &gt;= 2,3,
IF(OR(H35&gt;=2,AND(H33=1,H35=1)),2,
IF(AND(H33=1,H35=0),1,
IF(AND(H33=0,H35=1),0,
IF(AND(H33=0,H35=0),"No victims?","")))))))</f>
        <v>OMIT</v>
      </c>
      <c r="K33" s="44"/>
    </row>
    <row r="34" spans="1:11" ht="15.75" x14ac:dyDescent="0.25">
      <c r="A34" s="61"/>
      <c r="B34" s="73"/>
      <c r="D34" s="65"/>
      <c r="G34" s="61"/>
      <c r="H34" s="73"/>
      <c r="J34" s="65"/>
    </row>
    <row r="35" spans="1:11" ht="15.75" x14ac:dyDescent="0.25">
      <c r="A35" s="61" t="s">
        <v>83</v>
      </c>
      <c r="B35" s="48"/>
      <c r="D35" s="65"/>
      <c r="G35" s="61" t="s">
        <v>83</v>
      </c>
      <c r="H35" s="48"/>
      <c r="J35" s="65"/>
    </row>
    <row r="36" spans="1:11" ht="15.75" x14ac:dyDescent="0.25">
      <c r="A36" s="61"/>
      <c r="B36" s="73"/>
      <c r="D36" s="65"/>
      <c r="G36" s="61"/>
      <c r="H36" s="73"/>
      <c r="J36" s="65"/>
    </row>
    <row r="37" spans="1:11" ht="15.75" x14ac:dyDescent="0.25">
      <c r="A37" s="61" t="s">
        <v>84</v>
      </c>
      <c r="B37" s="48"/>
      <c r="D37" s="65" t="str">
        <f>IF(B37="","OMIT",
IF(B37 &gt;= 11,3,
IF(AND(B37&lt;=10,B37&gt;=5),2,
IF(AND(B37&lt;=4,B37&gt;=2),1,
IF(B37&lt;=1,0,"")))))</f>
        <v>OMIT</v>
      </c>
      <c r="E37" s="44"/>
      <c r="G37" s="61" t="s">
        <v>84</v>
      </c>
      <c r="H37" s="48"/>
      <c r="J37" s="65" t="str">
        <f>IF('Data Values'!K13='Data Values'!K2,"",
IF(H37="","OMIT",
IF(H37 &gt;= 11,3,
IF(AND(H37&lt;=10,H37&gt;=5),2,
IF(AND(H37&lt;=4,H37&gt;=2),1,
IF(H37&lt;=1,0,""))))))</f>
        <v>OMIT</v>
      </c>
      <c r="K37" s="44"/>
    </row>
    <row r="38" spans="1:11" ht="15.75" x14ac:dyDescent="0.25">
      <c r="A38" s="74"/>
      <c r="D38" s="75">
        <f>COUNTIF(D19:D37,"OMIT")</f>
        <v>7</v>
      </c>
      <c r="E38" s="59" t="s">
        <v>87</v>
      </c>
      <c r="G38" s="74"/>
      <c r="J38" s="75">
        <f>COUNTIF(J19:J37,"OMIT")</f>
        <v>7</v>
      </c>
      <c r="K38" s="59" t="s">
        <v>87</v>
      </c>
    </row>
    <row r="39" spans="1:11" ht="15.75" x14ac:dyDescent="0.25">
      <c r="D39" s="75">
        <f>SUM(D19,D21,D23,D28,D31,D33,D37)</f>
        <v>0</v>
      </c>
      <c r="E39" s="59" t="s">
        <v>88</v>
      </c>
      <c r="J39" s="75">
        <f>SUM(J19,J21,J23,J28,J31,J33,J37)</f>
        <v>0</v>
      </c>
      <c r="K39" s="59" t="s">
        <v>88</v>
      </c>
    </row>
  </sheetData>
  <sheetProtection password="E82C" sheet="1" objects="1" scenarios="1"/>
  <mergeCells count="4">
    <mergeCell ref="A16:B16"/>
    <mergeCell ref="G16:H16"/>
    <mergeCell ref="H2:J14"/>
    <mergeCell ref="H1:J1"/>
  </mergeCells>
  <conditionalFormatting sqref="E19">
    <cfRule type="expression" dxfId="36" priority="15">
      <formula>$D19="OMIT"</formula>
    </cfRule>
  </conditionalFormatting>
  <conditionalFormatting sqref="E21">
    <cfRule type="expression" dxfId="35" priority="14">
      <formula>$D21="OMIT"</formula>
    </cfRule>
  </conditionalFormatting>
  <conditionalFormatting sqref="E23">
    <cfRule type="expression" dxfId="34" priority="13">
      <formula>$D23="OMIT"</formula>
    </cfRule>
  </conditionalFormatting>
  <conditionalFormatting sqref="E28">
    <cfRule type="expression" dxfId="33" priority="12">
      <formula>$D28="OMIT"</formula>
    </cfRule>
  </conditionalFormatting>
  <conditionalFormatting sqref="E31">
    <cfRule type="expression" dxfId="32" priority="11">
      <formula>$D31="OMIT"</formula>
    </cfRule>
  </conditionalFormatting>
  <conditionalFormatting sqref="E33">
    <cfRule type="expression" dxfId="31" priority="10">
      <formula>$D33="OMIT"</formula>
    </cfRule>
  </conditionalFormatting>
  <conditionalFormatting sqref="E37">
    <cfRule type="expression" dxfId="30" priority="9">
      <formula>$D37="OMIT"</formula>
    </cfRule>
  </conditionalFormatting>
  <conditionalFormatting sqref="K19">
    <cfRule type="expression" dxfId="29" priority="8">
      <formula>$J19="OMIT"</formula>
    </cfRule>
  </conditionalFormatting>
  <conditionalFormatting sqref="K21">
    <cfRule type="expression" dxfId="28" priority="7">
      <formula>$J21="OMIT"</formula>
    </cfRule>
  </conditionalFormatting>
  <conditionalFormatting sqref="K23">
    <cfRule type="expression" dxfId="27" priority="6">
      <formula>$J23="OMIT"</formula>
    </cfRule>
  </conditionalFormatting>
  <conditionalFormatting sqref="K28">
    <cfRule type="expression" dxfId="26" priority="5">
      <formula>$J28="OMIT"</formula>
    </cfRule>
  </conditionalFormatting>
  <conditionalFormatting sqref="K33">
    <cfRule type="expression" dxfId="25" priority="4">
      <formula>$J33="OMIT"</formula>
    </cfRule>
  </conditionalFormatting>
  <conditionalFormatting sqref="K37">
    <cfRule type="expression" dxfId="24" priority="3">
      <formula>$J37="OMIT"</formula>
    </cfRule>
  </conditionalFormatting>
  <conditionalFormatting sqref="K31">
    <cfRule type="expression" dxfId="23" priority="2">
      <formula>$J31="OMIT"</formula>
    </cfRule>
  </conditionalFormatting>
  <conditionalFormatting sqref="K17">
    <cfRule type="expression" dxfId="22" priority="1">
      <formula>AND($H$17&lt;&gt;"",$B$17&lt;&gt;$H$17)</formula>
    </cfRule>
  </conditionalFormatting>
  <dataValidations count="4">
    <dataValidation type="date" operator="greaterThan" allowBlank="1" showInputMessage="1" showErrorMessage="1" sqref="B19">
      <formula1>B17</formula1>
    </dataValidation>
    <dataValidation type="date" allowBlank="1" showInputMessage="1" showErrorMessage="1" sqref="B21 H21">
      <formula1>B17</formula1>
      <formula2>B19</formula2>
    </dataValidation>
    <dataValidation type="whole" operator="greaterThanOrEqual" allowBlank="1" showInputMessage="1" showErrorMessage="1" sqref="B28 B31 B33 B35 B37 H33 H35 H28 H31 H37">
      <formula1>0</formula1>
    </dataValidation>
    <dataValidation type="date" operator="greaterThanOrEqual" allowBlank="1" showInputMessage="1" showErrorMessage="1" sqref="B13 H19">
      <formula1>B9</formula1>
    </dataValidation>
  </dataValidations>
  <hyperlinks>
    <hyperlink ref="A1" location="'Navigation page'!B1" display="VRS-SO Scoring Page"/>
    <hyperlink ref="D1" location="'D1'!B2" display="D1 Sexually Deviant Lifestyle"/>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36" r:id="rId4" name="Check Box 8">
              <controlPr defaultSize="0" autoFill="0" autoLine="0" autoPict="0" altText="Mixed (both adult and child victims)">
                <anchor moveWithCells="1">
                  <from>
                    <xdr:col>1</xdr:col>
                    <xdr:colOff>9525</xdr:colOff>
                    <xdr:row>21</xdr:row>
                    <xdr:rowOff>190500</xdr:rowOff>
                  </from>
                  <to>
                    <xdr:col>3</xdr:col>
                    <xdr:colOff>276225</xdr:colOff>
                    <xdr:row>22</xdr:row>
                    <xdr:rowOff>200025</xdr:rowOff>
                  </to>
                </anchor>
              </controlPr>
            </control>
          </mc:Choice>
        </mc:AlternateContent>
        <mc:AlternateContent xmlns:mc="http://schemas.openxmlformats.org/markup-compatibility/2006">
          <mc:Choice Requires="x14">
            <control shapeId="22532" r:id="rId5" name="Check Box 4">
              <controlPr defaultSize="0" autoFill="0" autoLine="0" autoPict="0">
                <anchor moveWithCells="1">
                  <from>
                    <xdr:col>1</xdr:col>
                    <xdr:colOff>9525</xdr:colOff>
                    <xdr:row>23</xdr:row>
                    <xdr:rowOff>142875</xdr:rowOff>
                  </from>
                  <to>
                    <xdr:col>1</xdr:col>
                    <xdr:colOff>2133600</xdr:colOff>
                    <xdr:row>24</xdr:row>
                    <xdr:rowOff>171450</xdr:rowOff>
                  </to>
                </anchor>
              </controlPr>
            </control>
          </mc:Choice>
        </mc:AlternateContent>
        <mc:AlternateContent xmlns:mc="http://schemas.openxmlformats.org/markup-compatibility/2006">
          <mc:Choice Requires="x14">
            <control shapeId="22541" r:id="rId6" name="Check Box 13">
              <controlPr defaultSize="0" autoFill="0" autoLine="0" autoPict="0">
                <anchor moveWithCells="1">
                  <from>
                    <xdr:col>1</xdr:col>
                    <xdr:colOff>9525</xdr:colOff>
                    <xdr:row>22</xdr:row>
                    <xdr:rowOff>161925</xdr:rowOff>
                  </from>
                  <to>
                    <xdr:col>1</xdr:col>
                    <xdr:colOff>2000250</xdr:colOff>
                    <xdr:row>23</xdr:row>
                    <xdr:rowOff>171450</xdr:rowOff>
                  </to>
                </anchor>
              </controlPr>
            </control>
          </mc:Choice>
        </mc:AlternateContent>
        <mc:AlternateContent xmlns:mc="http://schemas.openxmlformats.org/markup-compatibility/2006">
          <mc:Choice Requires="x14">
            <control shapeId="22568" r:id="rId7" name="Check Box 40">
              <controlPr defaultSize="0" autoFill="0" autoLine="0" autoPict="0">
                <anchor moveWithCells="1">
                  <from>
                    <xdr:col>1</xdr:col>
                    <xdr:colOff>9525</xdr:colOff>
                    <xdr:row>24</xdr:row>
                    <xdr:rowOff>142875</xdr:rowOff>
                  </from>
                  <to>
                    <xdr:col>3</xdr:col>
                    <xdr:colOff>200025</xdr:colOff>
                    <xdr:row>25</xdr:row>
                    <xdr:rowOff>190500</xdr:rowOff>
                  </to>
                </anchor>
              </controlPr>
            </control>
          </mc:Choice>
        </mc:AlternateContent>
        <mc:AlternateContent xmlns:mc="http://schemas.openxmlformats.org/markup-compatibility/2006">
          <mc:Choice Requires="x14">
            <control shapeId="22569" r:id="rId8" name="Check Box 41">
              <controlPr defaultSize="0" autoFill="0" autoLine="0" autoPict="0" altText="Mixed (both adult and child victims)">
                <anchor moveWithCells="1">
                  <from>
                    <xdr:col>7</xdr:col>
                    <xdr:colOff>9525</xdr:colOff>
                    <xdr:row>21</xdr:row>
                    <xdr:rowOff>190500</xdr:rowOff>
                  </from>
                  <to>
                    <xdr:col>9</xdr:col>
                    <xdr:colOff>276225</xdr:colOff>
                    <xdr:row>22</xdr:row>
                    <xdr:rowOff>200025</xdr:rowOff>
                  </to>
                </anchor>
              </controlPr>
            </control>
          </mc:Choice>
        </mc:AlternateContent>
        <mc:AlternateContent xmlns:mc="http://schemas.openxmlformats.org/markup-compatibility/2006">
          <mc:Choice Requires="x14">
            <control shapeId="22570" r:id="rId9" name="Check Box 42">
              <controlPr defaultSize="0" autoFill="0" autoLine="0" autoPict="0">
                <anchor moveWithCells="1">
                  <from>
                    <xdr:col>7</xdr:col>
                    <xdr:colOff>9525</xdr:colOff>
                    <xdr:row>23</xdr:row>
                    <xdr:rowOff>142875</xdr:rowOff>
                  </from>
                  <to>
                    <xdr:col>7</xdr:col>
                    <xdr:colOff>2133600</xdr:colOff>
                    <xdr:row>24</xdr:row>
                    <xdr:rowOff>171450</xdr:rowOff>
                  </to>
                </anchor>
              </controlPr>
            </control>
          </mc:Choice>
        </mc:AlternateContent>
        <mc:AlternateContent xmlns:mc="http://schemas.openxmlformats.org/markup-compatibility/2006">
          <mc:Choice Requires="x14">
            <control shapeId="22571" r:id="rId10" name="Check Box 43">
              <controlPr defaultSize="0" autoFill="0" autoLine="0" autoPict="0">
                <anchor moveWithCells="1">
                  <from>
                    <xdr:col>7</xdr:col>
                    <xdr:colOff>9525</xdr:colOff>
                    <xdr:row>22</xdr:row>
                    <xdr:rowOff>161925</xdr:rowOff>
                  </from>
                  <to>
                    <xdr:col>7</xdr:col>
                    <xdr:colOff>2000250</xdr:colOff>
                    <xdr:row>23</xdr:row>
                    <xdr:rowOff>171450</xdr:rowOff>
                  </to>
                </anchor>
              </controlPr>
            </control>
          </mc:Choice>
        </mc:AlternateContent>
        <mc:AlternateContent xmlns:mc="http://schemas.openxmlformats.org/markup-compatibility/2006">
          <mc:Choice Requires="x14">
            <control shapeId="22572" r:id="rId11" name="Check Box 44">
              <controlPr defaultSize="0" autoFill="0" autoLine="0" autoPict="0">
                <anchor moveWithCells="1">
                  <from>
                    <xdr:col>7</xdr:col>
                    <xdr:colOff>9525</xdr:colOff>
                    <xdr:row>24</xdr:row>
                    <xdr:rowOff>142875</xdr:rowOff>
                  </from>
                  <to>
                    <xdr:col>9</xdr:col>
                    <xdr:colOff>209550</xdr:colOff>
                    <xdr:row>25</xdr:row>
                    <xdr:rowOff>190500</xdr:rowOff>
                  </to>
                </anchor>
              </controlPr>
            </control>
          </mc:Choice>
        </mc:AlternateContent>
        <mc:AlternateContent xmlns:mc="http://schemas.openxmlformats.org/markup-compatibility/2006">
          <mc:Choice Requires="x14">
            <control shapeId="22575" r:id="rId12" name="Check Box 47">
              <controlPr defaultSize="0" autoFill="0" autoLine="0" autoPict="0">
                <anchor moveWithCells="1">
                  <from>
                    <xdr:col>6</xdr:col>
                    <xdr:colOff>1209675</xdr:colOff>
                    <xdr:row>5</xdr:row>
                    <xdr:rowOff>133350</xdr:rowOff>
                  </from>
                  <to>
                    <xdr:col>6</xdr:col>
                    <xdr:colOff>3133725</xdr:colOff>
                    <xdr:row>6</xdr:row>
                    <xdr:rowOff>152400</xdr:rowOff>
                  </to>
                </anchor>
              </controlPr>
            </control>
          </mc:Choice>
        </mc:AlternateContent>
        <mc:AlternateContent xmlns:mc="http://schemas.openxmlformats.org/markup-compatibility/2006">
          <mc:Choice Requires="x14">
            <control shapeId="22577" r:id="rId13" name="Check Box 49">
              <controlPr defaultSize="0" autoFill="0" autoLine="0" autoPict="0" macro="[0]!Use_preTx_values">
                <anchor moveWithCells="1">
                  <from>
                    <xdr:col>6</xdr:col>
                    <xdr:colOff>1209675</xdr:colOff>
                    <xdr:row>7</xdr:row>
                    <xdr:rowOff>57150</xdr:rowOff>
                  </from>
                  <to>
                    <xdr:col>6</xdr:col>
                    <xdr:colOff>2714625</xdr:colOff>
                    <xdr:row>8</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'Data Values'!$L$2:$L$4</xm:f>
          </x14:formula1>
          <xm:sqref>E19 E21 E23 E28 E31 E33 E37 K19 K21 K23 K28 K31 K33 K37</xm:sqref>
        </x14:dataValidation>
        <x14:dataValidation type="date" allowBlank="1" showInputMessage="1" showErrorMessage="1">
          <x14:formula1>
            <xm:f>'Data Values'!J8</xm:f>
          </x14:formula1>
          <x14:formula2>
            <xm:f>'Data Values'!J9</xm:f>
          </x14:formula2>
          <xm:sqref>B17 H17</xm:sqref>
        </x14:dataValidation>
        <x14:dataValidation type="date" allowBlank="1" showInputMessage="1" showErrorMessage="1">
          <x14:formula1>
            <xm:f>'Data Values'!J2</xm:f>
          </x14:formula1>
          <x14:formula2>
            <xm:f>'Data Values'!J3</xm:f>
          </x14:formula2>
          <xm:sqref>B9</xm:sqref>
        </x14:dataValidation>
        <x14:dataValidation type="date" allowBlank="1" showInputMessage="1" showErrorMessage="1">
          <x14:formula1>
            <xm:f>'Data Values'!J7</xm:f>
          </x14:formula1>
          <x14:formula2>
            <xm:f>'Data Values'!J8</xm:f>
          </x14:formula2>
          <xm:sqref>B14</xm:sqref>
        </x14:dataValidation>
        <x14:dataValidation type="date" allowBlank="1" showInputMessage="1" showErrorMessage="1">
          <x14:formula1>
            <xm:f>'Data Values'!J7</xm:f>
          </x14:formula1>
          <x14:formula2>
            <xm:f>'Data Values'!J8</xm:f>
          </x14:formula2>
          <xm:sqref>B15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Q35"/>
  <sheetViews>
    <sheetView showGridLines="0" showRowColHeaders="0" zoomScale="90" zoomScaleNormal="90" workbookViewId="0">
      <selection activeCell="B1" sqref="B1"/>
    </sheetView>
  </sheetViews>
  <sheetFormatPr defaultRowHeight="15" x14ac:dyDescent="0.2"/>
  <cols>
    <col min="2" max="2" width="35.77734375" customWidth="1"/>
    <col min="3" max="3" width="2" customWidth="1"/>
    <col min="4" max="4" width="15.77734375" customWidth="1"/>
    <col min="5" max="7" width="8.77734375" style="13" customWidth="1"/>
    <col min="8" max="10" width="15.77734375" customWidth="1"/>
    <col min="11" max="13" width="8.77734375" style="13" customWidth="1"/>
    <col min="14" max="14" width="2.109375" customWidth="1"/>
    <col min="15" max="15" width="18.44140625" customWidth="1"/>
    <col min="16" max="16" width="2.21875" customWidth="1"/>
  </cols>
  <sheetData>
    <row r="1" spans="1:17" ht="15.75" x14ac:dyDescent="0.25">
      <c r="A1" s="4" t="s">
        <v>47</v>
      </c>
      <c r="D1" s="19"/>
      <c r="E1" s="19"/>
      <c r="F1" s="19"/>
      <c r="G1" s="19"/>
      <c r="H1" s="19"/>
      <c r="I1" s="19"/>
      <c r="J1" s="19"/>
    </row>
    <row r="2" spans="1:17" ht="15.75" x14ac:dyDescent="0.25">
      <c r="A2" s="36"/>
      <c r="B2" s="35"/>
      <c r="C2" s="18"/>
      <c r="D2" s="171" t="s">
        <v>7</v>
      </c>
      <c r="E2" s="171"/>
      <c r="F2" s="171"/>
      <c r="G2" s="171"/>
      <c r="H2" s="171"/>
      <c r="I2" s="172" t="s">
        <v>8</v>
      </c>
      <c r="J2" s="172"/>
      <c r="K2" s="172"/>
      <c r="L2" s="172"/>
      <c r="M2" s="172"/>
    </row>
    <row r="3" spans="1:17" ht="15.75" x14ac:dyDescent="0.25">
      <c r="A3" s="36"/>
      <c r="B3" s="35"/>
      <c r="C3" s="18"/>
      <c r="D3" s="170" t="s">
        <v>133</v>
      </c>
      <c r="E3" s="170"/>
      <c r="F3" s="170"/>
      <c r="G3" s="170"/>
      <c r="H3" s="170"/>
      <c r="I3" s="170"/>
      <c r="J3" s="170"/>
      <c r="K3" s="170"/>
      <c r="L3" s="170"/>
      <c r="M3" s="170"/>
      <c r="O3" s="81"/>
    </row>
    <row r="4" spans="1:17" ht="15.75" x14ac:dyDescent="0.25">
      <c r="A4" s="32"/>
      <c r="B4" s="31" t="s">
        <v>140</v>
      </c>
      <c r="C4" s="18"/>
      <c r="D4" s="15" t="s">
        <v>139</v>
      </c>
      <c r="E4" s="24"/>
      <c r="F4" s="24"/>
      <c r="G4" s="24"/>
      <c r="H4" s="16"/>
      <c r="I4" s="16"/>
      <c r="J4" s="15" t="s">
        <v>139</v>
      </c>
      <c r="K4" s="24"/>
      <c r="L4" s="24"/>
      <c r="M4" s="24"/>
      <c r="O4" s="81"/>
    </row>
    <row r="5" spans="1:17" x14ac:dyDescent="0.2">
      <c r="A5" s="30" t="s">
        <v>9</v>
      </c>
      <c r="B5" s="30" t="s">
        <v>111</v>
      </c>
      <c r="C5" s="18"/>
      <c r="D5" s="21" t="str">
        <f>IF('Data Values'!$K$12&lt;&gt;'Data Values'!$K$2,"",'Static 2'!D19)</f>
        <v/>
      </c>
      <c r="E5" s="21"/>
      <c r="F5" s="21"/>
      <c r="G5" s="21"/>
      <c r="H5" s="20"/>
      <c r="I5" s="22"/>
      <c r="J5" s="23" t="str">
        <f>IF('Data Values'!$K$12&lt;&gt;'Data Values'!$K$2,"",'Static 2'!J19)</f>
        <v/>
      </c>
      <c r="K5" s="23"/>
      <c r="L5" s="23"/>
      <c r="M5" s="23"/>
      <c r="O5" s="81"/>
    </row>
    <row r="6" spans="1:17" x14ac:dyDescent="0.2">
      <c r="A6" s="30" t="s">
        <v>10</v>
      </c>
      <c r="B6" s="30" t="s">
        <v>112</v>
      </c>
      <c r="C6" s="18"/>
      <c r="D6" s="21" t="str">
        <f>IF('Data Values'!$K$12&lt;&gt;'Data Values'!$K$2,"",'Static 2'!D21)</f>
        <v/>
      </c>
      <c r="E6" s="21"/>
      <c r="F6" s="21"/>
      <c r="G6" s="21"/>
      <c r="H6" s="20"/>
      <c r="I6" s="22"/>
      <c r="J6" s="23" t="str">
        <f>IF('Data Values'!$K$12&lt;&gt;'Data Values'!$K$2,"",'Static 2'!J21)</f>
        <v/>
      </c>
      <c r="K6" s="23"/>
      <c r="L6" s="23"/>
      <c r="M6" s="23"/>
    </row>
    <row r="7" spans="1:17" x14ac:dyDescent="0.2">
      <c r="A7" s="30" t="s">
        <v>11</v>
      </c>
      <c r="B7" s="30" t="s">
        <v>494</v>
      </c>
      <c r="C7" s="18"/>
      <c r="D7" s="21" t="str">
        <f>IF('Data Values'!$K$12&lt;&gt;'Data Values'!$K$2,"",'Static 2'!D23)</f>
        <v/>
      </c>
      <c r="E7" s="21"/>
      <c r="F7" s="21"/>
      <c r="G7" s="21"/>
      <c r="H7" s="20"/>
      <c r="I7" s="22"/>
      <c r="J7" s="23" t="str">
        <f>IF('Data Values'!$K$12&lt;&gt;'Data Values'!$K$2,"",'Static 2'!J23)</f>
        <v/>
      </c>
      <c r="K7" s="23"/>
      <c r="L7" s="23"/>
      <c r="M7" s="23"/>
      <c r="N7" s="120"/>
      <c r="O7" s="120"/>
      <c r="P7" s="120"/>
    </row>
    <row r="8" spans="1:17" x14ac:dyDescent="0.2">
      <c r="A8" s="30" t="s">
        <v>12</v>
      </c>
      <c r="B8" s="30" t="s">
        <v>43</v>
      </c>
      <c r="C8" s="18"/>
      <c r="D8" s="21" t="str">
        <f>IF('Data Values'!$K$12&lt;&gt;'Data Values'!$K$2,"",'Static 2'!D28)</f>
        <v/>
      </c>
      <c r="E8" s="21"/>
      <c r="F8" s="21"/>
      <c r="G8" s="21"/>
      <c r="H8" s="20"/>
      <c r="I8" s="22"/>
      <c r="J8" s="23" t="str">
        <f>IF('Data Values'!$K$12&lt;&gt;'Data Values'!$K$2,"",'Static 2'!J28)</f>
        <v/>
      </c>
      <c r="K8" s="23"/>
      <c r="L8" s="23"/>
      <c r="M8" s="23"/>
      <c r="N8" s="120"/>
      <c r="O8" s="120"/>
      <c r="P8" s="120"/>
    </row>
    <row r="9" spans="1:17" x14ac:dyDescent="0.2">
      <c r="A9" s="30" t="s">
        <v>13</v>
      </c>
      <c r="B9" s="30" t="s">
        <v>44</v>
      </c>
      <c r="C9" s="18"/>
      <c r="D9" s="21" t="str">
        <f>IF('Data Values'!$K$12&lt;&gt;'Data Values'!$K$2,"",'Static 2'!D31)</f>
        <v/>
      </c>
      <c r="E9" s="21"/>
      <c r="F9" s="21"/>
      <c r="G9" s="21"/>
      <c r="H9" s="20"/>
      <c r="I9" s="22"/>
      <c r="J9" s="23" t="str">
        <f>IF('Data Values'!$K$12&lt;&gt;'Data Values'!$K$2,"",'Static 2'!J31)</f>
        <v/>
      </c>
      <c r="K9" s="23"/>
      <c r="L9" s="23"/>
      <c r="M9" s="23"/>
      <c r="N9" s="120"/>
      <c r="O9" s="120"/>
      <c r="P9" s="120"/>
    </row>
    <row r="10" spans="1:17" x14ac:dyDescent="0.2">
      <c r="A10" s="30" t="s">
        <v>14</v>
      </c>
      <c r="B10" s="30" t="s">
        <v>113</v>
      </c>
      <c r="C10" s="18"/>
      <c r="D10" s="21" t="str">
        <f>IF('Data Values'!$K$12&lt;&gt;'Data Values'!$K$2,"",'Static 2'!D33)</f>
        <v/>
      </c>
      <c r="E10" s="21"/>
      <c r="F10" s="21"/>
      <c r="G10" s="21"/>
      <c r="H10" s="20"/>
      <c r="I10" s="22"/>
      <c r="J10" s="23" t="str">
        <f>IF('Data Values'!$K$12&lt;&gt;'Data Values'!$K$2,"",'Static 2'!J33)</f>
        <v/>
      </c>
      <c r="K10" s="23"/>
      <c r="L10" s="23"/>
      <c r="M10" s="23"/>
      <c r="N10" s="120"/>
      <c r="O10" s="120"/>
      <c r="P10" s="120"/>
    </row>
    <row r="11" spans="1:17" x14ac:dyDescent="0.2">
      <c r="A11" s="30" t="s">
        <v>15</v>
      </c>
      <c r="B11" s="30" t="s">
        <v>45</v>
      </c>
      <c r="C11" s="18"/>
      <c r="D11" s="21" t="str">
        <f>IF('Data Values'!$K$12&lt;&gt;'Data Values'!$K$2,"",'Static 2'!D37)</f>
        <v/>
      </c>
      <c r="E11" s="21"/>
      <c r="F11" s="21"/>
      <c r="G11" s="21"/>
      <c r="H11" s="20"/>
      <c r="I11" s="22"/>
      <c r="J11" s="23" t="str">
        <f>IF('Data Values'!$K$12&lt;&gt;'Data Values'!$K$2,"",'Static 2'!J37)</f>
        <v/>
      </c>
      <c r="K11" s="23"/>
      <c r="L11" s="23"/>
      <c r="M11" s="23"/>
      <c r="N11" s="120"/>
      <c r="O11" s="120"/>
      <c r="P11" s="120"/>
    </row>
    <row r="12" spans="1:17" ht="15.75" x14ac:dyDescent="0.25">
      <c r="A12" s="26"/>
      <c r="B12" s="29" t="s">
        <v>131</v>
      </c>
      <c r="C12" s="18"/>
      <c r="D12" s="27" t="str">
        <f>IF(OR(AND(D5="",D6="",D7="",D8="",D9="",D10="",D11=""),'Data Values'!$K$12&lt;&gt;'Data Values'!$K$2),"",SUM(D5:D11))</f>
        <v/>
      </c>
      <c r="E12" s="25"/>
      <c r="F12" s="25"/>
      <c r="G12" s="25"/>
      <c r="H12" s="26"/>
      <c r="I12" s="26"/>
      <c r="J12" s="27" t="str">
        <f>IF(OR(AND(J5="",J6="",J7="",J8="",J9="",J10="",J11=""),'Data Values'!$K$12&lt;&gt;'Data Values'!$K$2),"",SUM(J5:J11))</f>
        <v/>
      </c>
      <c r="K12" s="25"/>
      <c r="L12" s="25"/>
      <c r="M12" s="25"/>
      <c r="O12" s="173" t="str">
        <f>IF('Data Values'!K14=TRUE,"Provide reason for override below","")</f>
        <v/>
      </c>
      <c r="P12" s="173"/>
      <c r="Q12" s="173"/>
    </row>
    <row r="13" spans="1:17" ht="15.75" x14ac:dyDescent="0.25">
      <c r="A13" s="18"/>
      <c r="B13" s="37"/>
      <c r="C13" s="18"/>
      <c r="D13" s="170" t="s">
        <v>134</v>
      </c>
      <c r="E13" s="170"/>
      <c r="F13" s="170"/>
      <c r="G13" s="170"/>
      <c r="H13" s="170"/>
      <c r="I13" s="170"/>
      <c r="J13" s="170"/>
      <c r="K13" s="170"/>
      <c r="L13" s="170"/>
      <c r="M13" s="170"/>
      <c r="O13" s="174"/>
      <c r="P13" s="174"/>
      <c r="Q13" s="174"/>
    </row>
    <row r="14" spans="1:17" ht="15.75" x14ac:dyDescent="0.25">
      <c r="A14" s="32"/>
      <c r="B14" s="31" t="s">
        <v>141</v>
      </c>
      <c r="C14" s="18"/>
      <c r="D14" s="15" t="s">
        <v>139</v>
      </c>
      <c r="E14" s="15" t="s">
        <v>128</v>
      </c>
      <c r="F14" s="15" t="s">
        <v>129</v>
      </c>
      <c r="G14" s="15" t="s">
        <v>130</v>
      </c>
      <c r="H14" s="15" t="s">
        <v>51</v>
      </c>
      <c r="I14" s="15" t="s">
        <v>51</v>
      </c>
      <c r="J14" s="15" t="s">
        <v>139</v>
      </c>
      <c r="K14" s="15" t="s">
        <v>128</v>
      </c>
      <c r="L14" s="15" t="s">
        <v>129</v>
      </c>
      <c r="M14" s="15" t="s">
        <v>130</v>
      </c>
      <c r="O14" s="174"/>
      <c r="P14" s="174"/>
      <c r="Q14" s="174"/>
    </row>
    <row r="15" spans="1:17" x14ac:dyDescent="0.2">
      <c r="A15" s="42" t="s">
        <v>48</v>
      </c>
      <c r="B15" s="30" t="s">
        <v>114</v>
      </c>
      <c r="C15" s="18"/>
      <c r="D15" s="21" t="str">
        <f>IF('D1'!$A$5="","Missing",'D1'!$A$5)</f>
        <v>Missing</v>
      </c>
      <c r="E15" s="21" t="str">
        <f>D15</f>
        <v>Missing</v>
      </c>
      <c r="F15" s="21"/>
      <c r="G15" s="21"/>
      <c r="H15" s="21" t="str">
        <f>IF('D1'!$B$5="","",'D1'!$B$5)</f>
        <v/>
      </c>
      <c r="I15" s="23" t="str">
        <f>IF('D1'!$C$5="","",'D1'!$C$5)</f>
        <v/>
      </c>
      <c r="J15" s="23" t="str">
        <f>IF(AND('D1'!$D$5="",'D1'!$D$6=""),"Missing",
IF(AND('D1'!$D$5&lt;&gt;"",'D1'!$D$6&lt;&gt;""),"Err D1",
IF(AND('D1'!$D$5="",OR('D1'!$D$6="OMIT (Info)",'D1'!$D$6="OMIT (NA)")),'D1'!$D$6,MAX('D1'!$D$5,'D1'!$D$6))))</f>
        <v>Missing</v>
      </c>
      <c r="K15" s="23" t="str">
        <f>J15</f>
        <v>Missing</v>
      </c>
      <c r="L15" s="23"/>
      <c r="M15" s="23"/>
      <c r="O15" s="174"/>
      <c r="P15" s="174"/>
      <c r="Q15" s="174"/>
    </row>
    <row r="16" spans="1:17" x14ac:dyDescent="0.2">
      <c r="A16" s="42" t="s">
        <v>95</v>
      </c>
      <c r="B16" s="30" t="s">
        <v>153</v>
      </c>
      <c r="C16" s="18"/>
      <c r="D16" s="21" t="str">
        <f>IF('D2'!$A$5="","Missing",'D2'!$A$5)</f>
        <v>Missing</v>
      </c>
      <c r="E16" s="21" t="str">
        <f>D16</f>
        <v>Missing</v>
      </c>
      <c r="F16" s="21"/>
      <c r="G16" s="21"/>
      <c r="H16" s="21" t="str">
        <f>IF('D2'!$B$5="","",'D2'!$B$5)</f>
        <v/>
      </c>
      <c r="I16" s="23" t="str">
        <f>IF('D2'!$C$5="","",'D2'!$C$5)</f>
        <v/>
      </c>
      <c r="J16" s="23" t="str">
        <f>IF(AND('D2'!$D$5="",'D2'!$D$6=""),"Missing",
IF(AND('D2'!$D$5&lt;&gt;"",'D2'!$D$6&lt;&gt;""),"Err D2",
IF(AND('D2'!$D$5="",OR('D2'!$D$6="OMIT (Info)",'D2'!$D$6="OMIT (NA)")),'D2'!$D$6,MAX('D2'!$D$5,'D2'!$D$6))))</f>
        <v>Missing</v>
      </c>
      <c r="K16" s="23" t="str">
        <f>J16</f>
        <v>Missing</v>
      </c>
      <c r="L16" s="23"/>
      <c r="M16" s="23"/>
      <c r="O16" s="174"/>
      <c r="P16" s="174"/>
      <c r="Q16" s="174"/>
    </row>
    <row r="17" spans="1:17" x14ac:dyDescent="0.2">
      <c r="A17" s="42" t="s">
        <v>96</v>
      </c>
      <c r="B17" s="30" t="s">
        <v>115</v>
      </c>
      <c r="C17" s="18"/>
      <c r="D17" s="21" t="str">
        <f>IF('D3'!$A$5="","Missing",'D3'!$A$5)</f>
        <v>Missing</v>
      </c>
      <c r="E17" s="21" t="str">
        <f>D17</f>
        <v>Missing</v>
      </c>
      <c r="F17" s="21"/>
      <c r="G17" s="21"/>
      <c r="H17" s="21" t="str">
        <f>IF('D3'!$B$5="","",'D3'!$B$5)</f>
        <v/>
      </c>
      <c r="I17" s="23" t="str">
        <f>IF('D3'!$C$5="","",'D3'!$C$5)</f>
        <v/>
      </c>
      <c r="J17" s="23" t="str">
        <f>IF(AND('D3'!$D$5="",'D3'!$D$6=""),"Missing",
IF(AND('D3'!$D$5&lt;&gt;"",'D3'!$D$6&lt;&gt;""),"Err D3",
IF(AND('D3'!$D$5="",OR('D3'!$D$6="OMIT (Info)",'D3'!$D$6="OMIT (NA)")),'D3'!$D$6,MAX('D3'!$D$5,'D3'!$D$6))))</f>
        <v>Missing</v>
      </c>
      <c r="K17" s="23" t="str">
        <f>J17</f>
        <v>Missing</v>
      </c>
      <c r="L17" s="23"/>
      <c r="M17" s="23"/>
      <c r="O17" s="174"/>
      <c r="P17" s="174"/>
      <c r="Q17" s="174"/>
    </row>
    <row r="18" spans="1:17" x14ac:dyDescent="0.2">
      <c r="A18" s="42" t="s">
        <v>97</v>
      </c>
      <c r="B18" s="30" t="s">
        <v>116</v>
      </c>
      <c r="C18" s="18"/>
      <c r="D18" s="21" t="str">
        <f>IF('D4'!$A$5="","Missing",'D4'!$A$5)</f>
        <v>Missing</v>
      </c>
      <c r="E18" s="21"/>
      <c r="F18" s="21" t="str">
        <f>D18</f>
        <v>Missing</v>
      </c>
      <c r="G18" s="21"/>
      <c r="H18" s="21" t="str">
        <f>IF('D4'!$B$5="","",'D4'!$B$5)</f>
        <v/>
      </c>
      <c r="I18" s="23" t="str">
        <f>IF('D4'!$C$5="","",'D4'!$C$5)</f>
        <v/>
      </c>
      <c r="J18" s="23" t="str">
        <f>IF(AND('D4'!$D$5="",'D4'!$D$6=""),"Missing",
IF(AND('D4'!$D$5&lt;&gt;"",'D4'!$D$6&lt;&gt;""),"Err D4",
IF(AND('D4'!$D$5="",OR('D4'!$D$6="OMIT (Info)",'D4'!$D$6="OMIT (NA)")),'D4'!$D$6,MAX('D4'!$D$5,'D4'!$D$6))))</f>
        <v>Missing</v>
      </c>
      <c r="K18" s="23"/>
      <c r="L18" s="23" t="str">
        <f>J18</f>
        <v>Missing</v>
      </c>
      <c r="M18" s="23"/>
      <c r="O18" s="174"/>
      <c r="P18" s="174"/>
      <c r="Q18" s="174"/>
    </row>
    <row r="19" spans="1:17" x14ac:dyDescent="0.2">
      <c r="A19" s="42" t="s">
        <v>98</v>
      </c>
      <c r="B19" s="30" t="s">
        <v>117</v>
      </c>
      <c r="C19" s="18"/>
      <c r="D19" s="21" t="str">
        <f>IF('D5'!$A$5="","Missing",'D5'!$A$5)</f>
        <v>Missing</v>
      </c>
      <c r="E19" s="21"/>
      <c r="F19" s="21"/>
      <c r="G19" s="21" t="str">
        <f>D19</f>
        <v>Missing</v>
      </c>
      <c r="H19" s="21" t="str">
        <f>IF('D5'!$B$5="","",'D5'!$B$5)</f>
        <v/>
      </c>
      <c r="I19" s="23" t="str">
        <f>IF('D5'!$C$5="","",'D5'!$C$5)</f>
        <v/>
      </c>
      <c r="J19" s="23" t="str">
        <f>IF(AND('D5'!$D$5="",'D5'!$D$6=""),"Missing",
IF(AND('D5'!$D$5&lt;&gt;"",'D5'!$D$6&lt;&gt;""),"Err D5",
IF(AND('D5'!$D$5="",OR('D5'!$D$6="OMIT (Info)",'D5'!$D$6="OMIT (NA)")),'D5'!$D$6,MAX('D5'!$D$5,'D5'!$D$6))))</f>
        <v>Missing</v>
      </c>
      <c r="K19" s="23"/>
      <c r="L19" s="23"/>
      <c r="M19" s="23" t="str">
        <f>J19</f>
        <v>Missing</v>
      </c>
      <c r="O19" s="174"/>
      <c r="P19" s="174"/>
      <c r="Q19" s="174"/>
    </row>
    <row r="20" spans="1:17" x14ac:dyDescent="0.2">
      <c r="A20" s="42" t="s">
        <v>99</v>
      </c>
      <c r="B20" s="30" t="s">
        <v>118</v>
      </c>
      <c r="C20" s="18"/>
      <c r="D20" s="21" t="str">
        <f>IF('D6'!$A$5="","Missing",'D6'!$A$5)</f>
        <v>Missing</v>
      </c>
      <c r="E20" s="21"/>
      <c r="F20" s="21" t="str">
        <f>D20</f>
        <v>Missing</v>
      </c>
      <c r="G20" s="21"/>
      <c r="H20" s="21" t="str">
        <f>IF('D6'!$B$5="","",'D6'!$B$5)</f>
        <v/>
      </c>
      <c r="I20" s="23" t="str">
        <f>IF('D6'!$C$5="","",'D6'!$C$5)</f>
        <v/>
      </c>
      <c r="J20" s="23" t="str">
        <f>IF(AND('D6'!$D$5="",'D6'!$D$6=""),"Missing",
IF(AND('D6'!$D$5&lt;&gt;"",'D6'!$D$6&lt;&gt;""),"Err D6",
IF(AND('D6'!$D$5="",OR('D6'!$D$6="OMIT (Info)",'D6'!$D$6="OMIT (NA)")),'D6'!$D$6,MAX('D6'!$D$5,'D6'!$D$6))))</f>
        <v>Missing</v>
      </c>
      <c r="K20" s="23"/>
      <c r="L20" s="23" t="str">
        <f>J20</f>
        <v>Missing</v>
      </c>
      <c r="M20" s="23"/>
      <c r="O20" s="174"/>
      <c r="P20" s="174"/>
      <c r="Q20" s="174"/>
    </row>
    <row r="21" spans="1:17" x14ac:dyDescent="0.2">
      <c r="A21" s="42" t="s">
        <v>100</v>
      </c>
      <c r="B21" s="30" t="s">
        <v>119</v>
      </c>
      <c r="C21" s="18"/>
      <c r="D21" s="21" t="str">
        <f>IF('D7'!$A$5="","Missing",'D7'!$A$5)</f>
        <v>Missing</v>
      </c>
      <c r="E21" s="21"/>
      <c r="F21" s="21"/>
      <c r="G21" s="21"/>
      <c r="H21" s="21" t="str">
        <f>IF('D7'!$B$5="","",'D7'!$B$5)</f>
        <v/>
      </c>
      <c r="I21" s="23" t="str">
        <f>IF('D7'!$C$5="","",'D7'!$C$5)</f>
        <v/>
      </c>
      <c r="J21" s="23" t="str">
        <f>IF(AND('D7'!$D$5="",'D7'!$D$6=""),"Missing",
IF(AND('D7'!$D$5&lt;&gt;"",'D7'!$D$6&lt;&gt;""),"Err D7",
IF(AND('D7'!$D$5="",OR('D7'!$D$6="OMIT (Info)",'D7'!$D$6="OMIT (NA)")),'D7'!$D$6,MAX('D7'!$D$5,'D7'!$D$6))))</f>
        <v>Missing</v>
      </c>
      <c r="K21" s="23"/>
      <c r="L21" s="23"/>
      <c r="M21" s="23"/>
      <c r="O21" s="174"/>
      <c r="P21" s="174"/>
      <c r="Q21" s="174"/>
    </row>
    <row r="22" spans="1:17" x14ac:dyDescent="0.2">
      <c r="A22" s="42" t="s">
        <v>101</v>
      </c>
      <c r="B22" s="30" t="s">
        <v>120</v>
      </c>
      <c r="C22" s="18"/>
      <c r="D22" s="21" t="str">
        <f>IF('D8'!$A$5="","Missing",'D8'!$A$5)</f>
        <v>Missing</v>
      </c>
      <c r="E22" s="21"/>
      <c r="F22" s="21"/>
      <c r="G22" s="21" t="str">
        <f>D22</f>
        <v>Missing</v>
      </c>
      <c r="H22" s="21" t="str">
        <f>IF('D8'!$B$5="","",'D8'!$B$5)</f>
        <v/>
      </c>
      <c r="I22" s="23" t="str">
        <f>IF('D8'!$C$5="","",'D8'!$C$5)</f>
        <v/>
      </c>
      <c r="J22" s="23" t="str">
        <f>IF(AND('D8'!$D$5="",'D8'!$D$6=""),"Missing",
IF(AND('D8'!$D$5&lt;&gt;"",'D8'!$D$6&lt;&gt;""),"Err D8",
IF(AND('D8'!$D$5="",OR('D8'!$D$6="OMIT (Info)",'D8'!$D$6="OMIT (NA)")),'D8'!$D$6,MAX('D8'!$D$5,'D8'!$D$6))))</f>
        <v>Missing</v>
      </c>
      <c r="K22" s="23"/>
      <c r="L22" s="23"/>
      <c r="M22" s="23" t="str">
        <f>J22</f>
        <v>Missing</v>
      </c>
      <c r="O22" s="174"/>
      <c r="P22" s="174"/>
      <c r="Q22" s="174"/>
    </row>
    <row r="23" spans="1:17" x14ac:dyDescent="0.2">
      <c r="A23" s="42" t="s">
        <v>102</v>
      </c>
      <c r="B23" s="30" t="s">
        <v>121</v>
      </c>
      <c r="C23" s="18"/>
      <c r="D23" s="21" t="str">
        <f>IF('D9'!$A$5="","Missing",'D9'!$A$5)</f>
        <v>Missing</v>
      </c>
      <c r="E23" s="21"/>
      <c r="F23" s="21" t="str">
        <f>D23</f>
        <v>Missing</v>
      </c>
      <c r="G23" s="21"/>
      <c r="H23" s="21" t="str">
        <f>IF('D9'!$B$5="","",'D9'!$B$5)</f>
        <v/>
      </c>
      <c r="I23" s="23" t="str">
        <f>IF('D9'!$C$5="","",'D9'!$C$5)</f>
        <v/>
      </c>
      <c r="J23" s="23" t="str">
        <f>IF(AND('D9'!$D$5="",'D9'!$D$6=""),"Missing",
IF(AND('D9'!$D$5&lt;&gt;"",'D9'!$D$6&lt;&gt;""),"Err D9",
IF(AND('D9'!$D$5="",OR('D9'!$D$6="OMIT (Info)",'D9'!$D$6="OMIT (NA)")),'D9'!$D$6,MAX('D9'!$D$5,'D9'!$D$6))))</f>
        <v>Missing</v>
      </c>
      <c r="K23" s="23"/>
      <c r="L23" s="23" t="str">
        <f>J23</f>
        <v>Missing</v>
      </c>
      <c r="M23" s="23"/>
      <c r="O23" s="174"/>
      <c r="P23" s="174"/>
      <c r="Q23" s="174"/>
    </row>
    <row r="24" spans="1:17" x14ac:dyDescent="0.2">
      <c r="A24" s="42" t="s">
        <v>103</v>
      </c>
      <c r="B24" s="30" t="s">
        <v>154</v>
      </c>
      <c r="C24" s="18"/>
      <c r="D24" s="21" t="str">
        <f>IF('D10'!$A$5="","Missing",'D10'!$A$5)</f>
        <v>Missing</v>
      </c>
      <c r="E24" s="21"/>
      <c r="F24" s="21" t="str">
        <f>D24</f>
        <v>Missing</v>
      </c>
      <c r="G24" s="21"/>
      <c r="H24" s="21" t="str">
        <f>IF('D10'!$B$5="","",'D10'!$B$5)</f>
        <v/>
      </c>
      <c r="I24" s="23" t="str">
        <f>IF('D10'!$C$5="","",'D10'!$C$5)</f>
        <v/>
      </c>
      <c r="J24" s="23" t="str">
        <f>IF(AND('D10'!$D$5="",'D10'!$D$6=""),"Missing",
IF(AND('D10'!$D$5&lt;&gt;"",'D10'!$D$6&lt;&gt;""),"Err D10",
IF(AND('D10'!$D$5="",OR('D10'!$D$6="OMIT (Info)",'D10'!$D$6="OMIT (NA)")),'D10'!$D$6,MAX('D10'!$D$5,'D10'!$D$6))))</f>
        <v>Missing</v>
      </c>
      <c r="K24" s="23"/>
      <c r="L24" s="23" t="str">
        <f>J24</f>
        <v>Missing</v>
      </c>
      <c r="M24" s="23"/>
      <c r="O24" s="174"/>
      <c r="P24" s="174"/>
      <c r="Q24" s="174"/>
    </row>
    <row r="25" spans="1:17" x14ac:dyDescent="0.2">
      <c r="A25" s="42" t="s">
        <v>104</v>
      </c>
      <c r="B25" s="30" t="s">
        <v>495</v>
      </c>
      <c r="C25" s="18"/>
      <c r="D25" s="21" t="str">
        <f>IF('D11'!$A$5="","Missing",'D11'!$A$5)</f>
        <v>Missing</v>
      </c>
      <c r="E25" s="21"/>
      <c r="F25" s="21"/>
      <c r="G25" s="21" t="str">
        <f>D25</f>
        <v>Missing</v>
      </c>
      <c r="H25" s="21" t="str">
        <f>IF('D11'!$B$5="","",'D11'!$B$5)</f>
        <v/>
      </c>
      <c r="I25" s="23" t="str">
        <f>IF('D11'!$C$5="","",'D11'!$C$5)</f>
        <v/>
      </c>
      <c r="J25" s="23" t="str">
        <f>IF(AND('D11'!$D$5="",'D11'!$D$6=""),"Missing",
IF(AND('D11'!$D$5&lt;&gt;"",'D11'!$D$6&lt;&gt;""),"Err D11",
IF(AND('D11'!$D$5="",OR('D11'!$D$6="OMIT (Info)",'D11'!$D$6="OMIT (NA)")),'D11'!$D$6,MAX('D11'!$D$5,'D11'!$D$6))))</f>
        <v>Missing</v>
      </c>
      <c r="K25" s="23"/>
      <c r="L25" s="23"/>
      <c r="M25" s="23" t="str">
        <f>J25</f>
        <v>Missing</v>
      </c>
      <c r="O25" s="174"/>
      <c r="P25" s="174"/>
      <c r="Q25" s="174"/>
    </row>
    <row r="26" spans="1:17" x14ac:dyDescent="0.2">
      <c r="A26" s="42" t="s">
        <v>105</v>
      </c>
      <c r="B26" s="30" t="s">
        <v>122</v>
      </c>
      <c r="C26" s="18"/>
      <c r="D26" s="21" t="str">
        <f>IF('D12'!$A$5="","Missing",'D12'!$A$5)</f>
        <v>Missing</v>
      </c>
      <c r="E26" s="21" t="str">
        <f>D26</f>
        <v>Missing</v>
      </c>
      <c r="F26" s="21"/>
      <c r="G26" s="21"/>
      <c r="H26" s="21" t="str">
        <f>IF('D12'!$B$5="","",'D12'!$B$5)</f>
        <v/>
      </c>
      <c r="I26" s="23" t="str">
        <f>IF('D12'!$C$5="","",'D12'!$C$5)</f>
        <v/>
      </c>
      <c r="J26" s="23" t="str">
        <f>IF(AND('D12'!$D$5="",'D12'!$D$6=""),"Missing",
IF(AND('D12'!$D$5&lt;&gt;"",'D12'!$D$6&lt;&gt;""),"Err D12",
IF(AND('D12'!$D$5="",OR('D12'!$D$6="OMIT (Info)",'D12'!$D$6="OMIT (NA)")),'D12'!$D$6,MAX('D12'!$D$5,'D12'!$D$6))))</f>
        <v>Missing</v>
      </c>
      <c r="K26" s="23" t="str">
        <f>J26</f>
        <v>Missing</v>
      </c>
      <c r="L26" s="23"/>
      <c r="M26" s="23"/>
      <c r="O26" s="174"/>
      <c r="P26" s="174"/>
      <c r="Q26" s="174"/>
    </row>
    <row r="27" spans="1:17" x14ac:dyDescent="0.2">
      <c r="A27" s="42" t="s">
        <v>106</v>
      </c>
      <c r="B27" s="30" t="s">
        <v>123</v>
      </c>
      <c r="C27" s="18"/>
      <c r="D27" s="21" t="str">
        <f>IF('D13'!$A$5="","Missing",'D13'!$A$5)</f>
        <v>Missing</v>
      </c>
      <c r="E27" s="21"/>
      <c r="F27" s="21" t="str">
        <f>D27</f>
        <v>Missing</v>
      </c>
      <c r="G27" s="21"/>
      <c r="H27" s="21" t="str">
        <f>IF('D13'!$B$5="","",'D13'!$B$5)</f>
        <v/>
      </c>
      <c r="I27" s="23" t="str">
        <f>IF('D13'!$C$5="","",'D13'!$C$5)</f>
        <v/>
      </c>
      <c r="J27" s="23" t="str">
        <f>IF(AND('D13'!$D$5="",'D13'!$D$6=""),"Missing",
IF(AND('D13'!$D$5&lt;&gt;"",'D13'!$D$6&lt;&gt;""),"Err D13",
IF(AND('D13'!$D$5="",OR('D13'!$D$6="OMIT (Info)",'D13'!$D$6="OMIT (NA)")),'D13'!$D$6,MAX('D13'!$D$5,'D13'!$D$6))))</f>
        <v>Missing</v>
      </c>
      <c r="K27" s="23"/>
      <c r="L27" s="23" t="str">
        <f>J27</f>
        <v>Missing</v>
      </c>
      <c r="M27" s="23"/>
      <c r="O27" s="174"/>
      <c r="P27" s="174"/>
      <c r="Q27" s="174"/>
    </row>
    <row r="28" spans="1:17" x14ac:dyDescent="0.2">
      <c r="A28" s="42" t="s">
        <v>107</v>
      </c>
      <c r="B28" s="30" t="s">
        <v>124</v>
      </c>
      <c r="C28" s="18"/>
      <c r="D28" s="21" t="str">
        <f>IF('D14'!$A$5="","Missing",'D14'!$A$5)</f>
        <v>Missing</v>
      </c>
      <c r="E28" s="21"/>
      <c r="F28" s="21" t="str">
        <f>D28</f>
        <v>Missing</v>
      </c>
      <c r="G28" s="21"/>
      <c r="H28" s="21" t="str">
        <f>IF('D14'!$B$5="","",'D14'!$B$5)</f>
        <v/>
      </c>
      <c r="I28" s="23" t="str">
        <f>IF('D14'!$C$5="","",'D14'!$C$5)</f>
        <v/>
      </c>
      <c r="J28" s="23" t="str">
        <f>IF(AND('D14'!$D$5="",'D14'!$D$6=""),"Missing",
IF(AND('D14'!$D$5&lt;&gt;"",'D14'!$D$6&lt;&gt;""),"Err D14",
IF(AND('D14'!$D$5="",OR('D14'!$D$6="OMIT (Info)",'D14'!$D$6="OMIT (NA)")),'D14'!$D$6,MAX('D14'!$D$5,'D14'!$D$6))))</f>
        <v>Missing</v>
      </c>
      <c r="K28" s="23"/>
      <c r="L28" s="23" t="str">
        <f>J28</f>
        <v>Missing</v>
      </c>
      <c r="M28" s="23"/>
      <c r="O28" s="174"/>
      <c r="P28" s="174"/>
      <c r="Q28" s="174"/>
    </row>
    <row r="29" spans="1:17" x14ac:dyDescent="0.2">
      <c r="A29" s="42" t="s">
        <v>108</v>
      </c>
      <c r="B29" s="30" t="s">
        <v>125</v>
      </c>
      <c r="C29" s="18"/>
      <c r="D29" s="21" t="str">
        <f>IF('D15'!$A$5="","Missing",'D15'!$A$5)</f>
        <v>Missing</v>
      </c>
      <c r="E29" s="21"/>
      <c r="F29" s="21"/>
      <c r="G29" s="21" t="str">
        <f>D29</f>
        <v>Missing</v>
      </c>
      <c r="H29" s="21" t="str">
        <f>IF('D15'!$B$5="","",'D15'!$B$5)</f>
        <v/>
      </c>
      <c r="I29" s="23" t="str">
        <f>IF('D15'!$C$5="","",'D15'!$C$5)</f>
        <v/>
      </c>
      <c r="J29" s="23" t="str">
        <f>IF(AND('D15'!$D$5="",'D15'!$D$6=""),"Missing",
IF(AND('D15'!$D$5&lt;&gt;"",'D15'!$D$6&lt;&gt;""),"Err D15",
IF(AND('D15'!$D$5="",OR('D15'!$D$6="OMIT (Info)",'D15'!$D$6="OMIT (NA)")),'D15'!$D$6,MAX('D15'!$D$5,'D15'!$D$6))))</f>
        <v>Missing</v>
      </c>
      <c r="K29" s="23"/>
      <c r="L29" s="23"/>
      <c r="M29" s="23" t="str">
        <f>J29</f>
        <v>Missing</v>
      </c>
      <c r="O29" s="174"/>
      <c r="P29" s="174"/>
      <c r="Q29" s="174"/>
    </row>
    <row r="30" spans="1:17" x14ac:dyDescent="0.2">
      <c r="A30" s="42" t="s">
        <v>109</v>
      </c>
      <c r="B30" s="30" t="s">
        <v>126</v>
      </c>
      <c r="C30" s="18"/>
      <c r="D30" s="21" t="str">
        <f>IF('D16'!$A$5="","Missing",'D16'!$A$5)</f>
        <v>Missing</v>
      </c>
      <c r="E30" s="21" t="str">
        <f>D30</f>
        <v>Missing</v>
      </c>
      <c r="F30" s="21"/>
      <c r="G30" s="21"/>
      <c r="H30" s="21" t="str">
        <f>IF('D16'!$B$5="","",'D16'!$B$5)</f>
        <v/>
      </c>
      <c r="I30" s="23" t="str">
        <f>IF('D16'!$C$5="","",'D16'!$C$5)</f>
        <v/>
      </c>
      <c r="J30" s="23" t="str">
        <f>IF(AND('D16'!$D$5="",'D16'!$D$6=""),"Missing",
IF(AND('D16'!$D$5&lt;&gt;"",'D16'!$D$6&lt;&gt;""),"Err D16",
IF(AND('D16'!$D$5="",OR('D16'!$D$6="OMIT (Info)",'D16'!$D$6="OMIT (NA)")),'D16'!$D$6,MAX('D16'!$D$5,'D16'!$D$6))))</f>
        <v>Missing</v>
      </c>
      <c r="K30" s="23" t="str">
        <f>J30</f>
        <v>Missing</v>
      </c>
      <c r="L30" s="23"/>
      <c r="M30" s="23"/>
    </row>
    <row r="31" spans="1:17" ht="15.75" x14ac:dyDescent="0.25">
      <c r="A31" s="42" t="s">
        <v>110</v>
      </c>
      <c r="B31" s="30" t="s">
        <v>127</v>
      </c>
      <c r="C31" s="18"/>
      <c r="D31" s="21" t="str">
        <f>IF('D17'!$A$5="","Missing",'D17'!$A$5)</f>
        <v>Missing</v>
      </c>
      <c r="E31" s="21"/>
      <c r="F31" s="21"/>
      <c r="G31" s="21"/>
      <c r="H31" s="21" t="str">
        <f>IF('D17'!$B$5="","",'D17'!$B$5)</f>
        <v/>
      </c>
      <c r="I31" s="23" t="str">
        <f>IF('D17'!$C$5="","",'D17'!$C$5)</f>
        <v/>
      </c>
      <c r="J31" s="23" t="str">
        <f>IF(AND('D17'!$D$5="",'D17'!$D$6=""),"Missing",
IF(AND('D17'!$D$5&lt;&gt;"",'D17'!$D$6&lt;&gt;""),"Err D17",
IF(AND('D17'!$D$5="",OR('D17'!$D$6="OMIT (Info)",'D17'!$D$6="OMIT (NA)")),'D17'!$D$6,MAX('D17'!$D$5,'D17'!$D$6))))</f>
        <v>Missing</v>
      </c>
      <c r="K31" s="23"/>
      <c r="L31" s="23"/>
      <c r="M31" s="23"/>
      <c r="O31" s="38" t="str">
        <f>IF(OR(D32="",J32=""),"","CHANGE")</f>
        <v/>
      </c>
    </row>
    <row r="32" spans="1:17" ht="15.75" x14ac:dyDescent="0.25">
      <c r="A32" s="26"/>
      <c r="B32" s="29" t="s">
        <v>132</v>
      </c>
      <c r="D32" s="27" t="str">
        <f>IF(AND(D15="Missing",D16="Missing",D17="Missing",D18="Missing",D19="Missing",D20="Missing",D21="Missing",D22="Missing",D23="Missing",D24="Missing",D25="Missing",D26="Missing",D27="Missing",D28="Missing",D29="Missing",D30="Missing",D31="Missing"),"",SUM(D15:D31))</f>
        <v/>
      </c>
      <c r="E32" s="27" t="str">
        <f>IF(AND(E15="Missing",E16="Missing",E17="Missing",E26="Missing",E30="Missing"),"",SUM(E15:E31))</f>
        <v/>
      </c>
      <c r="F32" s="27" t="str">
        <f>IF(AND(F18="Missing",F20="Missing",F23="Missing",F24="Missing",F27="Missing",F28="Missing"),"",SUM(F15:F31))</f>
        <v/>
      </c>
      <c r="G32" s="27" t="str">
        <f>IF(AND(G19="Missing",G22="Missing",G25="Missing",G29="Missing"),"",SUM(G15:G31))</f>
        <v/>
      </c>
      <c r="H32" s="28"/>
      <c r="I32" s="28"/>
      <c r="J32" s="27" t="str">
        <f>IF(AND(J15="Missing",J16="Missing",J17="Missing",J18="Missing",J19="Missing",J20="Missing",J21="Missing",J22="Missing",J23="Missing",J24="Missing",J25="Missing",J26="Missing",J27="Missing",J28="Missing",J29="Missing",J30="Missing",J31="Missing"),"",SUM(J15:J31))</f>
        <v/>
      </c>
      <c r="K32" s="27" t="str">
        <f>IF(AND(K15="Missing",K16="Missing",K17="Missing",K26="Missing",K30="Missing"),"",SUM(K15:K31))</f>
        <v/>
      </c>
      <c r="L32" s="27" t="str">
        <f>IF(AND(L18="Missing",L20="Missing",L23="Missing",L24="Missing",L27="Missing",L28="Missing"),"",SUM(L15:L31))</f>
        <v/>
      </c>
      <c r="M32" s="27" t="str">
        <f>IF(AND(M19="Missing",M22="Missing",M25="Missing",M29="Missing"),"",SUM(M15:M31))</f>
        <v/>
      </c>
      <c r="O32" s="39" t="str">
        <f>IF(O$31="","",D32-J32)</f>
        <v/>
      </c>
    </row>
    <row r="33" spans="1:15" ht="15.75" x14ac:dyDescent="0.25">
      <c r="A33" s="18"/>
      <c r="B33" s="33" t="str">
        <f>IF(OR(COUNTIF(D15:D31,"OMIT (Info)")+COUNTIF(D15:D31,"OMIT (NA)")&gt;0,COUNTIF(J15:J31,"OMIT (Info)")+COUNTIF(J15:J31,"OMIT (NA)")&gt;0),"Pro-rated Dynamic Only","")</f>
        <v/>
      </c>
      <c r="D33" s="34" t="str">
        <f>IF(B33&lt;&gt;"", (D32*17) / (17 - ((COUNTIF(D15:D31,"OMIT (Info)")+COUNTIF(D15:D31,"OMIT (NA)")))),"")</f>
        <v/>
      </c>
      <c r="J33" s="34" t="str">
        <f>IF(B33&lt;&gt;"", (J32*17) / (17 - ((COUNTIF(J15:J31,"OMIT (Info)")+COUNTIF(J15:J31,"OMIT (NA)")))),"")</f>
        <v/>
      </c>
      <c r="O33" s="43" t="str">
        <f>IF(OR(B33="",O$31=""),"",D33-J33)</f>
        <v/>
      </c>
    </row>
    <row r="34" spans="1:15" ht="15.75" x14ac:dyDescent="0.25">
      <c r="A34" s="18"/>
      <c r="B34" s="17" t="str">
        <f>IF(AND(D34="",J34=""),"","TOTAL STATIC &amp; DYNAMIC")</f>
        <v/>
      </c>
      <c r="D34" s="19" t="str">
        <f>IF(OR(D12="",D32=""),"",D32+D12)</f>
        <v/>
      </c>
      <c r="J34" s="19" t="str">
        <f>IF(OR(J32="",J12=""),"",J32+J12)</f>
        <v/>
      </c>
      <c r="O34" s="39" t="str">
        <f>IF(OR(B34="",O$31="",D34="",J34=""),"",D34-J34)</f>
        <v/>
      </c>
    </row>
    <row r="35" spans="1:15" ht="15.75" x14ac:dyDescent="0.25">
      <c r="A35" s="18"/>
      <c r="B35" s="33" t="str">
        <f>IF(AND(B34&lt;&gt;"",OR((COUNTIF(D15:D31,"OMIT (Info)")+COUNTIF(D15:D31,"OMIT (NA)")+COUNTIF(D5:D11,"OMIT"))&gt;0,
(COUNTIF(J15:J31,"OMIT (Info)")+COUNTIF(J15:J31,"OMIT (NA)")+COUNTIF(J5:J11,"OMIT"))&gt;0)), "Pro-rated Static + Dynamic","")</f>
        <v/>
      </c>
      <c r="D35" s="34" t="str">
        <f>IF(B35&lt;&gt;"", (D34*24) / (24 - ((COUNTIF(D15:D31,"OMIT (Info)")+COUNTIF(D15:D31,"OMIT (NA)")+COUNTIF(D5:D11,"OMIT")))),"")</f>
        <v/>
      </c>
      <c r="J35" s="34" t="str">
        <f>IF( OR(B35="",J12="",J32=""),"", (J34*24)/ (24- ((COUNTIF(J15:J31,"OMIT (Info)")+COUNTIF(J15:J31,"OMIT (NA)")+COUNTIF(J5:J11,"OMIT")))))</f>
        <v/>
      </c>
      <c r="O35" s="43" t="str">
        <f>IF(OR(B35="",O$31="",D35="",J35=""),"",D35-J35)</f>
        <v/>
      </c>
    </row>
  </sheetData>
  <sheetProtection password="E82C" sheet="1" objects="1" scenarios="1"/>
  <mergeCells count="6">
    <mergeCell ref="D3:M3"/>
    <mergeCell ref="D13:M13"/>
    <mergeCell ref="D2:H2"/>
    <mergeCell ref="I2:M2"/>
    <mergeCell ref="O12:Q12"/>
    <mergeCell ref="O13:Q29"/>
  </mergeCells>
  <conditionalFormatting sqref="B33 D33 J33">
    <cfRule type="expression" dxfId="21" priority="37">
      <formula>$B$33&lt;&gt;""</formula>
    </cfRule>
  </conditionalFormatting>
  <conditionalFormatting sqref="B34">
    <cfRule type="expression" dxfId="20" priority="36">
      <formula>B34&lt;&gt;""</formula>
    </cfRule>
  </conditionalFormatting>
  <conditionalFormatting sqref="D34">
    <cfRule type="expression" dxfId="19" priority="34">
      <formula>$D$34&lt;&gt;""</formula>
    </cfRule>
  </conditionalFormatting>
  <conditionalFormatting sqref="J34">
    <cfRule type="expression" dxfId="18" priority="33">
      <formula>$J$34&lt;&gt;""</formula>
    </cfRule>
  </conditionalFormatting>
  <conditionalFormatting sqref="D35">
    <cfRule type="expression" dxfId="17" priority="30">
      <formula>$B$35&lt;&gt;""</formula>
    </cfRule>
  </conditionalFormatting>
  <conditionalFormatting sqref="J35">
    <cfRule type="expression" dxfId="16" priority="28">
      <formula>$J$35&lt;&gt;""</formula>
    </cfRule>
  </conditionalFormatting>
  <conditionalFormatting sqref="B35">
    <cfRule type="expression" dxfId="15" priority="26">
      <formula>$B$35&lt;&gt;""</formula>
    </cfRule>
  </conditionalFormatting>
  <conditionalFormatting sqref="A34">
    <cfRule type="expression" dxfId="14" priority="25">
      <formula>$B$34&lt;&gt;""</formula>
    </cfRule>
  </conditionalFormatting>
  <conditionalFormatting sqref="A35">
    <cfRule type="expression" dxfId="13" priority="23">
      <formula>$B$35&lt;&gt;""</formula>
    </cfRule>
    <cfRule type="expression" priority="24">
      <formula>$B$35&lt;&gt;""</formula>
    </cfRule>
  </conditionalFormatting>
  <conditionalFormatting sqref="A33">
    <cfRule type="expression" dxfId="12" priority="22">
      <formula>$B$33&lt;&gt;""</formula>
    </cfRule>
  </conditionalFormatting>
  <conditionalFormatting sqref="K15:M31">
    <cfRule type="containsText" dxfId="11" priority="6" operator="containsText" text="Err">
      <formula>NOT(ISERROR(SEARCH("Err",K15)))</formula>
    </cfRule>
  </conditionalFormatting>
  <conditionalFormatting sqref="D15:G31">
    <cfRule type="containsText" dxfId="10" priority="4" operator="containsText" text="Missing">
      <formula>NOT(ISERROR(SEARCH("Missing",D15)))</formula>
    </cfRule>
    <cfRule type="containsText" dxfId="9" priority="15" operator="containsText" text="Err">
      <formula>NOT(ISERROR(SEARCH("Err",D15)))</formula>
    </cfRule>
  </conditionalFormatting>
  <conditionalFormatting sqref="O31">
    <cfRule type="expression" dxfId="8" priority="14">
      <formula>$O$31=""</formula>
    </cfRule>
  </conditionalFormatting>
  <conditionalFormatting sqref="O32">
    <cfRule type="expression" dxfId="7" priority="12">
      <formula>$O$32=""</formula>
    </cfRule>
  </conditionalFormatting>
  <conditionalFormatting sqref="O33">
    <cfRule type="expression" dxfId="6" priority="11">
      <formula>$O$33=""</formula>
    </cfRule>
  </conditionalFormatting>
  <conditionalFormatting sqref="O35">
    <cfRule type="expression" dxfId="5" priority="10">
      <formula>$O$35=""</formula>
    </cfRule>
  </conditionalFormatting>
  <conditionalFormatting sqref="J15:M31">
    <cfRule type="containsText" dxfId="4" priority="5" operator="containsText" text="Err">
      <formula>NOT(ISERROR(SEARCH("Err",J15)))</formula>
    </cfRule>
    <cfRule type="containsText" dxfId="3" priority="16" operator="containsText" text="Missing">
      <formula>NOT(ISERROR(SEARCH("Missing",J15)))</formula>
    </cfRule>
  </conditionalFormatting>
  <conditionalFormatting sqref="O34">
    <cfRule type="expression" dxfId="2" priority="3">
      <formula>$O$34=""</formula>
    </cfRule>
  </conditionalFormatting>
  <hyperlinks>
    <hyperlink ref="A1" location="'Navigation page'!B1" display="VRS-SO Scoring Page"/>
    <hyperlink ref="A15" location="'D1'!B2" display="D1"/>
    <hyperlink ref="A16" location="'D2'!B2" display="D2"/>
    <hyperlink ref="A17" location="'D3'!B2" display="D3"/>
    <hyperlink ref="A18" location="'D4'!B2" display="D4"/>
    <hyperlink ref="A19" location="'D5'!B2" display="D5"/>
    <hyperlink ref="A20" location="'D6'!B2" display="D6"/>
    <hyperlink ref="A21" location="'D7'!B2" display="D7"/>
    <hyperlink ref="A22" location="'D8'!B2" display="D8"/>
    <hyperlink ref="A23" location="'D9'!B2" display="D9"/>
    <hyperlink ref="A24" location="'D10'!B2" display="D10"/>
    <hyperlink ref="A25" location="'D11'!B2" display="D11"/>
    <hyperlink ref="A26" location="'D12'!B2" display="D12"/>
    <hyperlink ref="A27" location="'D13'!B2" display="D13"/>
    <hyperlink ref="A28" location="'D14'!B2" display="D14"/>
    <hyperlink ref="A29" location="'D15'!B2" display="D15"/>
    <hyperlink ref="A30" location="'D16'!B2" display="D16"/>
    <hyperlink ref="A31" location="'D17'!B2" display="D17"/>
  </hyperlink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62" r:id="rId4" name="Check Box 2">
              <controlPr defaultSize="0" autoFill="0" autoLine="0" autoPict="0">
                <anchor moveWithCells="1">
                  <from>
                    <xdr:col>1</xdr:col>
                    <xdr:colOff>381000</xdr:colOff>
                    <xdr:row>1</xdr:row>
                    <xdr:rowOff>95250</xdr:rowOff>
                  </from>
                  <to>
                    <xdr:col>1</xdr:col>
                    <xdr:colOff>1943100</xdr:colOff>
                    <xdr:row>2</xdr:row>
                    <xdr:rowOff>114300</xdr:rowOff>
                  </to>
                </anchor>
              </controlPr>
            </control>
          </mc:Choice>
        </mc:AlternateContent>
        <mc:AlternateContent xmlns:mc="http://schemas.openxmlformats.org/markup-compatibility/2006">
          <mc:Choice Requires="x14">
            <control shapeId="40969" r:id="rId5" name="Check Box 9">
              <controlPr defaultSize="0" autoFill="0" autoLine="0" autoPict="0">
                <anchor moveWithCells="1">
                  <from>
                    <xdr:col>14</xdr:col>
                    <xdr:colOff>361950</xdr:colOff>
                    <xdr:row>2</xdr:row>
                    <xdr:rowOff>171450</xdr:rowOff>
                  </from>
                  <to>
                    <xdr:col>14</xdr:col>
                    <xdr:colOff>1238250</xdr:colOff>
                    <xdr:row>4</xdr:row>
                    <xdr:rowOff>0</xdr:rowOff>
                  </to>
                </anchor>
              </controlPr>
            </control>
          </mc:Choice>
        </mc:AlternateContent>
        <mc:AlternateContent xmlns:mc="http://schemas.openxmlformats.org/markup-compatibility/2006">
          <mc:Choice Requires="x14">
            <control shapeId="40970" r:id="rId6" name="Button 10">
              <controlPr defaultSize="0" print="0" autoFill="0" autoPict="0" macro="[0]!Print_Report">
                <anchor moveWithCells="1" sizeWithCells="1">
                  <from>
                    <xdr:col>14</xdr:col>
                    <xdr:colOff>9525</xdr:colOff>
                    <xdr:row>7</xdr:row>
                    <xdr:rowOff>0</xdr:rowOff>
                  </from>
                  <to>
                    <xdr:col>15</xdr:col>
                    <xdr:colOff>0</xdr:colOff>
                    <xdr:row>9</xdr:row>
                    <xdr:rowOff>133350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7D56F1CE-404E-4D51-9D62-383FC9EFF133}">
            <xm:f>'Data Values'!$K$14=TRUE</xm:f>
            <x14:dxf>
              <border>
                <left style="thin">
                  <color auto="1"/>
                </left>
                <right style="thin">
                  <color auto="1"/>
                </right>
                <top style="thin">
                  <color auto="1"/>
                </top>
                <bottom style="thin">
                  <color auto="1"/>
                </bottom>
                <vertical/>
                <horizontal/>
              </border>
            </x14:dxf>
          </x14:cfRule>
          <x14:cfRule type="expression" priority="1" id="{359B8834-3F36-44BE-AC5A-A18926250555}">
            <xm:f>'Data Values'!$K$14=FALSE</xm:f>
            <x14:dxf>
              <font>
                <color theme="0"/>
              </font>
              <border>
                <left/>
                <right/>
                <top/>
                <bottom/>
                <vertical/>
                <horizontal/>
              </border>
            </x14:dxf>
          </x14:cfRule>
          <xm:sqref>O13:Q29</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CH48"/>
  <sheetViews>
    <sheetView showGridLines="0" showWhiteSpace="0" view="pageLayout" zoomScaleNormal="90" zoomScaleSheetLayoutView="90" workbookViewId="0">
      <selection activeCell="W25" sqref="W25:Z25"/>
    </sheetView>
  </sheetViews>
  <sheetFormatPr defaultRowHeight="14.25" x14ac:dyDescent="0.2"/>
  <cols>
    <col min="1" max="1" width="23.5546875" style="82" customWidth="1"/>
    <col min="2" max="2" width="10.6640625" style="82" customWidth="1"/>
    <col min="3" max="3" width="8.88671875" style="82"/>
    <col min="4" max="4" width="4.21875" style="82" customWidth="1"/>
    <col min="5" max="7" width="8.88671875" style="82"/>
    <col min="8" max="8" width="31.33203125" style="83" customWidth="1"/>
    <col min="9" max="9" width="5.77734375" style="82" customWidth="1"/>
    <col min="10" max="12" width="4.77734375" style="82" customWidth="1"/>
    <col min="13" max="13" width="15" style="82" customWidth="1"/>
    <col min="14" max="14" width="6.77734375" style="82" customWidth="1"/>
    <col min="15" max="16384" width="8.88671875" style="82"/>
  </cols>
  <sheetData>
    <row r="1" spans="1:86" ht="15" x14ac:dyDescent="0.25">
      <c r="A1" s="198" t="s">
        <v>163</v>
      </c>
      <c r="B1" s="198"/>
      <c r="C1" s="198"/>
      <c r="D1" s="198"/>
      <c r="E1" s="198"/>
      <c r="F1" s="198"/>
      <c r="G1" s="198"/>
      <c r="H1" s="198" t="s">
        <v>164</v>
      </c>
      <c r="I1" s="198"/>
      <c r="J1" s="198"/>
      <c r="K1" s="198"/>
      <c r="L1" s="198"/>
      <c r="M1" s="198"/>
      <c r="N1" s="198"/>
      <c r="Q1" s="177" t="s">
        <v>361</v>
      </c>
      <c r="R1" s="178"/>
      <c r="S1" s="178"/>
      <c r="T1" s="179"/>
      <c r="V1" s="123" t="s">
        <v>362</v>
      </c>
      <c r="Y1" s="177" t="s">
        <v>361</v>
      </c>
      <c r="Z1" s="178"/>
      <c r="AA1" s="178"/>
      <c r="AB1" s="179"/>
      <c r="AD1" s="123" t="s">
        <v>363</v>
      </c>
      <c r="AG1" s="177" t="s">
        <v>361</v>
      </c>
      <c r="AH1" s="178"/>
      <c r="AI1" s="178"/>
      <c r="AJ1" s="179"/>
      <c r="AL1" s="123" t="s">
        <v>364</v>
      </c>
      <c r="AO1" s="177" t="s">
        <v>361</v>
      </c>
      <c r="AP1" s="178"/>
      <c r="AQ1" s="178"/>
      <c r="AR1" s="179"/>
      <c r="AT1" s="123" t="s">
        <v>365</v>
      </c>
      <c r="AW1" s="177" t="s">
        <v>361</v>
      </c>
      <c r="AX1" s="178"/>
      <c r="AY1" s="178"/>
      <c r="AZ1" s="179"/>
      <c r="BB1" s="123" t="s">
        <v>366</v>
      </c>
      <c r="BE1" s="177" t="s">
        <v>361</v>
      </c>
      <c r="BF1" s="178"/>
      <c r="BG1" s="178"/>
      <c r="BH1" s="179"/>
      <c r="BJ1" s="123" t="s">
        <v>367</v>
      </c>
      <c r="BM1" s="177" t="s">
        <v>361</v>
      </c>
      <c r="BN1" s="178"/>
      <c r="BO1" s="178"/>
      <c r="BP1" s="179"/>
      <c r="BR1" s="123" t="s">
        <v>368</v>
      </c>
      <c r="BU1" s="177" t="s">
        <v>361</v>
      </c>
      <c r="BV1" s="178"/>
      <c r="BW1" s="178"/>
      <c r="BX1" s="179"/>
      <c r="BZ1" s="123" t="s">
        <v>369</v>
      </c>
      <c r="CC1" s="177" t="s">
        <v>361</v>
      </c>
      <c r="CD1" s="178"/>
      <c r="CE1" s="178"/>
      <c r="CF1" s="179"/>
      <c r="CH1" s="123" t="s">
        <v>370</v>
      </c>
    </row>
    <row r="2" spans="1:86" ht="14.25" customHeight="1" x14ac:dyDescent="0.25">
      <c r="L2" s="195" t="s">
        <v>162</v>
      </c>
      <c r="M2" s="196"/>
      <c r="N2" s="101" t="str">
        <f>IF('Data Values'!K14='Data Values'!K2,"YES","NO")</f>
        <v>NO</v>
      </c>
      <c r="O2" s="124"/>
      <c r="P2" s="180" t="s">
        <v>457</v>
      </c>
      <c r="Q2" s="181"/>
      <c r="R2" s="181"/>
      <c r="S2" s="181"/>
      <c r="T2" s="181"/>
      <c r="U2" s="181"/>
      <c r="V2" s="125"/>
      <c r="W2" s="124"/>
      <c r="X2" s="180" t="s">
        <v>459</v>
      </c>
      <c r="Y2" s="181"/>
      <c r="Z2" s="181"/>
      <c r="AA2" s="181"/>
      <c r="AB2" s="181"/>
      <c r="AC2" s="181"/>
      <c r="AD2" s="125"/>
      <c r="AE2" s="124"/>
      <c r="AF2" s="180" t="s">
        <v>461</v>
      </c>
      <c r="AG2" s="181"/>
      <c r="AH2" s="181"/>
      <c r="AI2" s="181"/>
      <c r="AJ2" s="181"/>
      <c r="AK2" s="181"/>
      <c r="AL2" s="125"/>
      <c r="AM2" s="124"/>
      <c r="AN2" s="180" t="s">
        <v>463</v>
      </c>
      <c r="AO2" s="181"/>
      <c r="AP2" s="181"/>
      <c r="AQ2" s="181"/>
      <c r="AR2" s="181"/>
      <c r="AS2" s="181"/>
      <c r="AT2" s="125"/>
      <c r="AU2" s="124"/>
      <c r="AV2" s="180" t="s">
        <v>465</v>
      </c>
      <c r="AW2" s="181"/>
      <c r="AX2" s="181"/>
      <c r="AY2" s="181"/>
      <c r="AZ2" s="181"/>
      <c r="BA2" s="181"/>
      <c r="BB2" s="125"/>
      <c r="BC2" s="124"/>
      <c r="BD2" s="180" t="s">
        <v>467</v>
      </c>
      <c r="BE2" s="181"/>
      <c r="BF2" s="181"/>
      <c r="BG2" s="181"/>
      <c r="BH2" s="181"/>
      <c r="BI2" s="181"/>
      <c r="BJ2" s="125"/>
      <c r="BK2" s="124"/>
      <c r="BL2" s="180" t="s">
        <v>469</v>
      </c>
      <c r="BM2" s="181"/>
      <c r="BN2" s="181"/>
      <c r="BO2" s="181"/>
      <c r="BP2" s="181"/>
      <c r="BQ2" s="181"/>
      <c r="BR2" s="125"/>
      <c r="BS2" s="124"/>
      <c r="BT2" s="180" t="s">
        <v>471</v>
      </c>
      <c r="BU2" s="181"/>
      <c r="BV2" s="181"/>
      <c r="BW2" s="181"/>
      <c r="BX2" s="181"/>
      <c r="BY2" s="181"/>
      <c r="BZ2" s="125"/>
      <c r="CA2" s="124"/>
      <c r="CB2" s="180" t="s">
        <v>473</v>
      </c>
      <c r="CC2" s="181"/>
      <c r="CD2" s="181"/>
      <c r="CE2" s="181"/>
      <c r="CF2" s="181"/>
      <c r="CG2" s="181"/>
      <c r="CH2" s="125"/>
    </row>
    <row r="3" spans="1:86" ht="15" x14ac:dyDescent="0.25">
      <c r="A3" s="84" t="s">
        <v>145</v>
      </c>
      <c r="B3" s="220">
        <f ca="1">TODAY()</f>
        <v>43825</v>
      </c>
      <c r="C3" s="220"/>
      <c r="D3" s="85"/>
      <c r="E3" s="85"/>
      <c r="F3" s="85"/>
      <c r="G3" s="86"/>
      <c r="H3" s="193" t="s">
        <v>158</v>
      </c>
      <c r="I3" s="180"/>
      <c r="J3" s="180"/>
      <c r="K3" s="180"/>
      <c r="L3" s="180"/>
      <c r="M3" s="180"/>
      <c r="N3" s="194"/>
      <c r="O3" s="182" t="str">
        <f>CONCATENATE("Pre-Treatment - score = ",$I$5,IF($M$5="Pre-Contemplative"," (PC)",IF($M$5="Contemplative"," (C)",IF($M$5="Preparation"," (P)",IF($M$5="Action"," (A)",IF($M$5="Maintenance"," (M)"," (-)"))))))</f>
        <v>Pre-Treatment - score = -- (-)</v>
      </c>
      <c r="P3" s="183"/>
      <c r="Q3" s="183"/>
      <c r="R3" s="183"/>
      <c r="S3" s="182" t="str">
        <f>CONCATENATE("Post-Treatment - score = ",$I$28,IF($M$28="Pre-Contemplative"," (PC)",IF($M$28="Contemplative"," (C)",IF($M$28="Preparation"," (P)",IF($M$28="Action"," (A)",IF($M$28="Maintenance"," (M)"," (-)"))))))</f>
        <v>Post-Treatment - score = -- (-)</v>
      </c>
      <c r="T3" s="183"/>
      <c r="U3" s="183"/>
      <c r="V3" s="183"/>
      <c r="W3" s="182" t="str">
        <f>CONCATENATE("Pre-Treatment - score = ",$I$7,IF($M$7="Pre-Contemplative"," (PC)",IF($M$7="Contemplative"," (C)",IF($M$7="Preparation"," (P)",IF($M$7="Action"," (A)",IF($M$7="Maintenance"," (M)"," (-)"))))))</f>
        <v>Pre-Treatment - score = -- (-)</v>
      </c>
      <c r="X3" s="183"/>
      <c r="Y3" s="183"/>
      <c r="Z3" s="183"/>
      <c r="AA3" s="182" t="str">
        <f>CONCATENATE("Post-Treatment - score = ",$I$30,IF($M$30="Pre-Contemplative"," (PC)",IF($M$30="Contemplative"," (C)",IF($M$30="Preparation"," (P)",IF($M$30="Action"," (A)",IF($M$30="Maintenance"," (M)"," (-)"))))))</f>
        <v>Post-Treatment - score = -- (-)</v>
      </c>
      <c r="AB3" s="183"/>
      <c r="AC3" s="183"/>
      <c r="AD3" s="183"/>
      <c r="AE3" s="182" t="str">
        <f>CONCATENATE("Pre-Treatment - score = ",$I$9,IF($M$9="Pre-Contemplative"," (PC)",IF($M$9="Contemplative"," (C)",IF($M$9="Preparation"," (P)",IF($M$9="Action"," (A)",IF($M$9="Maintenance"," (M)"," (-)"))))))</f>
        <v>Pre-Treatment - score = -- (-)</v>
      </c>
      <c r="AF3" s="183"/>
      <c r="AG3" s="183"/>
      <c r="AH3" s="183"/>
      <c r="AI3" s="182" t="str">
        <f>CONCATENATE("Post-Treatment - score = ",$I$32,IF($M$32="Pre-Contemplative"," (PC)",IF($M$32="Contemplative"," (C)",IF($M$32="Preparation"," (P)",IF($M$32="Action"," (A)",IF($M$32="Maintenance"," (M)"," (-)"))))))</f>
        <v>Post-Treatment - score = -- (-)</v>
      </c>
      <c r="AJ3" s="183"/>
      <c r="AK3" s="183"/>
      <c r="AL3" s="183"/>
      <c r="AM3" s="182" t="str">
        <f>CONCATENATE("Pre-Treatment - score = ",$I$11,IF($M$11="Pre-Contemplative"," (PC)",IF($M$11="Contemplative"," (C)",IF($M$11="Preparation"," (P)",IF($M$11="Action"," (A)",IF($M$11="Maintenance"," (M)"," (-)"))))))</f>
        <v>Pre-Treatment - score = -- (-)</v>
      </c>
      <c r="AN3" s="183"/>
      <c r="AO3" s="183"/>
      <c r="AP3" s="183"/>
      <c r="AQ3" s="182" t="str">
        <f>CONCATENATE("Post-Treatment - score = ",$I$34,IF($M$34="Pre-Contemplative"," (PC)",IF($M$34="Contemplative"," (C)",IF($M$34="Preparation"," (P)",IF($M$34="Action"," (A)",IF($M$34="Maintenance"," (M)"," (-)"))))))</f>
        <v>Post-Treatment - score = -- (-)</v>
      </c>
      <c r="AR3" s="183"/>
      <c r="AS3" s="183"/>
      <c r="AT3" s="183"/>
      <c r="AU3" s="182" t="str">
        <f>CONCATENATE("Pre-Treatment - score = ",$I$13,IF($M$13="Pre-Contemplative"," (PC)",IF($M$13="Contemplative"," (C)",IF($M$13="Preparation"," (P)",IF($M$13="Action"," (A)",IF($M$13="Maintenance"," (M)"," (-)"))))))</f>
        <v>Pre-Treatment - score = -- (-)</v>
      </c>
      <c r="AV3" s="183"/>
      <c r="AW3" s="183"/>
      <c r="AX3" s="183"/>
      <c r="AY3" s="182" t="str">
        <f>CONCATENATE("Post-Treatment - score = ",$I$36,IF($M$36="Pre-Contemplative"," (PC)",IF($M$36="Contemplative"," (C)",IF($M$36="Preparation"," (P)",IF($M$36="Action"," (A)",IF($M$36="Maintenance"," (M)"," (-)"))))))</f>
        <v>Post-Treatment - score = -- (-)</v>
      </c>
      <c r="AZ3" s="183"/>
      <c r="BA3" s="183"/>
      <c r="BB3" s="183"/>
      <c r="BC3" s="182" t="str">
        <f>CONCATENATE("Pre-Treatment - score = ",$I$15,IF($M$15="Pre-Contemplative"," (PC)",IF($M$15="Contemplative"," (C)",IF($M$15="Preparation"," (P)",IF($M$15="Action"," (A)",IF($M$15="Maintenance"," (M)"," (-)"))))))</f>
        <v>Pre-Treatment - score = -- (-)</v>
      </c>
      <c r="BD3" s="183"/>
      <c r="BE3" s="183"/>
      <c r="BF3" s="183"/>
      <c r="BG3" s="182" t="str">
        <f>CONCATENATE("Post-Treatment - score = ",$I$38,IF($M$38="Pre-Contemplative"," (PC)",IF($M$38="Contemplative"," (C)",IF($M$38="Preparation"," (P)",IF($M$38="Action"," (A)",IF($M$38="Maintenance"," (M)"," (-)"))))))</f>
        <v>Post-Treatment - score = -- (-)</v>
      </c>
      <c r="BH3" s="183"/>
      <c r="BI3" s="183"/>
      <c r="BJ3" s="183"/>
      <c r="BK3" s="182" t="str">
        <f>CONCATENATE("Pre-Treatment - score = ",$I$17,IF($M$17="Pre-Contemplative"," (PC)",IF($M$17="Contemplative"," (C)",IF($M$17="Preparation"," (P)",IF($M$17="Action"," (A)",IF($M$17="Maintenance"," (M)"," (-)"))))))</f>
        <v>Pre-Treatment - score = -- (-)</v>
      </c>
      <c r="BL3" s="183"/>
      <c r="BM3" s="183"/>
      <c r="BN3" s="183"/>
      <c r="BO3" s="182" t="str">
        <f>CONCATENATE("Post-Treatment - score = ",$I$40,IF($M$40="Pre-Contemplative"," (PC)",IF($M$40="Contemplative"," (C)",IF($M$40="Preparation"," (P)",IF($M$40="Action"," (A)",IF($M$40="Maintenance"," (M)"," (-)"))))))</f>
        <v>Post-Treatment - score = -- (-)</v>
      </c>
      <c r="BP3" s="183"/>
      <c r="BQ3" s="183"/>
      <c r="BR3" s="183"/>
      <c r="BS3" s="182" t="str">
        <f>CONCATENATE("Pre-Treatment - score = ",$I$19,IF($M$19="Pre-Contemplative"," (PC)",IF($M$19="Contemplative"," (C)",IF($M$19="Preparation"," (P)",IF($M$19="Action"," (A)",IF($M$19="Maintenance"," (M)"," (-)"))))))</f>
        <v>Pre-Treatment - score = -- (-)</v>
      </c>
      <c r="BT3" s="183"/>
      <c r="BU3" s="183"/>
      <c r="BV3" s="183"/>
      <c r="BW3" s="182" t="str">
        <f>CONCATENATE("Post-Treatment - score = ",$I$42,IF($M$42="Pre-Contemplative"," (PC)",IF($M$42="Contemplative"," (C)",IF($M$42="Preparation"," (P)",IF($M$42="Action"," (A)",IF($M$42="Maintenance"," (M)"," (-)"))))))</f>
        <v>Post-Treatment - score = -- (-)</v>
      </c>
      <c r="BX3" s="183"/>
      <c r="BY3" s="183"/>
      <c r="BZ3" s="183"/>
      <c r="CA3" s="182" t="str">
        <f>CONCATENATE("Pre-Treatment - score = ",$I$21,IF($M$21="Pre-Contemplative"," (PC)",IF($M$21="Contemplative"," (C)",IF($M$21="Preparation"," (P)",IF($M$21="Action"," (A)",IF($M$21="Maintenance"," (M)"," (-)"))))))</f>
        <v>Pre-Treatment - score = -- (-)</v>
      </c>
      <c r="CB3" s="183"/>
      <c r="CC3" s="183"/>
      <c r="CD3" s="183"/>
      <c r="CE3" s="182" t="str">
        <f>CONCATENATE("Post-Treatment - score = ",$I$44,IF($M$44="Pre-Contemplative"," (PC)",IF($M$44="Contemplative"," (C)",IF($M$44="Preparation"," (P)",IF($M$44="Action"," (A)",IF($M$44="Maintenance"," (M)"," (-)"))))))</f>
        <v>Post-Treatment - score = -- (-)</v>
      </c>
      <c r="CF3" s="183"/>
      <c r="CG3" s="183"/>
      <c r="CH3" s="183"/>
    </row>
    <row r="4" spans="1:86" ht="15" customHeight="1" x14ac:dyDescent="0.25">
      <c r="A4" s="87" t="s">
        <v>146</v>
      </c>
      <c r="B4" s="203">
        <f>'Static 2'!B3</f>
        <v>0</v>
      </c>
      <c r="C4" s="203"/>
      <c r="D4" s="88"/>
      <c r="E4" s="201" t="s">
        <v>147</v>
      </c>
      <c r="F4" s="201"/>
      <c r="G4" s="89">
        <f>'Static 2'!B5</f>
        <v>0</v>
      </c>
      <c r="H4" s="103"/>
      <c r="I4" s="104" t="s">
        <v>159</v>
      </c>
      <c r="J4" s="104" t="s">
        <v>128</v>
      </c>
      <c r="K4" s="104" t="s">
        <v>129</v>
      </c>
      <c r="L4" s="104" t="s">
        <v>130</v>
      </c>
      <c r="M4" s="104" t="s">
        <v>51</v>
      </c>
      <c r="N4" s="142"/>
      <c r="O4" s="184">
        <f>'D1'!A7</f>
        <v>0</v>
      </c>
      <c r="P4" s="185"/>
      <c r="Q4" s="185"/>
      <c r="R4" s="186"/>
      <c r="S4" s="184">
        <f>'D1'!C7</f>
        <v>0</v>
      </c>
      <c r="T4" s="185"/>
      <c r="U4" s="185"/>
      <c r="V4" s="186"/>
      <c r="W4" s="184">
        <f>'D3'!A7</f>
        <v>0</v>
      </c>
      <c r="X4" s="185"/>
      <c r="Y4" s="185"/>
      <c r="Z4" s="186"/>
      <c r="AA4" s="184">
        <f>'D3'!C7</f>
        <v>0</v>
      </c>
      <c r="AB4" s="185"/>
      <c r="AC4" s="185"/>
      <c r="AD4" s="186"/>
      <c r="AE4" s="184">
        <f>'D5'!A7</f>
        <v>0</v>
      </c>
      <c r="AF4" s="185"/>
      <c r="AG4" s="185"/>
      <c r="AH4" s="186"/>
      <c r="AI4" s="184">
        <f>'D5'!C7</f>
        <v>0</v>
      </c>
      <c r="AJ4" s="185"/>
      <c r="AK4" s="185"/>
      <c r="AL4" s="186"/>
      <c r="AM4" s="184">
        <f>'D7'!A7</f>
        <v>0</v>
      </c>
      <c r="AN4" s="185"/>
      <c r="AO4" s="185"/>
      <c r="AP4" s="186"/>
      <c r="AQ4" s="184">
        <f>'D7'!C7</f>
        <v>0</v>
      </c>
      <c r="AR4" s="185"/>
      <c r="AS4" s="185"/>
      <c r="AT4" s="186"/>
      <c r="AU4" s="184">
        <f>'D9'!A7</f>
        <v>0</v>
      </c>
      <c r="AV4" s="185"/>
      <c r="AW4" s="185"/>
      <c r="AX4" s="186"/>
      <c r="AY4" s="184">
        <f>'D9'!C7</f>
        <v>0</v>
      </c>
      <c r="AZ4" s="185"/>
      <c r="BA4" s="185"/>
      <c r="BB4" s="186"/>
      <c r="BC4" s="184">
        <f>'D11'!A7</f>
        <v>0</v>
      </c>
      <c r="BD4" s="185"/>
      <c r="BE4" s="185"/>
      <c r="BF4" s="186"/>
      <c r="BG4" s="184">
        <f>'D11'!C7</f>
        <v>0</v>
      </c>
      <c r="BH4" s="185"/>
      <c r="BI4" s="185"/>
      <c r="BJ4" s="186"/>
      <c r="BK4" s="184">
        <f>'D13'!A7</f>
        <v>0</v>
      </c>
      <c r="BL4" s="185"/>
      <c r="BM4" s="185"/>
      <c r="BN4" s="186"/>
      <c r="BO4" s="184">
        <f>'D13'!C7</f>
        <v>0</v>
      </c>
      <c r="BP4" s="185"/>
      <c r="BQ4" s="185"/>
      <c r="BR4" s="186"/>
      <c r="BS4" s="184">
        <f>'D15'!A7</f>
        <v>0</v>
      </c>
      <c r="BT4" s="185"/>
      <c r="BU4" s="185"/>
      <c r="BV4" s="186"/>
      <c r="BW4" s="184">
        <f>'D15'!C7</f>
        <v>0</v>
      </c>
      <c r="BX4" s="185"/>
      <c r="BY4" s="185"/>
      <c r="BZ4" s="186"/>
      <c r="CA4" s="184">
        <f>'D17'!A7</f>
        <v>0</v>
      </c>
      <c r="CB4" s="185"/>
      <c r="CC4" s="185"/>
      <c r="CD4" s="186"/>
      <c r="CE4" s="184">
        <f>'D17'!C7</f>
        <v>0</v>
      </c>
      <c r="CF4" s="185"/>
      <c r="CG4" s="185"/>
      <c r="CH4" s="186"/>
    </row>
    <row r="5" spans="1:86" ht="15" x14ac:dyDescent="0.25">
      <c r="A5" s="87" t="s">
        <v>148</v>
      </c>
      <c r="B5" s="203">
        <f>'Static 2'!B7</f>
        <v>0</v>
      </c>
      <c r="C5" s="203"/>
      <c r="D5" s="88"/>
      <c r="E5" s="201" t="s">
        <v>150</v>
      </c>
      <c r="F5" s="201"/>
      <c r="G5" s="90">
        <f>'Static 2'!B9</f>
        <v>0</v>
      </c>
      <c r="H5" s="83" t="s">
        <v>114</v>
      </c>
      <c r="I5" s="113" t="str">
        <f>IF(AND('Summary Report'!D15&gt;=0,'Summary Report'!D15&lt;=3),'Summary Report'!D15,"--")</f>
        <v>--</v>
      </c>
      <c r="J5" s="106" t="str">
        <f>I5</f>
        <v>--</v>
      </c>
      <c r="K5" s="107"/>
      <c r="L5" s="108"/>
      <c r="M5" s="113" t="str">
        <f>'Summary Report'!H15</f>
        <v/>
      </c>
      <c r="N5" s="83"/>
      <c r="O5" s="187"/>
      <c r="P5" s="188"/>
      <c r="Q5" s="188"/>
      <c r="R5" s="189"/>
      <c r="S5" s="187"/>
      <c r="T5" s="188"/>
      <c r="U5" s="188"/>
      <c r="V5" s="189"/>
      <c r="W5" s="187"/>
      <c r="X5" s="188"/>
      <c r="Y5" s="188"/>
      <c r="Z5" s="189"/>
      <c r="AA5" s="187"/>
      <c r="AB5" s="188"/>
      <c r="AC5" s="188"/>
      <c r="AD5" s="189"/>
      <c r="AE5" s="187"/>
      <c r="AF5" s="188"/>
      <c r="AG5" s="188"/>
      <c r="AH5" s="189"/>
      <c r="AI5" s="187"/>
      <c r="AJ5" s="188"/>
      <c r="AK5" s="188"/>
      <c r="AL5" s="189"/>
      <c r="AM5" s="187"/>
      <c r="AN5" s="188"/>
      <c r="AO5" s="188"/>
      <c r="AP5" s="189"/>
      <c r="AQ5" s="187"/>
      <c r="AR5" s="188"/>
      <c r="AS5" s="188"/>
      <c r="AT5" s="189"/>
      <c r="AU5" s="187"/>
      <c r="AV5" s="188"/>
      <c r="AW5" s="188"/>
      <c r="AX5" s="189"/>
      <c r="AY5" s="187"/>
      <c r="AZ5" s="188"/>
      <c r="BA5" s="188"/>
      <c r="BB5" s="189"/>
      <c r="BC5" s="187"/>
      <c r="BD5" s="188"/>
      <c r="BE5" s="188"/>
      <c r="BF5" s="189"/>
      <c r="BG5" s="187"/>
      <c r="BH5" s="188"/>
      <c r="BI5" s="188"/>
      <c r="BJ5" s="189"/>
      <c r="BK5" s="187"/>
      <c r="BL5" s="188"/>
      <c r="BM5" s="188"/>
      <c r="BN5" s="189"/>
      <c r="BO5" s="187"/>
      <c r="BP5" s="188"/>
      <c r="BQ5" s="188"/>
      <c r="BR5" s="189"/>
      <c r="BS5" s="187"/>
      <c r="BT5" s="188"/>
      <c r="BU5" s="188"/>
      <c r="BV5" s="189"/>
      <c r="BW5" s="187"/>
      <c r="BX5" s="188"/>
      <c r="BY5" s="188"/>
      <c r="BZ5" s="189"/>
      <c r="CA5" s="187"/>
      <c r="CB5" s="188"/>
      <c r="CC5" s="188"/>
      <c r="CD5" s="189"/>
      <c r="CE5" s="187"/>
      <c r="CF5" s="188"/>
      <c r="CG5" s="188"/>
      <c r="CH5" s="189"/>
    </row>
    <row r="6" spans="1:86" ht="15" x14ac:dyDescent="0.25">
      <c r="A6" s="91" t="s">
        <v>149</v>
      </c>
      <c r="B6" s="221">
        <f>'Static 2'!B11</f>
        <v>0</v>
      </c>
      <c r="C6" s="221"/>
      <c r="D6" s="92"/>
      <c r="E6" s="202" t="s">
        <v>151</v>
      </c>
      <c r="F6" s="202"/>
      <c r="G6" s="93">
        <f>'Static 2'!B13</f>
        <v>0</v>
      </c>
      <c r="H6" s="83" t="s">
        <v>153</v>
      </c>
      <c r="I6" s="114" t="str">
        <f>IF(AND('Summary Report'!D16&gt;=0,'Summary Report'!D16&lt;=3),'Summary Report'!D16,"--")</f>
        <v>--</v>
      </c>
      <c r="J6" s="109" t="str">
        <f t="shared" ref="J6:J7" si="0">I6</f>
        <v>--</v>
      </c>
      <c r="K6" s="110"/>
      <c r="L6" s="111"/>
      <c r="M6" s="114" t="str">
        <f>'Summary Report'!H16</f>
        <v/>
      </c>
      <c r="N6" s="83"/>
      <c r="O6" s="187"/>
      <c r="P6" s="188"/>
      <c r="Q6" s="188"/>
      <c r="R6" s="189"/>
      <c r="S6" s="187"/>
      <c r="T6" s="188"/>
      <c r="U6" s="188"/>
      <c r="V6" s="189"/>
      <c r="W6" s="187"/>
      <c r="X6" s="188"/>
      <c r="Y6" s="188"/>
      <c r="Z6" s="189"/>
      <c r="AA6" s="187"/>
      <c r="AB6" s="188"/>
      <c r="AC6" s="188"/>
      <c r="AD6" s="189"/>
      <c r="AE6" s="187"/>
      <c r="AF6" s="188"/>
      <c r="AG6" s="188"/>
      <c r="AH6" s="189"/>
      <c r="AI6" s="187"/>
      <c r="AJ6" s="188"/>
      <c r="AK6" s="188"/>
      <c r="AL6" s="189"/>
      <c r="AM6" s="187"/>
      <c r="AN6" s="188"/>
      <c r="AO6" s="188"/>
      <c r="AP6" s="189"/>
      <c r="AQ6" s="187"/>
      <c r="AR6" s="188"/>
      <c r="AS6" s="188"/>
      <c r="AT6" s="189"/>
      <c r="AU6" s="187"/>
      <c r="AV6" s="188"/>
      <c r="AW6" s="188"/>
      <c r="AX6" s="189"/>
      <c r="AY6" s="187"/>
      <c r="AZ6" s="188"/>
      <c r="BA6" s="188"/>
      <c r="BB6" s="189"/>
      <c r="BC6" s="187"/>
      <c r="BD6" s="188"/>
      <c r="BE6" s="188"/>
      <c r="BF6" s="189"/>
      <c r="BG6" s="187"/>
      <c r="BH6" s="188"/>
      <c r="BI6" s="188"/>
      <c r="BJ6" s="189"/>
      <c r="BK6" s="187"/>
      <c r="BL6" s="188"/>
      <c r="BM6" s="188"/>
      <c r="BN6" s="189"/>
      <c r="BO6" s="187"/>
      <c r="BP6" s="188"/>
      <c r="BQ6" s="188"/>
      <c r="BR6" s="189"/>
      <c r="BS6" s="187"/>
      <c r="BT6" s="188"/>
      <c r="BU6" s="188"/>
      <c r="BV6" s="189"/>
      <c r="BW6" s="187"/>
      <c r="BX6" s="188"/>
      <c r="BY6" s="188"/>
      <c r="BZ6" s="189"/>
      <c r="CA6" s="187"/>
      <c r="CB6" s="188"/>
      <c r="CC6" s="188"/>
      <c r="CD6" s="189"/>
      <c r="CE6" s="187"/>
      <c r="CF6" s="188"/>
      <c r="CG6" s="188"/>
      <c r="CH6" s="189"/>
    </row>
    <row r="7" spans="1:86" ht="15" x14ac:dyDescent="0.25">
      <c r="B7" s="197" t="s">
        <v>152</v>
      </c>
      <c r="C7" s="197"/>
      <c r="D7" s="197"/>
      <c r="E7" s="197"/>
      <c r="F7" s="197"/>
      <c r="G7" s="197"/>
      <c r="H7" s="83" t="s">
        <v>115</v>
      </c>
      <c r="I7" s="114" t="str">
        <f>IF(AND('Summary Report'!D17&gt;=0,'Summary Report'!D17&lt;=3),'Summary Report'!D17,"--")</f>
        <v>--</v>
      </c>
      <c r="J7" s="109" t="str">
        <f t="shared" si="0"/>
        <v>--</v>
      </c>
      <c r="K7" s="110"/>
      <c r="L7" s="111"/>
      <c r="M7" s="114" t="str">
        <f>'Summary Report'!H17</f>
        <v/>
      </c>
      <c r="N7" s="83"/>
      <c r="O7" s="187"/>
      <c r="P7" s="188"/>
      <c r="Q7" s="188"/>
      <c r="R7" s="189"/>
      <c r="S7" s="187"/>
      <c r="T7" s="188"/>
      <c r="U7" s="188"/>
      <c r="V7" s="189"/>
      <c r="W7" s="187"/>
      <c r="X7" s="188"/>
      <c r="Y7" s="188"/>
      <c r="Z7" s="189"/>
      <c r="AA7" s="187"/>
      <c r="AB7" s="188"/>
      <c r="AC7" s="188"/>
      <c r="AD7" s="189"/>
      <c r="AE7" s="187"/>
      <c r="AF7" s="188"/>
      <c r="AG7" s="188"/>
      <c r="AH7" s="189"/>
      <c r="AI7" s="187"/>
      <c r="AJ7" s="188"/>
      <c r="AK7" s="188"/>
      <c r="AL7" s="189"/>
      <c r="AM7" s="187"/>
      <c r="AN7" s="188"/>
      <c r="AO7" s="188"/>
      <c r="AP7" s="189"/>
      <c r="AQ7" s="187"/>
      <c r="AR7" s="188"/>
      <c r="AS7" s="188"/>
      <c r="AT7" s="189"/>
      <c r="AU7" s="187"/>
      <c r="AV7" s="188"/>
      <c r="AW7" s="188"/>
      <c r="AX7" s="189"/>
      <c r="AY7" s="187"/>
      <c r="AZ7" s="188"/>
      <c r="BA7" s="188"/>
      <c r="BB7" s="189"/>
      <c r="BC7" s="187"/>
      <c r="BD7" s="188"/>
      <c r="BE7" s="188"/>
      <c r="BF7" s="189"/>
      <c r="BG7" s="187"/>
      <c r="BH7" s="188"/>
      <c r="BI7" s="188"/>
      <c r="BJ7" s="189"/>
      <c r="BK7" s="187"/>
      <c r="BL7" s="188"/>
      <c r="BM7" s="188"/>
      <c r="BN7" s="189"/>
      <c r="BO7" s="187"/>
      <c r="BP7" s="188"/>
      <c r="BQ7" s="188"/>
      <c r="BR7" s="189"/>
      <c r="BS7" s="187"/>
      <c r="BT7" s="188"/>
      <c r="BU7" s="188"/>
      <c r="BV7" s="189"/>
      <c r="BW7" s="187"/>
      <c r="BX7" s="188"/>
      <c r="BY7" s="188"/>
      <c r="BZ7" s="189"/>
      <c r="CA7" s="187"/>
      <c r="CB7" s="188"/>
      <c r="CC7" s="188"/>
      <c r="CD7" s="189"/>
      <c r="CE7" s="187"/>
      <c r="CF7" s="188"/>
      <c r="CG7" s="188"/>
      <c r="CH7" s="189"/>
    </row>
    <row r="8" spans="1:86" ht="15" x14ac:dyDescent="0.25">
      <c r="B8" s="199" t="str">
        <f>IF('Data Values'!K12&lt;&gt;'Data Values'!K2,"VRS-SO Static items not used","")</f>
        <v>VRS-SO Static items not used</v>
      </c>
      <c r="C8" s="199"/>
      <c r="D8" s="199"/>
      <c r="E8" s="199"/>
      <c r="F8" s="199"/>
      <c r="G8" s="199"/>
      <c r="H8" s="83" t="s">
        <v>116</v>
      </c>
      <c r="I8" s="114" t="str">
        <f>IF(AND('Summary Report'!D18&gt;=0,'Summary Report'!D18&lt;=3),'Summary Report'!D18,"--")</f>
        <v>--</v>
      </c>
      <c r="J8" s="109"/>
      <c r="K8" s="110" t="str">
        <f>I8</f>
        <v>--</v>
      </c>
      <c r="L8" s="111"/>
      <c r="M8" s="114" t="str">
        <f>'Summary Report'!H18</f>
        <v/>
      </c>
      <c r="N8" s="83"/>
      <c r="O8" s="187"/>
      <c r="P8" s="188"/>
      <c r="Q8" s="188"/>
      <c r="R8" s="189"/>
      <c r="S8" s="187"/>
      <c r="T8" s="188"/>
      <c r="U8" s="188"/>
      <c r="V8" s="189"/>
      <c r="W8" s="187"/>
      <c r="X8" s="188"/>
      <c r="Y8" s="188"/>
      <c r="Z8" s="189"/>
      <c r="AA8" s="187"/>
      <c r="AB8" s="188"/>
      <c r="AC8" s="188"/>
      <c r="AD8" s="189"/>
      <c r="AE8" s="187"/>
      <c r="AF8" s="188"/>
      <c r="AG8" s="188"/>
      <c r="AH8" s="189"/>
      <c r="AI8" s="187"/>
      <c r="AJ8" s="188"/>
      <c r="AK8" s="188"/>
      <c r="AL8" s="189"/>
      <c r="AM8" s="187"/>
      <c r="AN8" s="188"/>
      <c r="AO8" s="188"/>
      <c r="AP8" s="189"/>
      <c r="AQ8" s="187"/>
      <c r="AR8" s="188"/>
      <c r="AS8" s="188"/>
      <c r="AT8" s="189"/>
      <c r="AU8" s="187"/>
      <c r="AV8" s="188"/>
      <c r="AW8" s="188"/>
      <c r="AX8" s="189"/>
      <c r="AY8" s="187"/>
      <c r="AZ8" s="188"/>
      <c r="BA8" s="188"/>
      <c r="BB8" s="189"/>
      <c r="BC8" s="187"/>
      <c r="BD8" s="188"/>
      <c r="BE8" s="188"/>
      <c r="BF8" s="189"/>
      <c r="BG8" s="187"/>
      <c r="BH8" s="188"/>
      <c r="BI8" s="188"/>
      <c r="BJ8" s="189"/>
      <c r="BK8" s="187"/>
      <c r="BL8" s="188"/>
      <c r="BM8" s="188"/>
      <c r="BN8" s="189"/>
      <c r="BO8" s="187"/>
      <c r="BP8" s="188"/>
      <c r="BQ8" s="188"/>
      <c r="BR8" s="189"/>
      <c r="BS8" s="187"/>
      <c r="BT8" s="188"/>
      <c r="BU8" s="188"/>
      <c r="BV8" s="189"/>
      <c r="BW8" s="187"/>
      <c r="BX8" s="188"/>
      <c r="BY8" s="188"/>
      <c r="BZ8" s="189"/>
      <c r="CA8" s="187"/>
      <c r="CB8" s="188"/>
      <c r="CC8" s="188"/>
      <c r="CD8" s="189"/>
      <c r="CE8" s="187"/>
      <c r="CF8" s="188"/>
      <c r="CG8" s="188"/>
      <c r="CH8" s="189"/>
    </row>
    <row r="9" spans="1:86" x14ac:dyDescent="0.2">
      <c r="B9" s="219" t="str">
        <f>IF($B$8&lt;&gt;"","","Pre-Tx Scores")</f>
        <v/>
      </c>
      <c r="C9" s="219"/>
      <c r="E9" s="219" t="str">
        <f>IF($B$8&lt;&gt;"","","Post-Tx Scores")</f>
        <v/>
      </c>
      <c r="F9" s="219"/>
      <c r="H9" s="83" t="s">
        <v>117</v>
      </c>
      <c r="I9" s="114" t="str">
        <f>IF(AND('Summary Report'!D19&gt;=0,'Summary Report'!D19&lt;=3),'Summary Report'!D19,"--")</f>
        <v>--</v>
      </c>
      <c r="J9" s="109"/>
      <c r="K9" s="110"/>
      <c r="L9" s="111" t="str">
        <f>I9</f>
        <v>--</v>
      </c>
      <c r="M9" s="114" t="str">
        <f>'Summary Report'!H19</f>
        <v/>
      </c>
      <c r="N9" s="83"/>
      <c r="O9" s="187"/>
      <c r="P9" s="188"/>
      <c r="Q9" s="188"/>
      <c r="R9" s="189"/>
      <c r="S9" s="187"/>
      <c r="T9" s="188"/>
      <c r="U9" s="188"/>
      <c r="V9" s="189"/>
      <c r="W9" s="187"/>
      <c r="X9" s="188"/>
      <c r="Y9" s="188"/>
      <c r="Z9" s="189"/>
      <c r="AA9" s="187"/>
      <c r="AB9" s="188"/>
      <c r="AC9" s="188"/>
      <c r="AD9" s="189"/>
      <c r="AE9" s="187"/>
      <c r="AF9" s="188"/>
      <c r="AG9" s="188"/>
      <c r="AH9" s="189"/>
      <c r="AI9" s="187"/>
      <c r="AJ9" s="188"/>
      <c r="AK9" s="188"/>
      <c r="AL9" s="189"/>
      <c r="AM9" s="187"/>
      <c r="AN9" s="188"/>
      <c r="AO9" s="188"/>
      <c r="AP9" s="189"/>
      <c r="AQ9" s="187"/>
      <c r="AR9" s="188"/>
      <c r="AS9" s="188"/>
      <c r="AT9" s="189"/>
      <c r="AU9" s="187"/>
      <c r="AV9" s="188"/>
      <c r="AW9" s="188"/>
      <c r="AX9" s="189"/>
      <c r="AY9" s="187"/>
      <c r="AZ9" s="188"/>
      <c r="BA9" s="188"/>
      <c r="BB9" s="189"/>
      <c r="BC9" s="187"/>
      <c r="BD9" s="188"/>
      <c r="BE9" s="188"/>
      <c r="BF9" s="189"/>
      <c r="BG9" s="187"/>
      <c r="BH9" s="188"/>
      <c r="BI9" s="188"/>
      <c r="BJ9" s="189"/>
      <c r="BK9" s="187"/>
      <c r="BL9" s="188"/>
      <c r="BM9" s="188"/>
      <c r="BN9" s="189"/>
      <c r="BO9" s="187"/>
      <c r="BP9" s="188"/>
      <c r="BQ9" s="188"/>
      <c r="BR9" s="189"/>
      <c r="BS9" s="187"/>
      <c r="BT9" s="188"/>
      <c r="BU9" s="188"/>
      <c r="BV9" s="189"/>
      <c r="BW9" s="187"/>
      <c r="BX9" s="188"/>
      <c r="BY9" s="188"/>
      <c r="BZ9" s="189"/>
      <c r="CA9" s="187"/>
      <c r="CB9" s="188"/>
      <c r="CC9" s="188"/>
      <c r="CD9" s="189"/>
      <c r="CE9" s="187"/>
      <c r="CF9" s="188"/>
      <c r="CG9" s="188"/>
      <c r="CH9" s="189"/>
    </row>
    <row r="10" spans="1:86" x14ac:dyDescent="0.2">
      <c r="A10" s="94" t="str">
        <f>IF(B8&lt;&gt;"","","Age at Release")</f>
        <v/>
      </c>
      <c r="B10" s="200" t="str">
        <f>'Summary Report'!D5</f>
        <v/>
      </c>
      <c r="C10" s="200"/>
      <c r="E10" s="200" t="str">
        <f>'Summary Report'!J5</f>
        <v/>
      </c>
      <c r="F10" s="200"/>
      <c r="H10" s="83" t="s">
        <v>118</v>
      </c>
      <c r="I10" s="114" t="str">
        <f>IF(AND('Summary Report'!D20&gt;=0,'Summary Report'!D20&lt;=3),'Summary Report'!D20,"--")</f>
        <v>--</v>
      </c>
      <c r="J10" s="109"/>
      <c r="K10" s="110" t="str">
        <f>I10</f>
        <v>--</v>
      </c>
      <c r="L10" s="111"/>
      <c r="M10" s="114" t="str">
        <f>'Summary Report'!H20</f>
        <v/>
      </c>
      <c r="N10" s="83"/>
      <c r="O10" s="187"/>
      <c r="P10" s="188"/>
      <c r="Q10" s="188"/>
      <c r="R10" s="189"/>
      <c r="S10" s="187"/>
      <c r="T10" s="188"/>
      <c r="U10" s="188"/>
      <c r="V10" s="189"/>
      <c r="W10" s="187"/>
      <c r="X10" s="188"/>
      <c r="Y10" s="188"/>
      <c r="Z10" s="189"/>
      <c r="AA10" s="187"/>
      <c r="AB10" s="188"/>
      <c r="AC10" s="188"/>
      <c r="AD10" s="189"/>
      <c r="AE10" s="187"/>
      <c r="AF10" s="188"/>
      <c r="AG10" s="188"/>
      <c r="AH10" s="189"/>
      <c r="AI10" s="187"/>
      <c r="AJ10" s="188"/>
      <c r="AK10" s="188"/>
      <c r="AL10" s="189"/>
      <c r="AM10" s="187"/>
      <c r="AN10" s="188"/>
      <c r="AO10" s="188"/>
      <c r="AP10" s="189"/>
      <c r="AQ10" s="187"/>
      <c r="AR10" s="188"/>
      <c r="AS10" s="188"/>
      <c r="AT10" s="189"/>
      <c r="AU10" s="187"/>
      <c r="AV10" s="188"/>
      <c r="AW10" s="188"/>
      <c r="AX10" s="189"/>
      <c r="AY10" s="187"/>
      <c r="AZ10" s="188"/>
      <c r="BA10" s="188"/>
      <c r="BB10" s="189"/>
      <c r="BC10" s="187"/>
      <c r="BD10" s="188"/>
      <c r="BE10" s="188"/>
      <c r="BF10" s="189"/>
      <c r="BG10" s="187"/>
      <c r="BH10" s="188"/>
      <c r="BI10" s="188"/>
      <c r="BJ10" s="189"/>
      <c r="BK10" s="187"/>
      <c r="BL10" s="188"/>
      <c r="BM10" s="188"/>
      <c r="BN10" s="189"/>
      <c r="BO10" s="187"/>
      <c r="BP10" s="188"/>
      <c r="BQ10" s="188"/>
      <c r="BR10" s="189"/>
      <c r="BS10" s="187"/>
      <c r="BT10" s="188"/>
      <c r="BU10" s="188"/>
      <c r="BV10" s="189"/>
      <c r="BW10" s="187"/>
      <c r="BX10" s="188"/>
      <c r="BY10" s="188"/>
      <c r="BZ10" s="189"/>
      <c r="CA10" s="187"/>
      <c r="CB10" s="188"/>
      <c r="CC10" s="188"/>
      <c r="CD10" s="189"/>
      <c r="CE10" s="187"/>
      <c r="CF10" s="188"/>
      <c r="CG10" s="188"/>
      <c r="CH10" s="189"/>
    </row>
    <row r="11" spans="1:86" x14ac:dyDescent="0.2">
      <c r="A11" s="94" t="str">
        <f>IF(B8&lt;&gt;"","","Age at 1st sexual offense")</f>
        <v/>
      </c>
      <c r="B11" s="200" t="str">
        <f>'Summary Report'!D6</f>
        <v/>
      </c>
      <c r="C11" s="200"/>
      <c r="E11" s="200" t="str">
        <f>'Summary Report'!J6</f>
        <v/>
      </c>
      <c r="F11" s="200"/>
      <c r="H11" s="83" t="s">
        <v>119</v>
      </c>
      <c r="I11" s="114" t="str">
        <f>IF(AND('Summary Report'!D21&gt;=0,'Summary Report'!D21&lt;=3),'Summary Report'!D21,"--")</f>
        <v>--</v>
      </c>
      <c r="J11" s="109"/>
      <c r="K11" s="110"/>
      <c r="L11" s="111"/>
      <c r="M11" s="114" t="str">
        <f>'Summary Report'!H21</f>
        <v/>
      </c>
      <c r="N11" s="83"/>
      <c r="O11" s="187"/>
      <c r="P11" s="188"/>
      <c r="Q11" s="188"/>
      <c r="R11" s="189"/>
      <c r="S11" s="187"/>
      <c r="T11" s="188"/>
      <c r="U11" s="188"/>
      <c r="V11" s="189"/>
      <c r="W11" s="187"/>
      <c r="X11" s="188"/>
      <c r="Y11" s="188"/>
      <c r="Z11" s="189"/>
      <c r="AA11" s="187"/>
      <c r="AB11" s="188"/>
      <c r="AC11" s="188"/>
      <c r="AD11" s="189"/>
      <c r="AE11" s="187"/>
      <c r="AF11" s="188"/>
      <c r="AG11" s="188"/>
      <c r="AH11" s="189"/>
      <c r="AI11" s="187"/>
      <c r="AJ11" s="188"/>
      <c r="AK11" s="188"/>
      <c r="AL11" s="189"/>
      <c r="AM11" s="187"/>
      <c r="AN11" s="188"/>
      <c r="AO11" s="188"/>
      <c r="AP11" s="189"/>
      <c r="AQ11" s="187"/>
      <c r="AR11" s="188"/>
      <c r="AS11" s="188"/>
      <c r="AT11" s="189"/>
      <c r="AU11" s="187"/>
      <c r="AV11" s="188"/>
      <c r="AW11" s="188"/>
      <c r="AX11" s="189"/>
      <c r="AY11" s="187"/>
      <c r="AZ11" s="188"/>
      <c r="BA11" s="188"/>
      <c r="BB11" s="189"/>
      <c r="BC11" s="187"/>
      <c r="BD11" s="188"/>
      <c r="BE11" s="188"/>
      <c r="BF11" s="189"/>
      <c r="BG11" s="187"/>
      <c r="BH11" s="188"/>
      <c r="BI11" s="188"/>
      <c r="BJ11" s="189"/>
      <c r="BK11" s="187"/>
      <c r="BL11" s="188"/>
      <c r="BM11" s="188"/>
      <c r="BN11" s="189"/>
      <c r="BO11" s="187"/>
      <c r="BP11" s="188"/>
      <c r="BQ11" s="188"/>
      <c r="BR11" s="189"/>
      <c r="BS11" s="187"/>
      <c r="BT11" s="188"/>
      <c r="BU11" s="188"/>
      <c r="BV11" s="189"/>
      <c r="BW11" s="187"/>
      <c r="BX11" s="188"/>
      <c r="BY11" s="188"/>
      <c r="BZ11" s="189"/>
      <c r="CA11" s="187"/>
      <c r="CB11" s="188"/>
      <c r="CC11" s="188"/>
      <c r="CD11" s="189"/>
      <c r="CE11" s="187"/>
      <c r="CF11" s="188"/>
      <c r="CG11" s="188"/>
      <c r="CH11" s="189"/>
    </row>
    <row r="12" spans="1:86" x14ac:dyDescent="0.2">
      <c r="A12" s="94" t="str">
        <f>IF(B8&lt;&gt;"","","Sex Offender Type")</f>
        <v/>
      </c>
      <c r="B12" s="200" t="str">
        <f>'Summary Report'!D7</f>
        <v/>
      </c>
      <c r="C12" s="200"/>
      <c r="E12" s="200" t="str">
        <f>'Summary Report'!J7</f>
        <v/>
      </c>
      <c r="F12" s="200"/>
      <c r="H12" s="83" t="s">
        <v>120</v>
      </c>
      <c r="I12" s="114" t="str">
        <f>IF(AND('Summary Report'!D22&gt;=0,'Summary Report'!D22&lt;=3),'Summary Report'!D22,"--")</f>
        <v>--</v>
      </c>
      <c r="J12" s="109"/>
      <c r="K12" s="110"/>
      <c r="L12" s="111" t="str">
        <f>I12</f>
        <v>--</v>
      </c>
      <c r="M12" s="114" t="str">
        <f>'Summary Report'!H22</f>
        <v/>
      </c>
      <c r="N12" s="83"/>
      <c r="O12" s="187"/>
      <c r="P12" s="188"/>
      <c r="Q12" s="188"/>
      <c r="R12" s="189"/>
      <c r="S12" s="187"/>
      <c r="T12" s="188"/>
      <c r="U12" s="188"/>
      <c r="V12" s="189"/>
      <c r="W12" s="187"/>
      <c r="X12" s="188"/>
      <c r="Y12" s="188"/>
      <c r="Z12" s="189"/>
      <c r="AA12" s="187"/>
      <c r="AB12" s="188"/>
      <c r="AC12" s="188"/>
      <c r="AD12" s="189"/>
      <c r="AE12" s="187"/>
      <c r="AF12" s="188"/>
      <c r="AG12" s="188"/>
      <c r="AH12" s="189"/>
      <c r="AI12" s="187"/>
      <c r="AJ12" s="188"/>
      <c r="AK12" s="188"/>
      <c r="AL12" s="189"/>
      <c r="AM12" s="187"/>
      <c r="AN12" s="188"/>
      <c r="AO12" s="188"/>
      <c r="AP12" s="189"/>
      <c r="AQ12" s="187"/>
      <c r="AR12" s="188"/>
      <c r="AS12" s="188"/>
      <c r="AT12" s="189"/>
      <c r="AU12" s="187"/>
      <c r="AV12" s="188"/>
      <c r="AW12" s="188"/>
      <c r="AX12" s="189"/>
      <c r="AY12" s="187"/>
      <c r="AZ12" s="188"/>
      <c r="BA12" s="188"/>
      <c r="BB12" s="189"/>
      <c r="BC12" s="187"/>
      <c r="BD12" s="188"/>
      <c r="BE12" s="188"/>
      <c r="BF12" s="189"/>
      <c r="BG12" s="187"/>
      <c r="BH12" s="188"/>
      <c r="BI12" s="188"/>
      <c r="BJ12" s="189"/>
      <c r="BK12" s="187"/>
      <c r="BL12" s="188"/>
      <c r="BM12" s="188"/>
      <c r="BN12" s="189"/>
      <c r="BO12" s="187"/>
      <c r="BP12" s="188"/>
      <c r="BQ12" s="188"/>
      <c r="BR12" s="189"/>
      <c r="BS12" s="187"/>
      <c r="BT12" s="188"/>
      <c r="BU12" s="188"/>
      <c r="BV12" s="189"/>
      <c r="BW12" s="187"/>
      <c r="BX12" s="188"/>
      <c r="BY12" s="188"/>
      <c r="BZ12" s="189"/>
      <c r="CA12" s="187"/>
      <c r="CB12" s="188"/>
      <c r="CC12" s="188"/>
      <c r="CD12" s="189"/>
      <c r="CE12" s="187"/>
      <c r="CF12" s="188"/>
      <c r="CG12" s="188"/>
      <c r="CH12" s="189"/>
    </row>
    <row r="13" spans="1:86" x14ac:dyDescent="0.2">
      <c r="A13" s="94" t="str">
        <f>IF(B8&lt;&gt;"","","Prior Sexual Offenses")</f>
        <v/>
      </c>
      <c r="B13" s="200" t="str">
        <f>'Summary Report'!D8</f>
        <v/>
      </c>
      <c r="C13" s="200"/>
      <c r="E13" s="200" t="str">
        <f>'Summary Report'!J8</f>
        <v/>
      </c>
      <c r="F13" s="200"/>
      <c r="H13" s="83" t="s">
        <v>121</v>
      </c>
      <c r="I13" s="114" t="str">
        <f>IF(AND('Summary Report'!D23&gt;=0,'Summary Report'!D23&lt;=3),'Summary Report'!D23,"--")</f>
        <v>--</v>
      </c>
      <c r="J13" s="109"/>
      <c r="K13" s="110" t="str">
        <f t="shared" ref="K13:K14" si="1">I13</f>
        <v>--</v>
      </c>
      <c r="L13" s="111"/>
      <c r="M13" s="114" t="str">
        <f>'Summary Report'!H23</f>
        <v/>
      </c>
      <c r="N13" s="83"/>
      <c r="O13" s="187"/>
      <c r="P13" s="188"/>
      <c r="Q13" s="188"/>
      <c r="R13" s="189"/>
      <c r="S13" s="187"/>
      <c r="T13" s="188"/>
      <c r="U13" s="188"/>
      <c r="V13" s="189"/>
      <c r="W13" s="187"/>
      <c r="X13" s="188"/>
      <c r="Y13" s="188"/>
      <c r="Z13" s="189"/>
      <c r="AA13" s="187"/>
      <c r="AB13" s="188"/>
      <c r="AC13" s="188"/>
      <c r="AD13" s="189"/>
      <c r="AE13" s="187"/>
      <c r="AF13" s="188"/>
      <c r="AG13" s="188"/>
      <c r="AH13" s="189"/>
      <c r="AI13" s="187"/>
      <c r="AJ13" s="188"/>
      <c r="AK13" s="188"/>
      <c r="AL13" s="189"/>
      <c r="AM13" s="187"/>
      <c r="AN13" s="188"/>
      <c r="AO13" s="188"/>
      <c r="AP13" s="189"/>
      <c r="AQ13" s="187"/>
      <c r="AR13" s="188"/>
      <c r="AS13" s="188"/>
      <c r="AT13" s="189"/>
      <c r="AU13" s="187"/>
      <c r="AV13" s="188"/>
      <c r="AW13" s="188"/>
      <c r="AX13" s="189"/>
      <c r="AY13" s="187"/>
      <c r="AZ13" s="188"/>
      <c r="BA13" s="188"/>
      <c r="BB13" s="189"/>
      <c r="BC13" s="187"/>
      <c r="BD13" s="188"/>
      <c r="BE13" s="188"/>
      <c r="BF13" s="189"/>
      <c r="BG13" s="187"/>
      <c r="BH13" s="188"/>
      <c r="BI13" s="188"/>
      <c r="BJ13" s="189"/>
      <c r="BK13" s="187"/>
      <c r="BL13" s="188"/>
      <c r="BM13" s="188"/>
      <c r="BN13" s="189"/>
      <c r="BO13" s="187"/>
      <c r="BP13" s="188"/>
      <c r="BQ13" s="188"/>
      <c r="BR13" s="189"/>
      <c r="BS13" s="187"/>
      <c r="BT13" s="188"/>
      <c r="BU13" s="188"/>
      <c r="BV13" s="189"/>
      <c r="BW13" s="187"/>
      <c r="BX13" s="188"/>
      <c r="BY13" s="188"/>
      <c r="BZ13" s="189"/>
      <c r="CA13" s="187"/>
      <c r="CB13" s="188"/>
      <c r="CC13" s="188"/>
      <c r="CD13" s="189"/>
      <c r="CE13" s="187"/>
      <c r="CF13" s="188"/>
      <c r="CG13" s="188"/>
      <c r="CH13" s="189"/>
    </row>
    <row r="14" spans="1:86" x14ac:dyDescent="0.2">
      <c r="A14" s="94" t="str">
        <f>IF(B8&lt;&gt;"","","Unrelated Victims")</f>
        <v/>
      </c>
      <c r="B14" s="200" t="str">
        <f>'Summary Report'!D9</f>
        <v/>
      </c>
      <c r="C14" s="200"/>
      <c r="E14" s="200" t="str">
        <f>'Summary Report'!J9</f>
        <v/>
      </c>
      <c r="F14" s="200"/>
      <c r="H14" s="83" t="s">
        <v>154</v>
      </c>
      <c r="I14" s="114" t="str">
        <f>IF(AND('Summary Report'!D24&gt;=0,'Summary Report'!D24&lt;=3),'Summary Report'!D24,"--")</f>
        <v>--</v>
      </c>
      <c r="J14" s="109"/>
      <c r="K14" s="110" t="str">
        <f t="shared" si="1"/>
        <v>--</v>
      </c>
      <c r="L14" s="111"/>
      <c r="M14" s="114" t="str">
        <f>'Summary Report'!H24</f>
        <v/>
      </c>
      <c r="N14" s="83"/>
      <c r="O14" s="187"/>
      <c r="P14" s="188"/>
      <c r="Q14" s="188"/>
      <c r="R14" s="189"/>
      <c r="S14" s="187"/>
      <c r="T14" s="188"/>
      <c r="U14" s="188"/>
      <c r="V14" s="189"/>
      <c r="W14" s="187"/>
      <c r="X14" s="188"/>
      <c r="Y14" s="188"/>
      <c r="Z14" s="189"/>
      <c r="AA14" s="187"/>
      <c r="AB14" s="188"/>
      <c r="AC14" s="188"/>
      <c r="AD14" s="189"/>
      <c r="AE14" s="187"/>
      <c r="AF14" s="188"/>
      <c r="AG14" s="188"/>
      <c r="AH14" s="189"/>
      <c r="AI14" s="187"/>
      <c r="AJ14" s="188"/>
      <c r="AK14" s="188"/>
      <c r="AL14" s="189"/>
      <c r="AM14" s="187"/>
      <c r="AN14" s="188"/>
      <c r="AO14" s="188"/>
      <c r="AP14" s="189"/>
      <c r="AQ14" s="187"/>
      <c r="AR14" s="188"/>
      <c r="AS14" s="188"/>
      <c r="AT14" s="189"/>
      <c r="AU14" s="187"/>
      <c r="AV14" s="188"/>
      <c r="AW14" s="188"/>
      <c r="AX14" s="189"/>
      <c r="AY14" s="187"/>
      <c r="AZ14" s="188"/>
      <c r="BA14" s="188"/>
      <c r="BB14" s="189"/>
      <c r="BC14" s="187"/>
      <c r="BD14" s="188"/>
      <c r="BE14" s="188"/>
      <c r="BF14" s="189"/>
      <c r="BG14" s="187"/>
      <c r="BH14" s="188"/>
      <c r="BI14" s="188"/>
      <c r="BJ14" s="189"/>
      <c r="BK14" s="187"/>
      <c r="BL14" s="188"/>
      <c r="BM14" s="188"/>
      <c r="BN14" s="189"/>
      <c r="BO14" s="187"/>
      <c r="BP14" s="188"/>
      <c r="BQ14" s="188"/>
      <c r="BR14" s="189"/>
      <c r="BS14" s="187"/>
      <c r="BT14" s="188"/>
      <c r="BU14" s="188"/>
      <c r="BV14" s="189"/>
      <c r="BW14" s="187"/>
      <c r="BX14" s="188"/>
      <c r="BY14" s="188"/>
      <c r="BZ14" s="189"/>
      <c r="CA14" s="187"/>
      <c r="CB14" s="188"/>
      <c r="CC14" s="188"/>
      <c r="CD14" s="189"/>
      <c r="CE14" s="187"/>
      <c r="CF14" s="188"/>
      <c r="CG14" s="188"/>
      <c r="CH14" s="189"/>
    </row>
    <row r="15" spans="1:86" x14ac:dyDescent="0.2">
      <c r="A15" s="94" t="str">
        <f>IF(B8&lt;&gt;"","","Number/Gender of Victims")</f>
        <v/>
      </c>
      <c r="B15" s="200" t="str">
        <f>'Summary Report'!D10</f>
        <v/>
      </c>
      <c r="C15" s="200"/>
      <c r="E15" s="200" t="str">
        <f>'Summary Report'!J10</f>
        <v/>
      </c>
      <c r="F15" s="200"/>
      <c r="H15" s="83" t="s">
        <v>157</v>
      </c>
      <c r="I15" s="114" t="str">
        <f>IF(AND('Summary Report'!D25&gt;=0,'Summary Report'!D25&lt;=3),'Summary Report'!D25,"--")</f>
        <v>--</v>
      </c>
      <c r="J15" s="109"/>
      <c r="K15" s="110"/>
      <c r="L15" s="111" t="str">
        <f>I15</f>
        <v>--</v>
      </c>
      <c r="M15" s="114" t="str">
        <f>'Summary Report'!H25</f>
        <v/>
      </c>
      <c r="N15" s="83"/>
      <c r="O15" s="187"/>
      <c r="P15" s="188"/>
      <c r="Q15" s="188"/>
      <c r="R15" s="189"/>
      <c r="S15" s="187"/>
      <c r="T15" s="188"/>
      <c r="U15" s="188"/>
      <c r="V15" s="189"/>
      <c r="W15" s="187"/>
      <c r="X15" s="188"/>
      <c r="Y15" s="188"/>
      <c r="Z15" s="189"/>
      <c r="AA15" s="187"/>
      <c r="AB15" s="188"/>
      <c r="AC15" s="188"/>
      <c r="AD15" s="189"/>
      <c r="AE15" s="187"/>
      <c r="AF15" s="188"/>
      <c r="AG15" s="188"/>
      <c r="AH15" s="189"/>
      <c r="AI15" s="187"/>
      <c r="AJ15" s="188"/>
      <c r="AK15" s="188"/>
      <c r="AL15" s="189"/>
      <c r="AM15" s="187"/>
      <c r="AN15" s="188"/>
      <c r="AO15" s="188"/>
      <c r="AP15" s="189"/>
      <c r="AQ15" s="187"/>
      <c r="AR15" s="188"/>
      <c r="AS15" s="188"/>
      <c r="AT15" s="189"/>
      <c r="AU15" s="187"/>
      <c r="AV15" s="188"/>
      <c r="AW15" s="188"/>
      <c r="AX15" s="189"/>
      <c r="AY15" s="187"/>
      <c r="AZ15" s="188"/>
      <c r="BA15" s="188"/>
      <c r="BB15" s="189"/>
      <c r="BC15" s="187"/>
      <c r="BD15" s="188"/>
      <c r="BE15" s="188"/>
      <c r="BF15" s="189"/>
      <c r="BG15" s="187"/>
      <c r="BH15" s="188"/>
      <c r="BI15" s="188"/>
      <c r="BJ15" s="189"/>
      <c r="BK15" s="187"/>
      <c r="BL15" s="188"/>
      <c r="BM15" s="188"/>
      <c r="BN15" s="189"/>
      <c r="BO15" s="187"/>
      <c r="BP15" s="188"/>
      <c r="BQ15" s="188"/>
      <c r="BR15" s="189"/>
      <c r="BS15" s="187"/>
      <c r="BT15" s="188"/>
      <c r="BU15" s="188"/>
      <c r="BV15" s="189"/>
      <c r="BW15" s="187"/>
      <c r="BX15" s="188"/>
      <c r="BY15" s="188"/>
      <c r="BZ15" s="189"/>
      <c r="CA15" s="187"/>
      <c r="CB15" s="188"/>
      <c r="CC15" s="188"/>
      <c r="CD15" s="189"/>
      <c r="CE15" s="187"/>
      <c r="CF15" s="188"/>
      <c r="CG15" s="188"/>
      <c r="CH15" s="189"/>
    </row>
    <row r="16" spans="1:86" x14ac:dyDescent="0.2">
      <c r="A16" s="94" t="str">
        <f>IF(B8&lt;&gt;"","","Prior Sentencing Dates")</f>
        <v/>
      </c>
      <c r="B16" s="200" t="str">
        <f>'Summary Report'!D11</f>
        <v/>
      </c>
      <c r="C16" s="200"/>
      <c r="E16" s="200" t="str">
        <f>'Summary Report'!J11</f>
        <v/>
      </c>
      <c r="F16" s="200"/>
      <c r="H16" s="83" t="s">
        <v>155</v>
      </c>
      <c r="I16" s="114" t="str">
        <f>IF(AND('Summary Report'!D26&gt;=0,'Summary Report'!D26&lt;=3),'Summary Report'!D26,"--")</f>
        <v>--</v>
      </c>
      <c r="J16" s="109" t="str">
        <f t="shared" ref="J16" si="2">I16</f>
        <v>--</v>
      </c>
      <c r="K16" s="110"/>
      <c r="L16" s="111"/>
      <c r="M16" s="114" t="str">
        <f>'Summary Report'!H26</f>
        <v/>
      </c>
      <c r="N16" s="83"/>
      <c r="O16" s="187"/>
      <c r="P16" s="188"/>
      <c r="Q16" s="188"/>
      <c r="R16" s="189"/>
      <c r="S16" s="187"/>
      <c r="T16" s="188"/>
      <c r="U16" s="188"/>
      <c r="V16" s="189"/>
      <c r="W16" s="187"/>
      <c r="X16" s="188"/>
      <c r="Y16" s="188"/>
      <c r="Z16" s="189"/>
      <c r="AA16" s="187"/>
      <c r="AB16" s="188"/>
      <c r="AC16" s="188"/>
      <c r="AD16" s="189"/>
      <c r="AE16" s="187"/>
      <c r="AF16" s="188"/>
      <c r="AG16" s="188"/>
      <c r="AH16" s="189"/>
      <c r="AI16" s="187"/>
      <c r="AJ16" s="188"/>
      <c r="AK16" s="188"/>
      <c r="AL16" s="189"/>
      <c r="AM16" s="187"/>
      <c r="AN16" s="188"/>
      <c r="AO16" s="188"/>
      <c r="AP16" s="189"/>
      <c r="AQ16" s="187"/>
      <c r="AR16" s="188"/>
      <c r="AS16" s="188"/>
      <c r="AT16" s="189"/>
      <c r="AU16" s="187"/>
      <c r="AV16" s="188"/>
      <c r="AW16" s="188"/>
      <c r="AX16" s="189"/>
      <c r="AY16" s="187"/>
      <c r="AZ16" s="188"/>
      <c r="BA16" s="188"/>
      <c r="BB16" s="189"/>
      <c r="BC16" s="187"/>
      <c r="BD16" s="188"/>
      <c r="BE16" s="188"/>
      <c r="BF16" s="189"/>
      <c r="BG16" s="187"/>
      <c r="BH16" s="188"/>
      <c r="BI16" s="188"/>
      <c r="BJ16" s="189"/>
      <c r="BK16" s="187"/>
      <c r="BL16" s="188"/>
      <c r="BM16" s="188"/>
      <c r="BN16" s="189"/>
      <c r="BO16" s="187"/>
      <c r="BP16" s="188"/>
      <c r="BQ16" s="188"/>
      <c r="BR16" s="189"/>
      <c r="BS16" s="187"/>
      <c r="BT16" s="188"/>
      <c r="BU16" s="188"/>
      <c r="BV16" s="189"/>
      <c r="BW16" s="187"/>
      <c r="BX16" s="188"/>
      <c r="BY16" s="188"/>
      <c r="BZ16" s="189"/>
      <c r="CA16" s="187"/>
      <c r="CB16" s="188"/>
      <c r="CC16" s="188"/>
      <c r="CD16" s="189"/>
      <c r="CE16" s="187"/>
      <c r="CF16" s="188"/>
      <c r="CG16" s="188"/>
      <c r="CH16" s="189"/>
    </row>
    <row r="17" spans="1:86" ht="15" x14ac:dyDescent="0.25">
      <c r="A17" s="95" t="str">
        <f>IF(B8&lt;&gt;"","","Static Total:")</f>
        <v/>
      </c>
      <c r="B17" s="197" t="str">
        <f>IF(AND(B10="",B11="",B12="",B13="",B14="",B15="",B16=""),"",SUM(B10:C16))</f>
        <v/>
      </c>
      <c r="C17" s="197"/>
      <c r="E17" s="197" t="str">
        <f>IF(AND(E10="",E11="",E12="",E13="",E14="",E15="",E16=""),"",SUM(E10:F16))</f>
        <v/>
      </c>
      <c r="F17" s="197"/>
      <c r="H17" s="83" t="s">
        <v>156</v>
      </c>
      <c r="I17" s="114" t="str">
        <f>IF(AND('Summary Report'!D27&gt;=0,'Summary Report'!D27&lt;=3),'Summary Report'!D27,"--")</f>
        <v>--</v>
      </c>
      <c r="J17" s="109"/>
      <c r="K17" s="110" t="str">
        <f t="shared" ref="K17:K18" si="3">I17</f>
        <v>--</v>
      </c>
      <c r="L17" s="111"/>
      <c r="M17" s="114" t="str">
        <f>'Summary Report'!H27</f>
        <v/>
      </c>
      <c r="N17" s="83"/>
      <c r="O17" s="187"/>
      <c r="P17" s="188"/>
      <c r="Q17" s="188"/>
      <c r="R17" s="189"/>
      <c r="S17" s="187"/>
      <c r="T17" s="188"/>
      <c r="U17" s="188"/>
      <c r="V17" s="189"/>
      <c r="W17" s="187"/>
      <c r="X17" s="188"/>
      <c r="Y17" s="188"/>
      <c r="Z17" s="189"/>
      <c r="AA17" s="187"/>
      <c r="AB17" s="188"/>
      <c r="AC17" s="188"/>
      <c r="AD17" s="189"/>
      <c r="AE17" s="187"/>
      <c r="AF17" s="188"/>
      <c r="AG17" s="188"/>
      <c r="AH17" s="189"/>
      <c r="AI17" s="187"/>
      <c r="AJ17" s="188"/>
      <c r="AK17" s="188"/>
      <c r="AL17" s="189"/>
      <c r="AM17" s="187"/>
      <c r="AN17" s="188"/>
      <c r="AO17" s="188"/>
      <c r="AP17" s="189"/>
      <c r="AQ17" s="187"/>
      <c r="AR17" s="188"/>
      <c r="AS17" s="188"/>
      <c r="AT17" s="189"/>
      <c r="AU17" s="187"/>
      <c r="AV17" s="188"/>
      <c r="AW17" s="188"/>
      <c r="AX17" s="189"/>
      <c r="AY17" s="187"/>
      <c r="AZ17" s="188"/>
      <c r="BA17" s="188"/>
      <c r="BB17" s="189"/>
      <c r="BC17" s="187"/>
      <c r="BD17" s="188"/>
      <c r="BE17" s="188"/>
      <c r="BF17" s="189"/>
      <c r="BG17" s="187"/>
      <c r="BH17" s="188"/>
      <c r="BI17" s="188"/>
      <c r="BJ17" s="189"/>
      <c r="BK17" s="187"/>
      <c r="BL17" s="188"/>
      <c r="BM17" s="188"/>
      <c r="BN17" s="189"/>
      <c r="BO17" s="187"/>
      <c r="BP17" s="188"/>
      <c r="BQ17" s="188"/>
      <c r="BR17" s="189"/>
      <c r="BS17" s="187"/>
      <c r="BT17" s="188"/>
      <c r="BU17" s="188"/>
      <c r="BV17" s="189"/>
      <c r="BW17" s="187"/>
      <c r="BX17" s="188"/>
      <c r="BY17" s="188"/>
      <c r="BZ17" s="189"/>
      <c r="CA17" s="187"/>
      <c r="CB17" s="188"/>
      <c r="CC17" s="188"/>
      <c r="CD17" s="189"/>
      <c r="CE17" s="187"/>
      <c r="CF17" s="188"/>
      <c r="CG17" s="188"/>
      <c r="CH17" s="189"/>
    </row>
    <row r="18" spans="1:86" x14ac:dyDescent="0.2">
      <c r="H18" s="83" t="s">
        <v>124</v>
      </c>
      <c r="I18" s="114" t="str">
        <f>IF(AND('Summary Report'!D28&gt;=0,'Summary Report'!D28&lt;=3),'Summary Report'!D28,"--")</f>
        <v>--</v>
      </c>
      <c r="J18" s="109"/>
      <c r="K18" s="110" t="str">
        <f t="shared" si="3"/>
        <v>--</v>
      </c>
      <c r="L18" s="111"/>
      <c r="M18" s="114" t="str">
        <f>'Summary Report'!H28</f>
        <v/>
      </c>
      <c r="N18" s="83"/>
      <c r="O18" s="187"/>
      <c r="P18" s="188"/>
      <c r="Q18" s="188"/>
      <c r="R18" s="189"/>
      <c r="S18" s="187"/>
      <c r="T18" s="188"/>
      <c r="U18" s="188"/>
      <c r="V18" s="189"/>
      <c r="W18" s="187"/>
      <c r="X18" s="188"/>
      <c r="Y18" s="188"/>
      <c r="Z18" s="189"/>
      <c r="AA18" s="187"/>
      <c r="AB18" s="188"/>
      <c r="AC18" s="188"/>
      <c r="AD18" s="189"/>
      <c r="AE18" s="187"/>
      <c r="AF18" s="188"/>
      <c r="AG18" s="188"/>
      <c r="AH18" s="189"/>
      <c r="AI18" s="187"/>
      <c r="AJ18" s="188"/>
      <c r="AK18" s="188"/>
      <c r="AL18" s="189"/>
      <c r="AM18" s="187"/>
      <c r="AN18" s="188"/>
      <c r="AO18" s="188"/>
      <c r="AP18" s="189"/>
      <c r="AQ18" s="187"/>
      <c r="AR18" s="188"/>
      <c r="AS18" s="188"/>
      <c r="AT18" s="189"/>
      <c r="AU18" s="187"/>
      <c r="AV18" s="188"/>
      <c r="AW18" s="188"/>
      <c r="AX18" s="189"/>
      <c r="AY18" s="187"/>
      <c r="AZ18" s="188"/>
      <c r="BA18" s="188"/>
      <c r="BB18" s="189"/>
      <c r="BC18" s="187"/>
      <c r="BD18" s="188"/>
      <c r="BE18" s="188"/>
      <c r="BF18" s="189"/>
      <c r="BG18" s="187"/>
      <c r="BH18" s="188"/>
      <c r="BI18" s="188"/>
      <c r="BJ18" s="189"/>
      <c r="BK18" s="187"/>
      <c r="BL18" s="188"/>
      <c r="BM18" s="188"/>
      <c r="BN18" s="189"/>
      <c r="BO18" s="187"/>
      <c r="BP18" s="188"/>
      <c r="BQ18" s="188"/>
      <c r="BR18" s="189"/>
      <c r="BS18" s="187"/>
      <c r="BT18" s="188"/>
      <c r="BU18" s="188"/>
      <c r="BV18" s="189"/>
      <c r="BW18" s="187"/>
      <c r="BX18" s="188"/>
      <c r="BY18" s="188"/>
      <c r="BZ18" s="189"/>
      <c r="CA18" s="187"/>
      <c r="CB18" s="188"/>
      <c r="CC18" s="188"/>
      <c r="CD18" s="189"/>
      <c r="CE18" s="187"/>
      <c r="CF18" s="188"/>
      <c r="CG18" s="188"/>
      <c r="CH18" s="189"/>
    </row>
    <row r="19" spans="1:86" x14ac:dyDescent="0.2">
      <c r="A19" s="144" t="s">
        <v>456</v>
      </c>
      <c r="D19" s="207" t="str">
        <f>IF('Data Values'!K14=TRUE,"Clinical Override Reason:","No Clinical Override")</f>
        <v>No Clinical Override</v>
      </c>
      <c r="E19" s="208"/>
      <c r="F19" s="209"/>
      <c r="H19" s="83" t="s">
        <v>125</v>
      </c>
      <c r="I19" s="114" t="str">
        <f>IF(AND('Summary Report'!D29&gt;=0,'Summary Report'!D29&lt;=3),'Summary Report'!D29,"--")</f>
        <v>--</v>
      </c>
      <c r="J19" s="109"/>
      <c r="K19" s="110"/>
      <c r="L19" s="111" t="str">
        <f>I19</f>
        <v>--</v>
      </c>
      <c r="M19" s="114" t="str">
        <f>'Summary Report'!H29</f>
        <v/>
      </c>
      <c r="N19" s="83"/>
      <c r="O19" s="187"/>
      <c r="P19" s="188"/>
      <c r="Q19" s="188"/>
      <c r="R19" s="189"/>
      <c r="S19" s="187"/>
      <c r="T19" s="188"/>
      <c r="U19" s="188"/>
      <c r="V19" s="189"/>
      <c r="W19" s="187"/>
      <c r="X19" s="188"/>
      <c r="Y19" s="188"/>
      <c r="Z19" s="189"/>
      <c r="AA19" s="187"/>
      <c r="AB19" s="188"/>
      <c r="AC19" s="188"/>
      <c r="AD19" s="189"/>
      <c r="AE19" s="187"/>
      <c r="AF19" s="188"/>
      <c r="AG19" s="188"/>
      <c r="AH19" s="189"/>
      <c r="AI19" s="187"/>
      <c r="AJ19" s="188"/>
      <c r="AK19" s="188"/>
      <c r="AL19" s="189"/>
      <c r="AM19" s="187"/>
      <c r="AN19" s="188"/>
      <c r="AO19" s="188"/>
      <c r="AP19" s="189"/>
      <c r="AQ19" s="187"/>
      <c r="AR19" s="188"/>
      <c r="AS19" s="188"/>
      <c r="AT19" s="189"/>
      <c r="AU19" s="187"/>
      <c r="AV19" s="188"/>
      <c r="AW19" s="188"/>
      <c r="AX19" s="189"/>
      <c r="AY19" s="187"/>
      <c r="AZ19" s="188"/>
      <c r="BA19" s="188"/>
      <c r="BB19" s="189"/>
      <c r="BC19" s="187"/>
      <c r="BD19" s="188"/>
      <c r="BE19" s="188"/>
      <c r="BF19" s="189"/>
      <c r="BG19" s="187"/>
      <c r="BH19" s="188"/>
      <c r="BI19" s="188"/>
      <c r="BJ19" s="189"/>
      <c r="BK19" s="187"/>
      <c r="BL19" s="188"/>
      <c r="BM19" s="188"/>
      <c r="BN19" s="189"/>
      <c r="BO19" s="187"/>
      <c r="BP19" s="188"/>
      <c r="BQ19" s="188"/>
      <c r="BR19" s="189"/>
      <c r="BS19" s="187"/>
      <c r="BT19" s="188"/>
      <c r="BU19" s="188"/>
      <c r="BV19" s="189"/>
      <c r="BW19" s="187"/>
      <c r="BX19" s="188"/>
      <c r="BY19" s="188"/>
      <c r="BZ19" s="189"/>
      <c r="CA19" s="187"/>
      <c r="CB19" s="188"/>
      <c r="CC19" s="188"/>
      <c r="CD19" s="189"/>
      <c r="CE19" s="187"/>
      <c r="CF19" s="188"/>
      <c r="CG19" s="188"/>
      <c r="CH19" s="189"/>
    </row>
    <row r="20" spans="1:86" x14ac:dyDescent="0.2">
      <c r="A20" s="204" t="str">
        <f>TRIM('Static 2'!H2)</f>
        <v/>
      </c>
      <c r="D20" s="210" t="str">
        <f>IF('Data Values'!K14=FALSE,"",TRIM('Summary Report'!O13))</f>
        <v/>
      </c>
      <c r="E20" s="211"/>
      <c r="F20" s="212"/>
      <c r="H20" s="83" t="s">
        <v>126</v>
      </c>
      <c r="I20" s="114" t="str">
        <f>IF(AND('Summary Report'!D30&gt;=0,'Summary Report'!D30&lt;=3),'Summary Report'!D30,"--")</f>
        <v>--</v>
      </c>
      <c r="J20" s="109" t="str">
        <f t="shared" ref="J20" si="4">I20</f>
        <v>--</v>
      </c>
      <c r="K20" s="110"/>
      <c r="L20" s="111"/>
      <c r="M20" s="114" t="str">
        <f>'Summary Report'!H30</f>
        <v/>
      </c>
      <c r="N20" s="83"/>
      <c r="O20" s="187"/>
      <c r="P20" s="188"/>
      <c r="Q20" s="188"/>
      <c r="R20" s="189"/>
      <c r="S20" s="187"/>
      <c r="T20" s="188"/>
      <c r="U20" s="188"/>
      <c r="V20" s="189"/>
      <c r="W20" s="187"/>
      <c r="X20" s="188"/>
      <c r="Y20" s="188"/>
      <c r="Z20" s="189"/>
      <c r="AA20" s="187"/>
      <c r="AB20" s="188"/>
      <c r="AC20" s="188"/>
      <c r="AD20" s="189"/>
      <c r="AE20" s="187"/>
      <c r="AF20" s="188"/>
      <c r="AG20" s="188"/>
      <c r="AH20" s="189"/>
      <c r="AI20" s="187"/>
      <c r="AJ20" s="188"/>
      <c r="AK20" s="188"/>
      <c r="AL20" s="189"/>
      <c r="AM20" s="187"/>
      <c r="AN20" s="188"/>
      <c r="AO20" s="188"/>
      <c r="AP20" s="189"/>
      <c r="AQ20" s="187"/>
      <c r="AR20" s="188"/>
      <c r="AS20" s="188"/>
      <c r="AT20" s="189"/>
      <c r="AU20" s="187"/>
      <c r="AV20" s="188"/>
      <c r="AW20" s="188"/>
      <c r="AX20" s="189"/>
      <c r="AY20" s="187"/>
      <c r="AZ20" s="188"/>
      <c r="BA20" s="188"/>
      <c r="BB20" s="189"/>
      <c r="BC20" s="187"/>
      <c r="BD20" s="188"/>
      <c r="BE20" s="188"/>
      <c r="BF20" s="189"/>
      <c r="BG20" s="187"/>
      <c r="BH20" s="188"/>
      <c r="BI20" s="188"/>
      <c r="BJ20" s="189"/>
      <c r="BK20" s="187"/>
      <c r="BL20" s="188"/>
      <c r="BM20" s="188"/>
      <c r="BN20" s="189"/>
      <c r="BO20" s="187"/>
      <c r="BP20" s="188"/>
      <c r="BQ20" s="188"/>
      <c r="BR20" s="189"/>
      <c r="BS20" s="187"/>
      <c r="BT20" s="188"/>
      <c r="BU20" s="188"/>
      <c r="BV20" s="189"/>
      <c r="BW20" s="187"/>
      <c r="BX20" s="188"/>
      <c r="BY20" s="188"/>
      <c r="BZ20" s="189"/>
      <c r="CA20" s="187"/>
      <c r="CB20" s="188"/>
      <c r="CC20" s="188"/>
      <c r="CD20" s="189"/>
      <c r="CE20" s="187"/>
      <c r="CF20" s="188"/>
      <c r="CG20" s="188"/>
      <c r="CH20" s="189"/>
    </row>
    <row r="21" spans="1:86" x14ac:dyDescent="0.2">
      <c r="A21" s="205"/>
      <c r="D21" s="213"/>
      <c r="E21" s="214"/>
      <c r="F21" s="215"/>
      <c r="H21" s="99" t="s">
        <v>127</v>
      </c>
      <c r="I21" s="115" t="str">
        <f>IF(AND('Summary Report'!D31&gt;=0,'Summary Report'!D31&lt;=3),'Summary Report'!D31,"--")</f>
        <v>--</v>
      </c>
      <c r="J21" s="112"/>
      <c r="K21" s="98"/>
      <c r="L21" s="102"/>
      <c r="M21" s="115" t="str">
        <f>'Summary Report'!H31</f>
        <v/>
      </c>
      <c r="N21" s="100"/>
      <c r="O21" s="187"/>
      <c r="P21" s="188"/>
      <c r="Q21" s="188"/>
      <c r="R21" s="189"/>
      <c r="S21" s="187"/>
      <c r="T21" s="188"/>
      <c r="U21" s="188"/>
      <c r="V21" s="189"/>
      <c r="W21" s="187"/>
      <c r="X21" s="188"/>
      <c r="Y21" s="188"/>
      <c r="Z21" s="189"/>
      <c r="AA21" s="187"/>
      <c r="AB21" s="188"/>
      <c r="AC21" s="188"/>
      <c r="AD21" s="189"/>
      <c r="AE21" s="187"/>
      <c r="AF21" s="188"/>
      <c r="AG21" s="188"/>
      <c r="AH21" s="189"/>
      <c r="AI21" s="187"/>
      <c r="AJ21" s="188"/>
      <c r="AK21" s="188"/>
      <c r="AL21" s="189"/>
      <c r="AM21" s="187"/>
      <c r="AN21" s="188"/>
      <c r="AO21" s="188"/>
      <c r="AP21" s="189"/>
      <c r="AQ21" s="187"/>
      <c r="AR21" s="188"/>
      <c r="AS21" s="188"/>
      <c r="AT21" s="189"/>
      <c r="AU21" s="187"/>
      <c r="AV21" s="188"/>
      <c r="AW21" s="188"/>
      <c r="AX21" s="189"/>
      <c r="AY21" s="187"/>
      <c r="AZ21" s="188"/>
      <c r="BA21" s="188"/>
      <c r="BB21" s="189"/>
      <c r="BC21" s="187"/>
      <c r="BD21" s="188"/>
      <c r="BE21" s="188"/>
      <c r="BF21" s="189"/>
      <c r="BG21" s="187"/>
      <c r="BH21" s="188"/>
      <c r="BI21" s="188"/>
      <c r="BJ21" s="189"/>
      <c r="BK21" s="187"/>
      <c r="BL21" s="188"/>
      <c r="BM21" s="188"/>
      <c r="BN21" s="189"/>
      <c r="BO21" s="187"/>
      <c r="BP21" s="188"/>
      <c r="BQ21" s="188"/>
      <c r="BR21" s="189"/>
      <c r="BS21" s="187"/>
      <c r="BT21" s="188"/>
      <c r="BU21" s="188"/>
      <c r="BV21" s="189"/>
      <c r="BW21" s="187"/>
      <c r="BX21" s="188"/>
      <c r="BY21" s="188"/>
      <c r="BZ21" s="189"/>
      <c r="CA21" s="187"/>
      <c r="CB21" s="188"/>
      <c r="CC21" s="188"/>
      <c r="CD21" s="189"/>
      <c r="CE21" s="187"/>
      <c r="CF21" s="188"/>
      <c r="CG21" s="188"/>
      <c r="CH21" s="189"/>
    </row>
    <row r="22" spans="1:86" ht="15" x14ac:dyDescent="0.25">
      <c r="A22" s="205"/>
      <c r="D22" s="213"/>
      <c r="E22" s="214"/>
      <c r="F22" s="215"/>
      <c r="H22" s="116" t="str">
        <f>IF('Summary Report'!$B32&lt;&gt;"","Dynamic Total","")</f>
        <v>Dynamic Total</v>
      </c>
      <c r="I22" s="96">
        <f>SUM(I5:I21)</f>
        <v>0</v>
      </c>
      <c r="J22" s="112">
        <f t="shared" ref="J22:L22" si="5">SUM(J5:J21)</f>
        <v>0</v>
      </c>
      <c r="K22" s="98">
        <f t="shared" si="5"/>
        <v>0</v>
      </c>
      <c r="L22" s="102">
        <f t="shared" si="5"/>
        <v>0</v>
      </c>
      <c r="O22" s="187"/>
      <c r="P22" s="188"/>
      <c r="Q22" s="188"/>
      <c r="R22" s="189"/>
      <c r="S22" s="187"/>
      <c r="T22" s="188"/>
      <c r="U22" s="188"/>
      <c r="V22" s="189"/>
      <c r="W22" s="187"/>
      <c r="X22" s="188"/>
      <c r="Y22" s="188"/>
      <c r="Z22" s="189"/>
      <c r="AA22" s="187"/>
      <c r="AB22" s="188"/>
      <c r="AC22" s="188"/>
      <c r="AD22" s="189"/>
      <c r="AE22" s="187"/>
      <c r="AF22" s="188"/>
      <c r="AG22" s="188"/>
      <c r="AH22" s="189"/>
      <c r="AI22" s="187"/>
      <c r="AJ22" s="188"/>
      <c r="AK22" s="188"/>
      <c r="AL22" s="189"/>
      <c r="AM22" s="187"/>
      <c r="AN22" s="188"/>
      <c r="AO22" s="188"/>
      <c r="AP22" s="189"/>
      <c r="AQ22" s="187"/>
      <c r="AR22" s="188"/>
      <c r="AS22" s="188"/>
      <c r="AT22" s="189"/>
      <c r="AU22" s="187"/>
      <c r="AV22" s="188"/>
      <c r="AW22" s="188"/>
      <c r="AX22" s="189"/>
      <c r="AY22" s="187"/>
      <c r="AZ22" s="188"/>
      <c r="BA22" s="188"/>
      <c r="BB22" s="189"/>
      <c r="BC22" s="187"/>
      <c r="BD22" s="188"/>
      <c r="BE22" s="188"/>
      <c r="BF22" s="189"/>
      <c r="BG22" s="187"/>
      <c r="BH22" s="188"/>
      <c r="BI22" s="188"/>
      <c r="BJ22" s="189"/>
      <c r="BK22" s="187"/>
      <c r="BL22" s="188"/>
      <c r="BM22" s="188"/>
      <c r="BN22" s="189"/>
      <c r="BO22" s="187"/>
      <c r="BP22" s="188"/>
      <c r="BQ22" s="188"/>
      <c r="BR22" s="189"/>
      <c r="BS22" s="187"/>
      <c r="BT22" s="188"/>
      <c r="BU22" s="188"/>
      <c r="BV22" s="189"/>
      <c r="BW22" s="187"/>
      <c r="BX22" s="188"/>
      <c r="BY22" s="188"/>
      <c r="BZ22" s="189"/>
      <c r="CA22" s="187"/>
      <c r="CB22" s="188"/>
      <c r="CC22" s="188"/>
      <c r="CD22" s="189"/>
      <c r="CE22" s="187"/>
      <c r="CF22" s="188"/>
      <c r="CG22" s="188"/>
      <c r="CH22" s="189"/>
    </row>
    <row r="23" spans="1:86" x14ac:dyDescent="0.2">
      <c r="A23" s="205"/>
      <c r="D23" s="213"/>
      <c r="E23" s="214"/>
      <c r="F23" s="215"/>
      <c r="H23" s="117" t="str">
        <f>IF('Summary Report'!$B33&lt;&gt;"","Pro-rated Dynamic Total","")</f>
        <v/>
      </c>
      <c r="I23" s="118" t="str">
        <f>'Summary Report'!D33</f>
        <v/>
      </c>
      <c r="O23" s="190"/>
      <c r="P23" s="191"/>
      <c r="Q23" s="191"/>
      <c r="R23" s="192"/>
      <c r="S23" s="190"/>
      <c r="T23" s="191"/>
      <c r="U23" s="191"/>
      <c r="V23" s="192"/>
      <c r="W23" s="190"/>
      <c r="X23" s="191"/>
      <c r="Y23" s="191"/>
      <c r="Z23" s="192"/>
      <c r="AA23" s="190"/>
      <c r="AB23" s="191"/>
      <c r="AC23" s="191"/>
      <c r="AD23" s="192"/>
      <c r="AE23" s="190"/>
      <c r="AF23" s="191"/>
      <c r="AG23" s="191"/>
      <c r="AH23" s="192"/>
      <c r="AI23" s="190"/>
      <c r="AJ23" s="191"/>
      <c r="AK23" s="191"/>
      <c r="AL23" s="192"/>
      <c r="AM23" s="190"/>
      <c r="AN23" s="191"/>
      <c r="AO23" s="191"/>
      <c r="AP23" s="192"/>
      <c r="AQ23" s="190"/>
      <c r="AR23" s="191"/>
      <c r="AS23" s="191"/>
      <c r="AT23" s="192"/>
      <c r="AU23" s="190"/>
      <c r="AV23" s="191"/>
      <c r="AW23" s="191"/>
      <c r="AX23" s="192"/>
      <c r="AY23" s="190"/>
      <c r="AZ23" s="191"/>
      <c r="BA23" s="191"/>
      <c r="BB23" s="192"/>
      <c r="BC23" s="190"/>
      <c r="BD23" s="191"/>
      <c r="BE23" s="191"/>
      <c r="BF23" s="192"/>
      <c r="BG23" s="190"/>
      <c r="BH23" s="191"/>
      <c r="BI23" s="191"/>
      <c r="BJ23" s="192"/>
      <c r="BK23" s="190"/>
      <c r="BL23" s="191"/>
      <c r="BM23" s="191"/>
      <c r="BN23" s="192"/>
      <c r="BO23" s="190"/>
      <c r="BP23" s="191"/>
      <c r="BQ23" s="191"/>
      <c r="BR23" s="192"/>
      <c r="BS23" s="190"/>
      <c r="BT23" s="191"/>
      <c r="BU23" s="191"/>
      <c r="BV23" s="192"/>
      <c r="BW23" s="190"/>
      <c r="BX23" s="191"/>
      <c r="BY23" s="191"/>
      <c r="BZ23" s="192"/>
      <c r="CA23" s="190"/>
      <c r="CB23" s="191"/>
      <c r="CC23" s="191"/>
      <c r="CD23" s="192"/>
      <c r="CE23" s="190"/>
      <c r="CF23" s="191"/>
      <c r="CG23" s="191"/>
      <c r="CH23" s="192"/>
    </row>
    <row r="24" spans="1:86" ht="15" x14ac:dyDescent="0.25">
      <c r="A24" s="205"/>
      <c r="D24" s="213"/>
      <c r="E24" s="214"/>
      <c r="F24" s="215"/>
      <c r="H24" s="116" t="str">
        <f>IF('Summary Report'!$B34&lt;&gt;"","Static + Dynamic Total","")</f>
        <v/>
      </c>
      <c r="I24" s="119" t="str">
        <f>'Summary Report'!D34</f>
        <v/>
      </c>
      <c r="O24" s="124"/>
      <c r="P24" s="180" t="s">
        <v>458</v>
      </c>
      <c r="Q24" s="181"/>
      <c r="R24" s="181"/>
      <c r="S24" s="181"/>
      <c r="T24" s="181"/>
      <c r="U24" s="181"/>
      <c r="V24" s="125"/>
      <c r="W24" s="124"/>
      <c r="X24" s="180" t="s">
        <v>460</v>
      </c>
      <c r="Y24" s="181"/>
      <c r="Z24" s="181"/>
      <c r="AA24" s="181"/>
      <c r="AB24" s="181"/>
      <c r="AC24" s="181"/>
      <c r="AD24" s="125"/>
      <c r="AE24" s="124"/>
      <c r="AF24" s="180" t="s">
        <v>462</v>
      </c>
      <c r="AG24" s="181"/>
      <c r="AH24" s="181"/>
      <c r="AI24" s="181"/>
      <c r="AJ24" s="181"/>
      <c r="AK24" s="181"/>
      <c r="AL24" s="125"/>
      <c r="AM24" s="124"/>
      <c r="AN24" s="180" t="s">
        <v>464</v>
      </c>
      <c r="AO24" s="181"/>
      <c r="AP24" s="181"/>
      <c r="AQ24" s="181"/>
      <c r="AR24" s="181"/>
      <c r="AS24" s="181"/>
      <c r="AT24" s="125"/>
      <c r="AU24" s="124"/>
      <c r="AV24" s="180" t="s">
        <v>466</v>
      </c>
      <c r="AW24" s="181"/>
      <c r="AX24" s="181"/>
      <c r="AY24" s="181"/>
      <c r="AZ24" s="181"/>
      <c r="BA24" s="181"/>
      <c r="BB24" s="125"/>
      <c r="BC24" s="124"/>
      <c r="BD24" s="180" t="s">
        <v>468</v>
      </c>
      <c r="BE24" s="181"/>
      <c r="BF24" s="181"/>
      <c r="BG24" s="181"/>
      <c r="BH24" s="181"/>
      <c r="BI24" s="181"/>
      <c r="BJ24" s="125"/>
      <c r="BK24" s="124"/>
      <c r="BL24" s="180" t="s">
        <v>470</v>
      </c>
      <c r="BM24" s="181"/>
      <c r="BN24" s="181"/>
      <c r="BO24" s="181"/>
      <c r="BP24" s="181"/>
      <c r="BQ24" s="181"/>
      <c r="BR24" s="125"/>
      <c r="BS24" s="124"/>
      <c r="BT24" s="180" t="s">
        <v>472</v>
      </c>
      <c r="BU24" s="181"/>
      <c r="BV24" s="181"/>
      <c r="BW24" s="181"/>
      <c r="BX24" s="181"/>
      <c r="BY24" s="181"/>
      <c r="BZ24" s="126"/>
      <c r="CA24" s="127"/>
      <c r="CB24" s="175"/>
      <c r="CC24" s="175"/>
      <c r="CD24" s="175"/>
      <c r="CE24" s="175"/>
      <c r="CF24" s="175"/>
      <c r="CG24" s="175"/>
      <c r="CH24" s="127"/>
    </row>
    <row r="25" spans="1:86" x14ac:dyDescent="0.2">
      <c r="A25" s="205"/>
      <c r="D25" s="213"/>
      <c r="E25" s="214"/>
      <c r="F25" s="215"/>
      <c r="H25" s="117" t="str">
        <f>IF('Summary Report'!$B35&lt;&gt;"","Pro-rated Static + Dynamic Total","")</f>
        <v/>
      </c>
      <c r="I25" s="118" t="str">
        <f>'Summary Report'!D35</f>
        <v/>
      </c>
      <c r="O25" s="182" t="str">
        <f>CONCATENATE("Pre-Treatment - score = ",$I$6,IF($M$6="Pre-Contemplative"," (PC)",IF($M$6="Contemplative"," (C)",IF($M$6="Preparation"," (P)",IF($M$6="Action"," (A)",IF($M$6="Maintenance"," (M)"," (-)"))))))</f>
        <v>Pre-Treatment - score = -- (-)</v>
      </c>
      <c r="P25" s="183"/>
      <c r="Q25" s="183"/>
      <c r="R25" s="183"/>
      <c r="S25" s="182" t="str">
        <f>CONCATENATE("Post-Treatment - score = ",$I$29,IF($M$29="Pre-Contemplative"," (PC)",IF($M$29="Contemplative"," (C)",IF($M$29="Preparation"," (P)",IF($M$29="Action"," (A)",IF($M$29="Maintenance"," (M)"," (-)"))))))</f>
        <v>Post-Treatment - score = -- (-)</v>
      </c>
      <c r="T25" s="183"/>
      <c r="U25" s="183"/>
      <c r="V25" s="183"/>
      <c r="W25" s="182" t="str">
        <f>CONCATENATE("Pre-Treatment - score = ",$I$8,IF($M$8="Pre-Contemplative"," (PC)",IF($M$8="Contemplative"," (C)",IF($M$8="Preparation"," (P)",IF($M$8="Action"," (A)",IF($M$8="Maintenance"," (M)"," (-)"))))))</f>
        <v>Pre-Treatment - score = -- (-)</v>
      </c>
      <c r="X25" s="183"/>
      <c r="Y25" s="183"/>
      <c r="Z25" s="183"/>
      <c r="AA25" s="182" t="str">
        <f>CONCATENATE("Post-Treatment - score = ",$I$31,IF($M$31="Pre-Contemplative"," (PC)",IF($M$31="Contemplative"," (C)",IF($M$31="Preparation"," (P)",IF($M$31="Action"," (A)",IF($M$31="Maintenance"," (M)"," (-)"))))))</f>
        <v>Post-Treatment - score = -- (-)</v>
      </c>
      <c r="AB25" s="183"/>
      <c r="AC25" s="183"/>
      <c r="AD25" s="183"/>
      <c r="AE25" s="182" t="str">
        <f>CONCATENATE("Pre-Treatment - score = ",$I$10,IF($M$10="Pre-Contemplative"," (PC)",IF($M$10="Contemplative"," (C)",IF($M$10="Preparation"," (P)",IF($M$10="Action"," (A)",IF($M$10="Maintenance"," (M)"," (-)"))))))</f>
        <v>Pre-Treatment - score = -- (-)</v>
      </c>
      <c r="AF25" s="183"/>
      <c r="AG25" s="183"/>
      <c r="AH25" s="183"/>
      <c r="AI25" s="182" t="str">
        <f>CONCATENATE("Post-Treatment - score = ",$I$33,IF($M$33="Pre-Contemplative"," (PC)",IF($M$33="Contemplative"," (C)",IF($M$33="Preparation"," (P)",IF($M$33="Action"," (A)",IF($M$33="Maintenance"," (M)"," (-)"))))))</f>
        <v>Post-Treatment - score = -- (-)</v>
      </c>
      <c r="AJ25" s="183"/>
      <c r="AK25" s="183"/>
      <c r="AL25" s="183"/>
      <c r="AM25" s="182" t="str">
        <f>CONCATENATE("Pre-Treatment - score = ",$I$12,IF($M$12="Pre-Contemplative"," (PC)",IF($M$12="Contemplative"," (C)",IF($M$12="Preparation"," (P)",IF($M$12="Action"," (A)",IF($M$12="Maintenance"," (M)"," (-)"))))))</f>
        <v>Pre-Treatment - score = -- (-)</v>
      </c>
      <c r="AN25" s="183"/>
      <c r="AO25" s="183"/>
      <c r="AP25" s="183"/>
      <c r="AQ25" s="182" t="str">
        <f>CONCATENATE("Post-Treatment - score = ",$I$35,IF($M$35="Pre-Contemplative"," (PC)",IF($M$35="Contemplative"," (C)",IF($M$35="Preparation"," (P)",IF($M$35="Action"," (A)",IF($M$35="Maintenance"," (M)"," (-)"))))))</f>
        <v>Post-Treatment - score = -- (-)</v>
      </c>
      <c r="AR25" s="183"/>
      <c r="AS25" s="183"/>
      <c r="AT25" s="183"/>
      <c r="AU25" s="182" t="str">
        <f>CONCATENATE("Pre-Treatment - score = ",$I$14,IF($M$14="Pre-Contemplative"," (PC)",IF($M$14="Contemplative"," (C)",IF($M$14="Preparation"," (P)",IF($M$14="Action"," (A)",IF($M$14="Maintenance"," (M)"," (-)"))))))</f>
        <v>Pre-Treatment - score = -- (-)</v>
      </c>
      <c r="AV25" s="183"/>
      <c r="AW25" s="183"/>
      <c r="AX25" s="183"/>
      <c r="AY25" s="182" t="str">
        <f>CONCATENATE("Post-Treatment - score = ",$I$37,IF($M$37="Pre-Contemplative"," (PC)",IF($M$37="Contemplative"," (C)",IF($M$37="Preparation"," (P)",IF($M$37="Action"," (A)",IF($M$37="Maintenance"," (M)"," (-)"))))))</f>
        <v>Post-Treatment - score = -- (-)</v>
      </c>
      <c r="AZ25" s="183"/>
      <c r="BA25" s="183"/>
      <c r="BB25" s="183"/>
      <c r="BC25" s="182" t="str">
        <f>CONCATENATE("Pre-Treatment - score = ",$I$16,IF($M$16="Pre-Contemplative"," (PC)",IF($M$16="Contemplative"," (C)",IF($M$16="Preparation"," (P)",IF($M$16="Action"," (A)",IF($M$16="Maintenance"," (M)"," (-)"))))))</f>
        <v>Pre-Treatment - score = -- (-)</v>
      </c>
      <c r="BD25" s="183"/>
      <c r="BE25" s="183"/>
      <c r="BF25" s="183"/>
      <c r="BG25" s="182" t="str">
        <f>CONCATENATE("Post-Treatment - score = ",$I$39,IF($M$39="Pre-Contemplative"," (PC)",IF($M$39="Contemplative"," (C)",IF($M$39="Preparation"," (P)",IF($M$39="Action"," (A)",IF($M$39="Maintenance"," (M)"," (-)"))))))</f>
        <v>Post-Treatment - score = -- (-)</v>
      </c>
      <c r="BH25" s="183"/>
      <c r="BI25" s="183"/>
      <c r="BJ25" s="183"/>
      <c r="BK25" s="182" t="str">
        <f>CONCATENATE("Pre-Treatment - score = ",$I$18,IF($M$18="Pre-Contemplative"," (PC)",IF($M$18="Contemplative"," (C)",IF($M$18="Preparation"," (P)",IF($M$18="Action"," (A)",IF($M$18="Maintenance"," (M)"," (-)"))))))</f>
        <v>Pre-Treatment - score = -- (-)</v>
      </c>
      <c r="BL25" s="183"/>
      <c r="BM25" s="183"/>
      <c r="BN25" s="183"/>
      <c r="BO25" s="182" t="str">
        <f>CONCATENATE("Post-Treatment - score = ",$I$41,IF($M$41="Pre-Contemplative"," (PC)",IF($M$41="Contemplative"," (C)",IF($M$41="Preparation"," (P)",IF($M$41="Action"," (A)",IF($M$41="Maintenance"," (M)"," (-)"))))))</f>
        <v>Post-Treatment - score = -- (-)</v>
      </c>
      <c r="BP25" s="183"/>
      <c r="BQ25" s="183"/>
      <c r="BR25" s="183"/>
      <c r="BS25" s="182" t="str">
        <f>CONCATENATE("Pre-Treatment - score = ",$I$20,IF($M$20="Pre-Contemplative"," (PC)",IF($M$20="Contemplative"," (C)",IF($M$20="Preparation"," (P)",IF($M$20="Action"," (A)",IF($M$20="Maintenance"," (M)"," (-)"))))))</f>
        <v>Pre-Treatment - score = -- (-)</v>
      </c>
      <c r="BT25" s="183"/>
      <c r="BU25" s="183"/>
      <c r="BV25" s="183"/>
      <c r="BW25" s="182" t="str">
        <f>CONCATENATE("Post-Treatment - score = ",$I$43,IF($M$43="Pre-Contemplative"," (PC)",IF($M$43="Contemplative"," (C)",IF($M$43="Preparation"," (P)",IF($M$43="Action"," (A)",IF($M$43="Maintenance"," (M)"," (-)"))))))</f>
        <v>Post-Treatment - score = -- (-)</v>
      </c>
      <c r="BX25" s="183"/>
      <c r="BY25" s="183"/>
      <c r="BZ25" s="183"/>
      <c r="CA25" s="175"/>
      <c r="CB25" s="175"/>
      <c r="CC25" s="175"/>
      <c r="CD25" s="175"/>
      <c r="CE25" s="175"/>
      <c r="CF25" s="175"/>
      <c r="CG25" s="175"/>
      <c r="CH25" s="175"/>
    </row>
    <row r="26" spans="1:86" ht="15" x14ac:dyDescent="0.25">
      <c r="A26" s="205"/>
      <c r="D26" s="213"/>
      <c r="E26" s="214"/>
      <c r="F26" s="215"/>
      <c r="H26" s="193" t="s">
        <v>160</v>
      </c>
      <c r="I26" s="180"/>
      <c r="J26" s="180"/>
      <c r="K26" s="180"/>
      <c r="L26" s="180"/>
      <c r="M26" s="180"/>
      <c r="N26" s="194"/>
      <c r="O26" s="184">
        <f>'D2'!A7</f>
        <v>0</v>
      </c>
      <c r="P26" s="185"/>
      <c r="Q26" s="185"/>
      <c r="R26" s="186"/>
      <c r="S26" s="184">
        <f>'D2'!C7</f>
        <v>0</v>
      </c>
      <c r="T26" s="185"/>
      <c r="U26" s="185"/>
      <c r="V26" s="186"/>
      <c r="W26" s="184">
        <f>'D4'!A7</f>
        <v>0</v>
      </c>
      <c r="X26" s="185"/>
      <c r="Y26" s="185"/>
      <c r="Z26" s="186"/>
      <c r="AA26" s="184">
        <f>'D4'!C7</f>
        <v>0</v>
      </c>
      <c r="AB26" s="185"/>
      <c r="AC26" s="185"/>
      <c r="AD26" s="186"/>
      <c r="AE26" s="184">
        <f>'D6'!A7</f>
        <v>0</v>
      </c>
      <c r="AF26" s="185"/>
      <c r="AG26" s="185"/>
      <c r="AH26" s="186"/>
      <c r="AI26" s="184">
        <f>'D6'!C7</f>
        <v>0</v>
      </c>
      <c r="AJ26" s="185"/>
      <c r="AK26" s="185"/>
      <c r="AL26" s="186"/>
      <c r="AM26" s="184">
        <f>'D8'!A7</f>
        <v>0</v>
      </c>
      <c r="AN26" s="185"/>
      <c r="AO26" s="185"/>
      <c r="AP26" s="186"/>
      <c r="AQ26" s="184">
        <f>'D8'!C7</f>
        <v>0</v>
      </c>
      <c r="AR26" s="185"/>
      <c r="AS26" s="185"/>
      <c r="AT26" s="186"/>
      <c r="AU26" s="184">
        <f>'D10'!A7</f>
        <v>0</v>
      </c>
      <c r="AV26" s="185"/>
      <c r="AW26" s="185"/>
      <c r="AX26" s="186"/>
      <c r="AY26" s="184">
        <f>'D10'!C7</f>
        <v>0</v>
      </c>
      <c r="AZ26" s="185"/>
      <c r="BA26" s="185"/>
      <c r="BB26" s="186"/>
      <c r="BC26" s="184">
        <f>'D12'!A7</f>
        <v>0</v>
      </c>
      <c r="BD26" s="185"/>
      <c r="BE26" s="185"/>
      <c r="BF26" s="186"/>
      <c r="BG26" s="184">
        <f>'D12'!C7</f>
        <v>0</v>
      </c>
      <c r="BH26" s="185"/>
      <c r="BI26" s="185"/>
      <c r="BJ26" s="186"/>
      <c r="BK26" s="184">
        <f>'D14'!A7</f>
        <v>0</v>
      </c>
      <c r="BL26" s="185"/>
      <c r="BM26" s="185"/>
      <c r="BN26" s="186"/>
      <c r="BO26" s="184">
        <f>'D14'!C7</f>
        <v>0</v>
      </c>
      <c r="BP26" s="185"/>
      <c r="BQ26" s="185"/>
      <c r="BR26" s="186"/>
      <c r="BS26" s="184">
        <f>'D16'!A7</f>
        <v>0</v>
      </c>
      <c r="BT26" s="185"/>
      <c r="BU26" s="185"/>
      <c r="BV26" s="186"/>
      <c r="BW26" s="184">
        <f>'D16'!C7</f>
        <v>0</v>
      </c>
      <c r="BX26" s="185"/>
      <c r="BY26" s="185"/>
      <c r="BZ26" s="186"/>
      <c r="CA26" s="176"/>
      <c r="CB26" s="176"/>
      <c r="CC26" s="176"/>
      <c r="CD26" s="176"/>
      <c r="CE26" s="176"/>
      <c r="CF26" s="176"/>
      <c r="CG26" s="176"/>
      <c r="CH26" s="176"/>
    </row>
    <row r="27" spans="1:86" ht="15" x14ac:dyDescent="0.25">
      <c r="A27" s="205"/>
      <c r="D27" s="213"/>
      <c r="E27" s="214"/>
      <c r="F27" s="215"/>
      <c r="H27" s="103"/>
      <c r="I27" s="141" t="s">
        <v>159</v>
      </c>
      <c r="J27" s="141" t="s">
        <v>128</v>
      </c>
      <c r="K27" s="141" t="s">
        <v>129</v>
      </c>
      <c r="L27" s="141" t="s">
        <v>130</v>
      </c>
      <c r="M27" s="141" t="s">
        <v>51</v>
      </c>
      <c r="N27" s="143" t="s">
        <v>161</v>
      </c>
      <c r="O27" s="187"/>
      <c r="P27" s="188"/>
      <c r="Q27" s="188"/>
      <c r="R27" s="189"/>
      <c r="S27" s="187"/>
      <c r="T27" s="188"/>
      <c r="U27" s="188"/>
      <c r="V27" s="189"/>
      <c r="W27" s="187"/>
      <c r="X27" s="188"/>
      <c r="Y27" s="188"/>
      <c r="Z27" s="189"/>
      <c r="AA27" s="187"/>
      <c r="AB27" s="188"/>
      <c r="AC27" s="188"/>
      <c r="AD27" s="189"/>
      <c r="AE27" s="187"/>
      <c r="AF27" s="188"/>
      <c r="AG27" s="188"/>
      <c r="AH27" s="189"/>
      <c r="AI27" s="187"/>
      <c r="AJ27" s="188"/>
      <c r="AK27" s="188"/>
      <c r="AL27" s="189"/>
      <c r="AM27" s="187"/>
      <c r="AN27" s="188"/>
      <c r="AO27" s="188"/>
      <c r="AP27" s="189"/>
      <c r="AQ27" s="187"/>
      <c r="AR27" s="188"/>
      <c r="AS27" s="188"/>
      <c r="AT27" s="189"/>
      <c r="AU27" s="187"/>
      <c r="AV27" s="188"/>
      <c r="AW27" s="188"/>
      <c r="AX27" s="189"/>
      <c r="AY27" s="187"/>
      <c r="AZ27" s="188"/>
      <c r="BA27" s="188"/>
      <c r="BB27" s="189"/>
      <c r="BC27" s="187"/>
      <c r="BD27" s="188"/>
      <c r="BE27" s="188"/>
      <c r="BF27" s="189"/>
      <c r="BG27" s="187"/>
      <c r="BH27" s="188"/>
      <c r="BI27" s="188"/>
      <c r="BJ27" s="189"/>
      <c r="BK27" s="187"/>
      <c r="BL27" s="188"/>
      <c r="BM27" s="188"/>
      <c r="BN27" s="189"/>
      <c r="BO27" s="187"/>
      <c r="BP27" s="188"/>
      <c r="BQ27" s="188"/>
      <c r="BR27" s="189"/>
      <c r="BS27" s="187"/>
      <c r="BT27" s="188"/>
      <c r="BU27" s="188"/>
      <c r="BV27" s="189"/>
      <c r="BW27" s="187"/>
      <c r="BX27" s="188"/>
      <c r="BY27" s="188"/>
      <c r="BZ27" s="189"/>
      <c r="CA27" s="176"/>
      <c r="CB27" s="176"/>
      <c r="CC27" s="176"/>
      <c r="CD27" s="176"/>
      <c r="CE27" s="176"/>
      <c r="CF27" s="176"/>
      <c r="CG27" s="176"/>
      <c r="CH27" s="176"/>
    </row>
    <row r="28" spans="1:86" x14ac:dyDescent="0.2">
      <c r="A28" s="205"/>
      <c r="D28" s="213"/>
      <c r="E28" s="214"/>
      <c r="F28" s="215"/>
      <c r="H28" s="83" t="s">
        <v>114</v>
      </c>
      <c r="I28" s="106" t="str">
        <f>IF(AND('Summary Report'!J15&gt;=-5,'Summary Report'!J15&lt;=5),'Summary Report'!J15,"--")</f>
        <v>--</v>
      </c>
      <c r="J28" s="106" t="str">
        <f t="shared" ref="J28:J30" si="6">I28</f>
        <v>--</v>
      </c>
      <c r="K28" s="107"/>
      <c r="L28" s="108"/>
      <c r="M28" s="97" t="str">
        <f>'Summary Report'!I15</f>
        <v/>
      </c>
      <c r="N28" s="113" t="str">
        <f>IF(AND(ISNUMBER(I5),ISNUMBER(I28)),I5-I28,"--")</f>
        <v>--</v>
      </c>
      <c r="O28" s="187"/>
      <c r="P28" s="188"/>
      <c r="Q28" s="188"/>
      <c r="R28" s="189"/>
      <c r="S28" s="187"/>
      <c r="T28" s="188"/>
      <c r="U28" s="188"/>
      <c r="V28" s="189"/>
      <c r="W28" s="187"/>
      <c r="X28" s="188"/>
      <c r="Y28" s="188"/>
      <c r="Z28" s="189"/>
      <c r="AA28" s="187"/>
      <c r="AB28" s="188"/>
      <c r="AC28" s="188"/>
      <c r="AD28" s="189"/>
      <c r="AE28" s="187"/>
      <c r="AF28" s="188"/>
      <c r="AG28" s="188"/>
      <c r="AH28" s="189"/>
      <c r="AI28" s="187"/>
      <c r="AJ28" s="188"/>
      <c r="AK28" s="188"/>
      <c r="AL28" s="189"/>
      <c r="AM28" s="187"/>
      <c r="AN28" s="188"/>
      <c r="AO28" s="188"/>
      <c r="AP28" s="189"/>
      <c r="AQ28" s="187"/>
      <c r="AR28" s="188"/>
      <c r="AS28" s="188"/>
      <c r="AT28" s="189"/>
      <c r="AU28" s="187"/>
      <c r="AV28" s="188"/>
      <c r="AW28" s="188"/>
      <c r="AX28" s="189"/>
      <c r="AY28" s="187"/>
      <c r="AZ28" s="188"/>
      <c r="BA28" s="188"/>
      <c r="BB28" s="189"/>
      <c r="BC28" s="187"/>
      <c r="BD28" s="188"/>
      <c r="BE28" s="188"/>
      <c r="BF28" s="189"/>
      <c r="BG28" s="187"/>
      <c r="BH28" s="188"/>
      <c r="BI28" s="188"/>
      <c r="BJ28" s="189"/>
      <c r="BK28" s="187"/>
      <c r="BL28" s="188"/>
      <c r="BM28" s="188"/>
      <c r="BN28" s="189"/>
      <c r="BO28" s="187"/>
      <c r="BP28" s="188"/>
      <c r="BQ28" s="188"/>
      <c r="BR28" s="189"/>
      <c r="BS28" s="187"/>
      <c r="BT28" s="188"/>
      <c r="BU28" s="188"/>
      <c r="BV28" s="189"/>
      <c r="BW28" s="187"/>
      <c r="BX28" s="188"/>
      <c r="BY28" s="188"/>
      <c r="BZ28" s="189"/>
      <c r="CA28" s="176"/>
      <c r="CB28" s="176"/>
      <c r="CC28" s="176"/>
      <c r="CD28" s="176"/>
      <c r="CE28" s="176"/>
      <c r="CF28" s="176"/>
      <c r="CG28" s="176"/>
      <c r="CH28" s="176"/>
    </row>
    <row r="29" spans="1:86" x14ac:dyDescent="0.2">
      <c r="A29" s="205"/>
      <c r="D29" s="213"/>
      <c r="E29" s="214"/>
      <c r="F29" s="215"/>
      <c r="H29" s="83" t="s">
        <v>153</v>
      </c>
      <c r="I29" s="109" t="str">
        <f>IF(AND('Summary Report'!J16&gt;=-5,'Summary Report'!J16&lt;=5),'Summary Report'!J16,"--")</f>
        <v>--</v>
      </c>
      <c r="J29" s="109" t="str">
        <f t="shared" si="6"/>
        <v>--</v>
      </c>
      <c r="K29" s="110"/>
      <c r="L29" s="111"/>
      <c r="M29" s="97" t="str">
        <f>'Summary Report'!I16</f>
        <v/>
      </c>
      <c r="N29" s="114" t="str">
        <f t="shared" ref="N29:N44" si="7">IF(AND(ISNUMBER(I6),ISNUMBER(I29)),I6-I29,"--")</f>
        <v>--</v>
      </c>
      <c r="O29" s="187"/>
      <c r="P29" s="188"/>
      <c r="Q29" s="188"/>
      <c r="R29" s="189"/>
      <c r="S29" s="187"/>
      <c r="T29" s="188"/>
      <c r="U29" s="188"/>
      <c r="V29" s="189"/>
      <c r="W29" s="187"/>
      <c r="X29" s="188"/>
      <c r="Y29" s="188"/>
      <c r="Z29" s="189"/>
      <c r="AA29" s="187"/>
      <c r="AB29" s="188"/>
      <c r="AC29" s="188"/>
      <c r="AD29" s="189"/>
      <c r="AE29" s="187"/>
      <c r="AF29" s="188"/>
      <c r="AG29" s="188"/>
      <c r="AH29" s="189"/>
      <c r="AI29" s="187"/>
      <c r="AJ29" s="188"/>
      <c r="AK29" s="188"/>
      <c r="AL29" s="189"/>
      <c r="AM29" s="187"/>
      <c r="AN29" s="188"/>
      <c r="AO29" s="188"/>
      <c r="AP29" s="189"/>
      <c r="AQ29" s="187"/>
      <c r="AR29" s="188"/>
      <c r="AS29" s="188"/>
      <c r="AT29" s="189"/>
      <c r="AU29" s="187"/>
      <c r="AV29" s="188"/>
      <c r="AW29" s="188"/>
      <c r="AX29" s="189"/>
      <c r="AY29" s="187"/>
      <c r="AZ29" s="188"/>
      <c r="BA29" s="188"/>
      <c r="BB29" s="189"/>
      <c r="BC29" s="187"/>
      <c r="BD29" s="188"/>
      <c r="BE29" s="188"/>
      <c r="BF29" s="189"/>
      <c r="BG29" s="187"/>
      <c r="BH29" s="188"/>
      <c r="BI29" s="188"/>
      <c r="BJ29" s="189"/>
      <c r="BK29" s="187"/>
      <c r="BL29" s="188"/>
      <c r="BM29" s="188"/>
      <c r="BN29" s="189"/>
      <c r="BO29" s="187"/>
      <c r="BP29" s="188"/>
      <c r="BQ29" s="188"/>
      <c r="BR29" s="189"/>
      <c r="BS29" s="187"/>
      <c r="BT29" s="188"/>
      <c r="BU29" s="188"/>
      <c r="BV29" s="189"/>
      <c r="BW29" s="187"/>
      <c r="BX29" s="188"/>
      <c r="BY29" s="188"/>
      <c r="BZ29" s="189"/>
      <c r="CA29" s="176"/>
      <c r="CB29" s="176"/>
      <c r="CC29" s="176"/>
      <c r="CD29" s="176"/>
      <c r="CE29" s="176"/>
      <c r="CF29" s="176"/>
      <c r="CG29" s="176"/>
      <c r="CH29" s="176"/>
    </row>
    <row r="30" spans="1:86" x14ac:dyDescent="0.2">
      <c r="A30" s="206"/>
      <c r="D30" s="216"/>
      <c r="E30" s="217"/>
      <c r="F30" s="218"/>
      <c r="H30" s="83" t="s">
        <v>115</v>
      </c>
      <c r="I30" s="109" t="str">
        <f>IF(AND('Summary Report'!J17&gt;=-5,'Summary Report'!J17&lt;=5),'Summary Report'!J17,"--")</f>
        <v>--</v>
      </c>
      <c r="J30" s="109" t="str">
        <f t="shared" si="6"/>
        <v>--</v>
      </c>
      <c r="K30" s="110"/>
      <c r="L30" s="111"/>
      <c r="M30" s="97" t="str">
        <f>'Summary Report'!I17</f>
        <v/>
      </c>
      <c r="N30" s="114" t="str">
        <f t="shared" si="7"/>
        <v>--</v>
      </c>
      <c r="O30" s="187"/>
      <c r="P30" s="188"/>
      <c r="Q30" s="188"/>
      <c r="R30" s="189"/>
      <c r="S30" s="187"/>
      <c r="T30" s="188"/>
      <c r="U30" s="188"/>
      <c r="V30" s="189"/>
      <c r="W30" s="187"/>
      <c r="X30" s="188"/>
      <c r="Y30" s="188"/>
      <c r="Z30" s="189"/>
      <c r="AA30" s="187"/>
      <c r="AB30" s="188"/>
      <c r="AC30" s="188"/>
      <c r="AD30" s="189"/>
      <c r="AE30" s="187"/>
      <c r="AF30" s="188"/>
      <c r="AG30" s="188"/>
      <c r="AH30" s="189"/>
      <c r="AI30" s="187"/>
      <c r="AJ30" s="188"/>
      <c r="AK30" s="188"/>
      <c r="AL30" s="189"/>
      <c r="AM30" s="187"/>
      <c r="AN30" s="188"/>
      <c r="AO30" s="188"/>
      <c r="AP30" s="189"/>
      <c r="AQ30" s="187"/>
      <c r="AR30" s="188"/>
      <c r="AS30" s="188"/>
      <c r="AT30" s="189"/>
      <c r="AU30" s="187"/>
      <c r="AV30" s="188"/>
      <c r="AW30" s="188"/>
      <c r="AX30" s="189"/>
      <c r="AY30" s="187"/>
      <c r="AZ30" s="188"/>
      <c r="BA30" s="188"/>
      <c r="BB30" s="189"/>
      <c r="BC30" s="187"/>
      <c r="BD30" s="188"/>
      <c r="BE30" s="188"/>
      <c r="BF30" s="189"/>
      <c r="BG30" s="187"/>
      <c r="BH30" s="188"/>
      <c r="BI30" s="188"/>
      <c r="BJ30" s="189"/>
      <c r="BK30" s="187"/>
      <c r="BL30" s="188"/>
      <c r="BM30" s="188"/>
      <c r="BN30" s="189"/>
      <c r="BO30" s="187"/>
      <c r="BP30" s="188"/>
      <c r="BQ30" s="188"/>
      <c r="BR30" s="189"/>
      <c r="BS30" s="187"/>
      <c r="BT30" s="188"/>
      <c r="BU30" s="188"/>
      <c r="BV30" s="189"/>
      <c r="BW30" s="187"/>
      <c r="BX30" s="188"/>
      <c r="BY30" s="188"/>
      <c r="BZ30" s="189"/>
      <c r="CA30" s="176"/>
      <c r="CB30" s="176"/>
      <c r="CC30" s="176"/>
      <c r="CD30" s="176"/>
      <c r="CE30" s="176"/>
      <c r="CF30" s="176"/>
      <c r="CG30" s="176"/>
      <c r="CH30" s="176"/>
    </row>
    <row r="31" spans="1:86" x14ac:dyDescent="0.2">
      <c r="H31" s="83" t="s">
        <v>116</v>
      </c>
      <c r="I31" s="109" t="str">
        <f>IF(AND('Summary Report'!J18&gt;=-5,'Summary Report'!J18&lt;=5),'Summary Report'!J18,"--")</f>
        <v>--</v>
      </c>
      <c r="J31" s="109"/>
      <c r="K31" s="110" t="str">
        <f>I31</f>
        <v>--</v>
      </c>
      <c r="L31" s="111"/>
      <c r="M31" s="97" t="str">
        <f>'Summary Report'!I18</f>
        <v/>
      </c>
      <c r="N31" s="114" t="str">
        <f t="shared" si="7"/>
        <v>--</v>
      </c>
      <c r="O31" s="187"/>
      <c r="P31" s="188"/>
      <c r="Q31" s="188"/>
      <c r="R31" s="189"/>
      <c r="S31" s="187"/>
      <c r="T31" s="188"/>
      <c r="U31" s="188"/>
      <c r="V31" s="189"/>
      <c r="W31" s="187"/>
      <c r="X31" s="188"/>
      <c r="Y31" s="188"/>
      <c r="Z31" s="189"/>
      <c r="AA31" s="187"/>
      <c r="AB31" s="188"/>
      <c r="AC31" s="188"/>
      <c r="AD31" s="189"/>
      <c r="AE31" s="187"/>
      <c r="AF31" s="188"/>
      <c r="AG31" s="188"/>
      <c r="AH31" s="189"/>
      <c r="AI31" s="187"/>
      <c r="AJ31" s="188"/>
      <c r="AK31" s="188"/>
      <c r="AL31" s="189"/>
      <c r="AM31" s="187"/>
      <c r="AN31" s="188"/>
      <c r="AO31" s="188"/>
      <c r="AP31" s="189"/>
      <c r="AQ31" s="187"/>
      <c r="AR31" s="188"/>
      <c r="AS31" s="188"/>
      <c r="AT31" s="189"/>
      <c r="AU31" s="187"/>
      <c r="AV31" s="188"/>
      <c r="AW31" s="188"/>
      <c r="AX31" s="189"/>
      <c r="AY31" s="187"/>
      <c r="AZ31" s="188"/>
      <c r="BA31" s="188"/>
      <c r="BB31" s="189"/>
      <c r="BC31" s="187"/>
      <c r="BD31" s="188"/>
      <c r="BE31" s="188"/>
      <c r="BF31" s="189"/>
      <c r="BG31" s="187"/>
      <c r="BH31" s="188"/>
      <c r="BI31" s="188"/>
      <c r="BJ31" s="189"/>
      <c r="BK31" s="187"/>
      <c r="BL31" s="188"/>
      <c r="BM31" s="188"/>
      <c r="BN31" s="189"/>
      <c r="BO31" s="187"/>
      <c r="BP31" s="188"/>
      <c r="BQ31" s="188"/>
      <c r="BR31" s="189"/>
      <c r="BS31" s="187"/>
      <c r="BT31" s="188"/>
      <c r="BU31" s="188"/>
      <c r="BV31" s="189"/>
      <c r="BW31" s="187"/>
      <c r="BX31" s="188"/>
      <c r="BY31" s="188"/>
      <c r="BZ31" s="189"/>
      <c r="CA31" s="176"/>
      <c r="CB31" s="176"/>
      <c r="CC31" s="176"/>
      <c r="CD31" s="176"/>
      <c r="CE31" s="176"/>
      <c r="CF31" s="176"/>
      <c r="CG31" s="176"/>
      <c r="CH31" s="176"/>
    </row>
    <row r="32" spans="1:86" x14ac:dyDescent="0.2">
      <c r="H32" s="83" t="s">
        <v>117</v>
      </c>
      <c r="I32" s="109" t="str">
        <f>IF(AND('Summary Report'!J19&gt;=-5,'Summary Report'!J19&lt;=5),'Summary Report'!J19,"--")</f>
        <v>--</v>
      </c>
      <c r="J32" s="109"/>
      <c r="K32" s="110"/>
      <c r="L32" s="111" t="str">
        <f>I32</f>
        <v>--</v>
      </c>
      <c r="M32" s="97" t="str">
        <f>'Summary Report'!I19</f>
        <v/>
      </c>
      <c r="N32" s="114" t="str">
        <f t="shared" si="7"/>
        <v>--</v>
      </c>
      <c r="O32" s="187"/>
      <c r="P32" s="188"/>
      <c r="Q32" s="188"/>
      <c r="R32" s="189"/>
      <c r="S32" s="187"/>
      <c r="T32" s="188"/>
      <c r="U32" s="188"/>
      <c r="V32" s="189"/>
      <c r="W32" s="187"/>
      <c r="X32" s="188"/>
      <c r="Y32" s="188"/>
      <c r="Z32" s="189"/>
      <c r="AA32" s="187"/>
      <c r="AB32" s="188"/>
      <c r="AC32" s="188"/>
      <c r="AD32" s="189"/>
      <c r="AE32" s="187"/>
      <c r="AF32" s="188"/>
      <c r="AG32" s="188"/>
      <c r="AH32" s="189"/>
      <c r="AI32" s="187"/>
      <c r="AJ32" s="188"/>
      <c r="AK32" s="188"/>
      <c r="AL32" s="189"/>
      <c r="AM32" s="187"/>
      <c r="AN32" s="188"/>
      <c r="AO32" s="188"/>
      <c r="AP32" s="189"/>
      <c r="AQ32" s="187"/>
      <c r="AR32" s="188"/>
      <c r="AS32" s="188"/>
      <c r="AT32" s="189"/>
      <c r="AU32" s="187"/>
      <c r="AV32" s="188"/>
      <c r="AW32" s="188"/>
      <c r="AX32" s="189"/>
      <c r="AY32" s="187"/>
      <c r="AZ32" s="188"/>
      <c r="BA32" s="188"/>
      <c r="BB32" s="189"/>
      <c r="BC32" s="187"/>
      <c r="BD32" s="188"/>
      <c r="BE32" s="188"/>
      <c r="BF32" s="189"/>
      <c r="BG32" s="187"/>
      <c r="BH32" s="188"/>
      <c r="BI32" s="188"/>
      <c r="BJ32" s="189"/>
      <c r="BK32" s="187"/>
      <c r="BL32" s="188"/>
      <c r="BM32" s="188"/>
      <c r="BN32" s="189"/>
      <c r="BO32" s="187"/>
      <c r="BP32" s="188"/>
      <c r="BQ32" s="188"/>
      <c r="BR32" s="189"/>
      <c r="BS32" s="187"/>
      <c r="BT32" s="188"/>
      <c r="BU32" s="188"/>
      <c r="BV32" s="189"/>
      <c r="BW32" s="187"/>
      <c r="BX32" s="188"/>
      <c r="BY32" s="188"/>
      <c r="BZ32" s="189"/>
      <c r="CA32" s="176"/>
      <c r="CB32" s="176"/>
      <c r="CC32" s="176"/>
      <c r="CD32" s="176"/>
      <c r="CE32" s="176"/>
      <c r="CF32" s="176"/>
      <c r="CG32" s="176"/>
      <c r="CH32" s="176"/>
    </row>
    <row r="33" spans="1:86" x14ac:dyDescent="0.2">
      <c r="H33" s="83" t="s">
        <v>118</v>
      </c>
      <c r="I33" s="109" t="str">
        <f>IF(AND('Summary Report'!J20&gt;=-5,'Summary Report'!J20&lt;=5),'Summary Report'!J20,"--")</f>
        <v>--</v>
      </c>
      <c r="J33" s="109"/>
      <c r="K33" s="110" t="str">
        <f>I33</f>
        <v>--</v>
      </c>
      <c r="L33" s="111"/>
      <c r="M33" s="97" t="str">
        <f>'Summary Report'!I20</f>
        <v/>
      </c>
      <c r="N33" s="114" t="str">
        <f t="shared" si="7"/>
        <v>--</v>
      </c>
      <c r="O33" s="187"/>
      <c r="P33" s="188"/>
      <c r="Q33" s="188"/>
      <c r="R33" s="189"/>
      <c r="S33" s="187"/>
      <c r="T33" s="188"/>
      <c r="U33" s="188"/>
      <c r="V33" s="189"/>
      <c r="W33" s="187"/>
      <c r="X33" s="188"/>
      <c r="Y33" s="188"/>
      <c r="Z33" s="189"/>
      <c r="AA33" s="187"/>
      <c r="AB33" s="188"/>
      <c r="AC33" s="188"/>
      <c r="AD33" s="189"/>
      <c r="AE33" s="187"/>
      <c r="AF33" s="188"/>
      <c r="AG33" s="188"/>
      <c r="AH33" s="189"/>
      <c r="AI33" s="187"/>
      <c r="AJ33" s="188"/>
      <c r="AK33" s="188"/>
      <c r="AL33" s="189"/>
      <c r="AM33" s="187"/>
      <c r="AN33" s="188"/>
      <c r="AO33" s="188"/>
      <c r="AP33" s="189"/>
      <c r="AQ33" s="187"/>
      <c r="AR33" s="188"/>
      <c r="AS33" s="188"/>
      <c r="AT33" s="189"/>
      <c r="AU33" s="187"/>
      <c r="AV33" s="188"/>
      <c r="AW33" s="188"/>
      <c r="AX33" s="189"/>
      <c r="AY33" s="187"/>
      <c r="AZ33" s="188"/>
      <c r="BA33" s="188"/>
      <c r="BB33" s="189"/>
      <c r="BC33" s="187"/>
      <c r="BD33" s="188"/>
      <c r="BE33" s="188"/>
      <c r="BF33" s="189"/>
      <c r="BG33" s="187"/>
      <c r="BH33" s="188"/>
      <c r="BI33" s="188"/>
      <c r="BJ33" s="189"/>
      <c r="BK33" s="187"/>
      <c r="BL33" s="188"/>
      <c r="BM33" s="188"/>
      <c r="BN33" s="189"/>
      <c r="BO33" s="187"/>
      <c r="BP33" s="188"/>
      <c r="BQ33" s="188"/>
      <c r="BR33" s="189"/>
      <c r="BS33" s="187"/>
      <c r="BT33" s="188"/>
      <c r="BU33" s="188"/>
      <c r="BV33" s="189"/>
      <c r="BW33" s="187"/>
      <c r="BX33" s="188"/>
      <c r="BY33" s="188"/>
      <c r="BZ33" s="189"/>
      <c r="CA33" s="176"/>
      <c r="CB33" s="176"/>
      <c r="CC33" s="176"/>
      <c r="CD33" s="176"/>
      <c r="CE33" s="176"/>
      <c r="CF33" s="176"/>
      <c r="CG33" s="176"/>
      <c r="CH33" s="176"/>
    </row>
    <row r="34" spans="1:86" x14ac:dyDescent="0.2">
      <c r="H34" s="83" t="s">
        <v>119</v>
      </c>
      <c r="I34" s="109" t="str">
        <f>IF(AND('Summary Report'!J21&gt;=-5,'Summary Report'!J21&lt;=5),'Summary Report'!J21,"--")</f>
        <v>--</v>
      </c>
      <c r="J34" s="109"/>
      <c r="K34" s="110"/>
      <c r="L34" s="111"/>
      <c r="M34" s="97" t="str">
        <f>'Summary Report'!I21</f>
        <v/>
      </c>
      <c r="N34" s="114" t="str">
        <f t="shared" si="7"/>
        <v>--</v>
      </c>
      <c r="O34" s="187"/>
      <c r="P34" s="188"/>
      <c r="Q34" s="188"/>
      <c r="R34" s="189"/>
      <c r="S34" s="187"/>
      <c r="T34" s="188"/>
      <c r="U34" s="188"/>
      <c r="V34" s="189"/>
      <c r="W34" s="187"/>
      <c r="X34" s="188"/>
      <c r="Y34" s="188"/>
      <c r="Z34" s="189"/>
      <c r="AA34" s="187"/>
      <c r="AB34" s="188"/>
      <c r="AC34" s="188"/>
      <c r="AD34" s="189"/>
      <c r="AE34" s="187"/>
      <c r="AF34" s="188"/>
      <c r="AG34" s="188"/>
      <c r="AH34" s="189"/>
      <c r="AI34" s="187"/>
      <c r="AJ34" s="188"/>
      <c r="AK34" s="188"/>
      <c r="AL34" s="189"/>
      <c r="AM34" s="187"/>
      <c r="AN34" s="188"/>
      <c r="AO34" s="188"/>
      <c r="AP34" s="189"/>
      <c r="AQ34" s="187"/>
      <c r="AR34" s="188"/>
      <c r="AS34" s="188"/>
      <c r="AT34" s="189"/>
      <c r="AU34" s="187"/>
      <c r="AV34" s="188"/>
      <c r="AW34" s="188"/>
      <c r="AX34" s="189"/>
      <c r="AY34" s="187"/>
      <c r="AZ34" s="188"/>
      <c r="BA34" s="188"/>
      <c r="BB34" s="189"/>
      <c r="BC34" s="187"/>
      <c r="BD34" s="188"/>
      <c r="BE34" s="188"/>
      <c r="BF34" s="189"/>
      <c r="BG34" s="187"/>
      <c r="BH34" s="188"/>
      <c r="BI34" s="188"/>
      <c r="BJ34" s="189"/>
      <c r="BK34" s="187"/>
      <c r="BL34" s="188"/>
      <c r="BM34" s="188"/>
      <c r="BN34" s="189"/>
      <c r="BO34" s="187"/>
      <c r="BP34" s="188"/>
      <c r="BQ34" s="188"/>
      <c r="BR34" s="189"/>
      <c r="BS34" s="187"/>
      <c r="BT34" s="188"/>
      <c r="BU34" s="188"/>
      <c r="BV34" s="189"/>
      <c r="BW34" s="187"/>
      <c r="BX34" s="188"/>
      <c r="BY34" s="188"/>
      <c r="BZ34" s="189"/>
      <c r="CA34" s="176"/>
      <c r="CB34" s="176"/>
      <c r="CC34" s="176"/>
      <c r="CD34" s="176"/>
      <c r="CE34" s="176"/>
      <c r="CF34" s="176"/>
      <c r="CG34" s="176"/>
      <c r="CH34" s="176"/>
    </row>
    <row r="35" spans="1:86" x14ac:dyDescent="0.2">
      <c r="H35" s="83" t="s">
        <v>120</v>
      </c>
      <c r="I35" s="109" t="str">
        <f>IF(AND('Summary Report'!J22&gt;=-5,'Summary Report'!J22&lt;=5),'Summary Report'!J22,"--")</f>
        <v>--</v>
      </c>
      <c r="J35" s="109"/>
      <c r="K35" s="110"/>
      <c r="L35" s="111" t="str">
        <f>I35</f>
        <v>--</v>
      </c>
      <c r="M35" s="97" t="str">
        <f>'Summary Report'!I22</f>
        <v/>
      </c>
      <c r="N35" s="114" t="str">
        <f t="shared" si="7"/>
        <v>--</v>
      </c>
      <c r="O35" s="187"/>
      <c r="P35" s="188"/>
      <c r="Q35" s="188"/>
      <c r="R35" s="189"/>
      <c r="S35" s="187"/>
      <c r="T35" s="188"/>
      <c r="U35" s="188"/>
      <c r="V35" s="189"/>
      <c r="W35" s="187"/>
      <c r="X35" s="188"/>
      <c r="Y35" s="188"/>
      <c r="Z35" s="189"/>
      <c r="AA35" s="187"/>
      <c r="AB35" s="188"/>
      <c r="AC35" s="188"/>
      <c r="AD35" s="189"/>
      <c r="AE35" s="187"/>
      <c r="AF35" s="188"/>
      <c r="AG35" s="188"/>
      <c r="AH35" s="189"/>
      <c r="AI35" s="187"/>
      <c r="AJ35" s="188"/>
      <c r="AK35" s="188"/>
      <c r="AL35" s="189"/>
      <c r="AM35" s="187"/>
      <c r="AN35" s="188"/>
      <c r="AO35" s="188"/>
      <c r="AP35" s="189"/>
      <c r="AQ35" s="187"/>
      <c r="AR35" s="188"/>
      <c r="AS35" s="188"/>
      <c r="AT35" s="189"/>
      <c r="AU35" s="187"/>
      <c r="AV35" s="188"/>
      <c r="AW35" s="188"/>
      <c r="AX35" s="189"/>
      <c r="AY35" s="187"/>
      <c r="AZ35" s="188"/>
      <c r="BA35" s="188"/>
      <c r="BB35" s="189"/>
      <c r="BC35" s="187"/>
      <c r="BD35" s="188"/>
      <c r="BE35" s="188"/>
      <c r="BF35" s="189"/>
      <c r="BG35" s="187"/>
      <c r="BH35" s="188"/>
      <c r="BI35" s="188"/>
      <c r="BJ35" s="189"/>
      <c r="BK35" s="187"/>
      <c r="BL35" s="188"/>
      <c r="BM35" s="188"/>
      <c r="BN35" s="189"/>
      <c r="BO35" s="187"/>
      <c r="BP35" s="188"/>
      <c r="BQ35" s="188"/>
      <c r="BR35" s="189"/>
      <c r="BS35" s="187"/>
      <c r="BT35" s="188"/>
      <c r="BU35" s="188"/>
      <c r="BV35" s="189"/>
      <c r="BW35" s="187"/>
      <c r="BX35" s="188"/>
      <c r="BY35" s="188"/>
      <c r="BZ35" s="189"/>
      <c r="CA35" s="176"/>
      <c r="CB35" s="176"/>
      <c r="CC35" s="176"/>
      <c r="CD35" s="176"/>
      <c r="CE35" s="176"/>
      <c r="CF35" s="176"/>
      <c r="CG35" s="176"/>
      <c r="CH35" s="176"/>
    </row>
    <row r="36" spans="1:86" x14ac:dyDescent="0.2">
      <c r="H36" s="83" t="s">
        <v>121</v>
      </c>
      <c r="I36" s="109" t="str">
        <f>IF(AND('Summary Report'!J23&gt;=-5,'Summary Report'!J23&lt;=5),'Summary Report'!J23,"--")</f>
        <v>--</v>
      </c>
      <c r="J36" s="109"/>
      <c r="K36" s="110" t="str">
        <f>I36</f>
        <v>--</v>
      </c>
      <c r="L36" s="111"/>
      <c r="M36" s="97" t="str">
        <f>'Summary Report'!I23</f>
        <v/>
      </c>
      <c r="N36" s="114" t="str">
        <f t="shared" si="7"/>
        <v>--</v>
      </c>
      <c r="O36" s="187"/>
      <c r="P36" s="188"/>
      <c r="Q36" s="188"/>
      <c r="R36" s="189"/>
      <c r="S36" s="187"/>
      <c r="T36" s="188"/>
      <c r="U36" s="188"/>
      <c r="V36" s="189"/>
      <c r="W36" s="187"/>
      <c r="X36" s="188"/>
      <c r="Y36" s="188"/>
      <c r="Z36" s="189"/>
      <c r="AA36" s="187"/>
      <c r="AB36" s="188"/>
      <c r="AC36" s="188"/>
      <c r="AD36" s="189"/>
      <c r="AE36" s="187"/>
      <c r="AF36" s="188"/>
      <c r="AG36" s="188"/>
      <c r="AH36" s="189"/>
      <c r="AI36" s="187"/>
      <c r="AJ36" s="188"/>
      <c r="AK36" s="188"/>
      <c r="AL36" s="189"/>
      <c r="AM36" s="187"/>
      <c r="AN36" s="188"/>
      <c r="AO36" s="188"/>
      <c r="AP36" s="189"/>
      <c r="AQ36" s="187"/>
      <c r="AR36" s="188"/>
      <c r="AS36" s="188"/>
      <c r="AT36" s="189"/>
      <c r="AU36" s="187"/>
      <c r="AV36" s="188"/>
      <c r="AW36" s="188"/>
      <c r="AX36" s="189"/>
      <c r="AY36" s="187"/>
      <c r="AZ36" s="188"/>
      <c r="BA36" s="188"/>
      <c r="BB36" s="189"/>
      <c r="BC36" s="187"/>
      <c r="BD36" s="188"/>
      <c r="BE36" s="188"/>
      <c r="BF36" s="189"/>
      <c r="BG36" s="187"/>
      <c r="BH36" s="188"/>
      <c r="BI36" s="188"/>
      <c r="BJ36" s="189"/>
      <c r="BK36" s="187"/>
      <c r="BL36" s="188"/>
      <c r="BM36" s="188"/>
      <c r="BN36" s="189"/>
      <c r="BO36" s="187"/>
      <c r="BP36" s="188"/>
      <c r="BQ36" s="188"/>
      <c r="BR36" s="189"/>
      <c r="BS36" s="187"/>
      <c r="BT36" s="188"/>
      <c r="BU36" s="188"/>
      <c r="BV36" s="189"/>
      <c r="BW36" s="187"/>
      <c r="BX36" s="188"/>
      <c r="BY36" s="188"/>
      <c r="BZ36" s="189"/>
      <c r="CA36" s="176"/>
      <c r="CB36" s="176"/>
      <c r="CC36" s="176"/>
      <c r="CD36" s="176"/>
      <c r="CE36" s="176"/>
      <c r="CF36" s="176"/>
      <c r="CG36" s="176"/>
      <c r="CH36" s="176"/>
    </row>
    <row r="37" spans="1:86" x14ac:dyDescent="0.2">
      <c r="H37" s="83" t="s">
        <v>154</v>
      </c>
      <c r="I37" s="109" t="str">
        <f>IF(AND('Summary Report'!J24&gt;=-5,'Summary Report'!J24&lt;=5),'Summary Report'!J24,"--")</f>
        <v>--</v>
      </c>
      <c r="J37" s="109"/>
      <c r="K37" s="110" t="str">
        <f>I37</f>
        <v>--</v>
      </c>
      <c r="L37" s="111"/>
      <c r="M37" s="97" t="str">
        <f>'Summary Report'!I24</f>
        <v/>
      </c>
      <c r="N37" s="114" t="str">
        <f t="shared" si="7"/>
        <v>--</v>
      </c>
      <c r="O37" s="187"/>
      <c r="P37" s="188"/>
      <c r="Q37" s="188"/>
      <c r="R37" s="189"/>
      <c r="S37" s="187"/>
      <c r="T37" s="188"/>
      <c r="U37" s="188"/>
      <c r="V37" s="189"/>
      <c r="W37" s="187"/>
      <c r="X37" s="188"/>
      <c r="Y37" s="188"/>
      <c r="Z37" s="189"/>
      <c r="AA37" s="187"/>
      <c r="AB37" s="188"/>
      <c r="AC37" s="188"/>
      <c r="AD37" s="189"/>
      <c r="AE37" s="187"/>
      <c r="AF37" s="188"/>
      <c r="AG37" s="188"/>
      <c r="AH37" s="189"/>
      <c r="AI37" s="187"/>
      <c r="AJ37" s="188"/>
      <c r="AK37" s="188"/>
      <c r="AL37" s="189"/>
      <c r="AM37" s="187"/>
      <c r="AN37" s="188"/>
      <c r="AO37" s="188"/>
      <c r="AP37" s="189"/>
      <c r="AQ37" s="187"/>
      <c r="AR37" s="188"/>
      <c r="AS37" s="188"/>
      <c r="AT37" s="189"/>
      <c r="AU37" s="187"/>
      <c r="AV37" s="188"/>
      <c r="AW37" s="188"/>
      <c r="AX37" s="189"/>
      <c r="AY37" s="187"/>
      <c r="AZ37" s="188"/>
      <c r="BA37" s="188"/>
      <c r="BB37" s="189"/>
      <c r="BC37" s="187"/>
      <c r="BD37" s="188"/>
      <c r="BE37" s="188"/>
      <c r="BF37" s="189"/>
      <c r="BG37" s="187"/>
      <c r="BH37" s="188"/>
      <c r="BI37" s="188"/>
      <c r="BJ37" s="189"/>
      <c r="BK37" s="187"/>
      <c r="BL37" s="188"/>
      <c r="BM37" s="188"/>
      <c r="BN37" s="189"/>
      <c r="BO37" s="187"/>
      <c r="BP37" s="188"/>
      <c r="BQ37" s="188"/>
      <c r="BR37" s="189"/>
      <c r="BS37" s="187"/>
      <c r="BT37" s="188"/>
      <c r="BU37" s="188"/>
      <c r="BV37" s="189"/>
      <c r="BW37" s="187"/>
      <c r="BX37" s="188"/>
      <c r="BY37" s="188"/>
      <c r="BZ37" s="189"/>
      <c r="CA37" s="176"/>
      <c r="CB37" s="176"/>
      <c r="CC37" s="176"/>
      <c r="CD37" s="176"/>
      <c r="CE37" s="176"/>
      <c r="CF37" s="176"/>
      <c r="CG37" s="176"/>
      <c r="CH37" s="176"/>
    </row>
    <row r="38" spans="1:86" x14ac:dyDescent="0.2">
      <c r="H38" s="83" t="s">
        <v>157</v>
      </c>
      <c r="I38" s="109" t="str">
        <f>IF(AND('Summary Report'!J25&gt;=-5,'Summary Report'!J25&lt;=5),'Summary Report'!J25,"--")</f>
        <v>--</v>
      </c>
      <c r="J38" s="109"/>
      <c r="K38" s="110"/>
      <c r="L38" s="111" t="str">
        <f>I38</f>
        <v>--</v>
      </c>
      <c r="M38" s="97" t="str">
        <f>'Summary Report'!I25</f>
        <v/>
      </c>
      <c r="N38" s="114" t="str">
        <f t="shared" si="7"/>
        <v>--</v>
      </c>
      <c r="O38" s="187"/>
      <c r="P38" s="188"/>
      <c r="Q38" s="188"/>
      <c r="R38" s="189"/>
      <c r="S38" s="187"/>
      <c r="T38" s="188"/>
      <c r="U38" s="188"/>
      <c r="V38" s="189"/>
      <c r="W38" s="187"/>
      <c r="X38" s="188"/>
      <c r="Y38" s="188"/>
      <c r="Z38" s="189"/>
      <c r="AA38" s="187"/>
      <c r="AB38" s="188"/>
      <c r="AC38" s="188"/>
      <c r="AD38" s="189"/>
      <c r="AE38" s="187"/>
      <c r="AF38" s="188"/>
      <c r="AG38" s="188"/>
      <c r="AH38" s="189"/>
      <c r="AI38" s="187"/>
      <c r="AJ38" s="188"/>
      <c r="AK38" s="188"/>
      <c r="AL38" s="189"/>
      <c r="AM38" s="187"/>
      <c r="AN38" s="188"/>
      <c r="AO38" s="188"/>
      <c r="AP38" s="189"/>
      <c r="AQ38" s="187"/>
      <c r="AR38" s="188"/>
      <c r="AS38" s="188"/>
      <c r="AT38" s="189"/>
      <c r="AU38" s="187"/>
      <c r="AV38" s="188"/>
      <c r="AW38" s="188"/>
      <c r="AX38" s="189"/>
      <c r="AY38" s="187"/>
      <c r="AZ38" s="188"/>
      <c r="BA38" s="188"/>
      <c r="BB38" s="189"/>
      <c r="BC38" s="187"/>
      <c r="BD38" s="188"/>
      <c r="BE38" s="188"/>
      <c r="BF38" s="189"/>
      <c r="BG38" s="187"/>
      <c r="BH38" s="188"/>
      <c r="BI38" s="188"/>
      <c r="BJ38" s="189"/>
      <c r="BK38" s="187"/>
      <c r="BL38" s="188"/>
      <c r="BM38" s="188"/>
      <c r="BN38" s="189"/>
      <c r="BO38" s="187"/>
      <c r="BP38" s="188"/>
      <c r="BQ38" s="188"/>
      <c r="BR38" s="189"/>
      <c r="BS38" s="187"/>
      <c r="BT38" s="188"/>
      <c r="BU38" s="188"/>
      <c r="BV38" s="189"/>
      <c r="BW38" s="187"/>
      <c r="BX38" s="188"/>
      <c r="BY38" s="188"/>
      <c r="BZ38" s="189"/>
      <c r="CA38" s="176"/>
      <c r="CB38" s="176"/>
      <c r="CC38" s="176"/>
      <c r="CD38" s="176"/>
      <c r="CE38" s="176"/>
      <c r="CF38" s="176"/>
      <c r="CG38" s="176"/>
      <c r="CH38" s="176"/>
    </row>
    <row r="39" spans="1:86" x14ac:dyDescent="0.2">
      <c r="H39" s="83" t="s">
        <v>155</v>
      </c>
      <c r="I39" s="109" t="str">
        <f>IF(AND('Summary Report'!J26&gt;=-5,'Summary Report'!J26&lt;=5),'Summary Report'!J26,"--")</f>
        <v>--</v>
      </c>
      <c r="J39" s="109" t="str">
        <f t="shared" ref="J39" si="8">I39</f>
        <v>--</v>
      </c>
      <c r="K39" s="110"/>
      <c r="L39" s="111"/>
      <c r="M39" s="97" t="str">
        <f>'Summary Report'!I26</f>
        <v/>
      </c>
      <c r="N39" s="114" t="str">
        <f t="shared" si="7"/>
        <v>--</v>
      </c>
      <c r="O39" s="187"/>
      <c r="P39" s="188"/>
      <c r="Q39" s="188"/>
      <c r="R39" s="189"/>
      <c r="S39" s="187"/>
      <c r="T39" s="188"/>
      <c r="U39" s="188"/>
      <c r="V39" s="189"/>
      <c r="W39" s="187"/>
      <c r="X39" s="188"/>
      <c r="Y39" s="188"/>
      <c r="Z39" s="189"/>
      <c r="AA39" s="187"/>
      <c r="AB39" s="188"/>
      <c r="AC39" s="188"/>
      <c r="AD39" s="189"/>
      <c r="AE39" s="187"/>
      <c r="AF39" s="188"/>
      <c r="AG39" s="188"/>
      <c r="AH39" s="189"/>
      <c r="AI39" s="187"/>
      <c r="AJ39" s="188"/>
      <c r="AK39" s="188"/>
      <c r="AL39" s="189"/>
      <c r="AM39" s="187"/>
      <c r="AN39" s="188"/>
      <c r="AO39" s="188"/>
      <c r="AP39" s="189"/>
      <c r="AQ39" s="187"/>
      <c r="AR39" s="188"/>
      <c r="AS39" s="188"/>
      <c r="AT39" s="189"/>
      <c r="AU39" s="187"/>
      <c r="AV39" s="188"/>
      <c r="AW39" s="188"/>
      <c r="AX39" s="189"/>
      <c r="AY39" s="187"/>
      <c r="AZ39" s="188"/>
      <c r="BA39" s="188"/>
      <c r="BB39" s="189"/>
      <c r="BC39" s="187"/>
      <c r="BD39" s="188"/>
      <c r="BE39" s="188"/>
      <c r="BF39" s="189"/>
      <c r="BG39" s="187"/>
      <c r="BH39" s="188"/>
      <c r="BI39" s="188"/>
      <c r="BJ39" s="189"/>
      <c r="BK39" s="187"/>
      <c r="BL39" s="188"/>
      <c r="BM39" s="188"/>
      <c r="BN39" s="189"/>
      <c r="BO39" s="187"/>
      <c r="BP39" s="188"/>
      <c r="BQ39" s="188"/>
      <c r="BR39" s="189"/>
      <c r="BS39" s="187"/>
      <c r="BT39" s="188"/>
      <c r="BU39" s="188"/>
      <c r="BV39" s="189"/>
      <c r="BW39" s="187"/>
      <c r="BX39" s="188"/>
      <c r="BY39" s="188"/>
      <c r="BZ39" s="189"/>
      <c r="CA39" s="176"/>
      <c r="CB39" s="176"/>
      <c r="CC39" s="176"/>
      <c r="CD39" s="176"/>
      <c r="CE39" s="176"/>
      <c r="CF39" s="176"/>
      <c r="CG39" s="176"/>
      <c r="CH39" s="176"/>
    </row>
    <row r="40" spans="1:86" x14ac:dyDescent="0.2">
      <c r="H40" s="83" t="s">
        <v>156</v>
      </c>
      <c r="I40" s="109" t="str">
        <f>IF(AND('Summary Report'!J27&gt;=-5,'Summary Report'!J27&lt;=5),'Summary Report'!J27,"--")</f>
        <v>--</v>
      </c>
      <c r="J40" s="109"/>
      <c r="K40" s="110" t="str">
        <f>I40</f>
        <v>--</v>
      </c>
      <c r="L40" s="111"/>
      <c r="M40" s="97" t="str">
        <f>'Summary Report'!I27</f>
        <v/>
      </c>
      <c r="N40" s="114" t="str">
        <f t="shared" si="7"/>
        <v>--</v>
      </c>
      <c r="O40" s="187"/>
      <c r="P40" s="188"/>
      <c r="Q40" s="188"/>
      <c r="R40" s="189"/>
      <c r="S40" s="187"/>
      <c r="T40" s="188"/>
      <c r="U40" s="188"/>
      <c r="V40" s="189"/>
      <c r="W40" s="187"/>
      <c r="X40" s="188"/>
      <c r="Y40" s="188"/>
      <c r="Z40" s="189"/>
      <c r="AA40" s="187"/>
      <c r="AB40" s="188"/>
      <c r="AC40" s="188"/>
      <c r="AD40" s="189"/>
      <c r="AE40" s="187"/>
      <c r="AF40" s="188"/>
      <c r="AG40" s="188"/>
      <c r="AH40" s="189"/>
      <c r="AI40" s="187"/>
      <c r="AJ40" s="188"/>
      <c r="AK40" s="188"/>
      <c r="AL40" s="189"/>
      <c r="AM40" s="187"/>
      <c r="AN40" s="188"/>
      <c r="AO40" s="188"/>
      <c r="AP40" s="189"/>
      <c r="AQ40" s="187"/>
      <c r="AR40" s="188"/>
      <c r="AS40" s="188"/>
      <c r="AT40" s="189"/>
      <c r="AU40" s="187"/>
      <c r="AV40" s="188"/>
      <c r="AW40" s="188"/>
      <c r="AX40" s="189"/>
      <c r="AY40" s="187"/>
      <c r="AZ40" s="188"/>
      <c r="BA40" s="188"/>
      <c r="BB40" s="189"/>
      <c r="BC40" s="187"/>
      <c r="BD40" s="188"/>
      <c r="BE40" s="188"/>
      <c r="BF40" s="189"/>
      <c r="BG40" s="187"/>
      <c r="BH40" s="188"/>
      <c r="BI40" s="188"/>
      <c r="BJ40" s="189"/>
      <c r="BK40" s="187"/>
      <c r="BL40" s="188"/>
      <c r="BM40" s="188"/>
      <c r="BN40" s="189"/>
      <c r="BO40" s="187"/>
      <c r="BP40" s="188"/>
      <c r="BQ40" s="188"/>
      <c r="BR40" s="189"/>
      <c r="BS40" s="187"/>
      <c r="BT40" s="188"/>
      <c r="BU40" s="188"/>
      <c r="BV40" s="189"/>
      <c r="BW40" s="187"/>
      <c r="BX40" s="188"/>
      <c r="BY40" s="188"/>
      <c r="BZ40" s="189"/>
      <c r="CA40" s="176"/>
      <c r="CB40" s="176"/>
      <c r="CC40" s="176"/>
      <c r="CD40" s="176"/>
      <c r="CE40" s="176"/>
      <c r="CF40" s="176"/>
      <c r="CG40" s="176"/>
      <c r="CH40" s="176"/>
    </row>
    <row r="41" spans="1:86" x14ac:dyDescent="0.2">
      <c r="H41" s="83" t="s">
        <v>124</v>
      </c>
      <c r="I41" s="109" t="str">
        <f>IF(AND('Summary Report'!J28&gt;=-5,'Summary Report'!J28&lt;=5),'Summary Report'!J28,"--")</f>
        <v>--</v>
      </c>
      <c r="J41" s="109"/>
      <c r="K41" s="110" t="str">
        <f>I41</f>
        <v>--</v>
      </c>
      <c r="L41" s="111"/>
      <c r="M41" s="97" t="str">
        <f>'Summary Report'!I28</f>
        <v/>
      </c>
      <c r="N41" s="114" t="str">
        <f t="shared" si="7"/>
        <v>--</v>
      </c>
      <c r="O41" s="187"/>
      <c r="P41" s="188"/>
      <c r="Q41" s="188"/>
      <c r="R41" s="189"/>
      <c r="S41" s="187"/>
      <c r="T41" s="188"/>
      <c r="U41" s="188"/>
      <c r="V41" s="189"/>
      <c r="W41" s="187"/>
      <c r="X41" s="188"/>
      <c r="Y41" s="188"/>
      <c r="Z41" s="189"/>
      <c r="AA41" s="187"/>
      <c r="AB41" s="188"/>
      <c r="AC41" s="188"/>
      <c r="AD41" s="189"/>
      <c r="AE41" s="187"/>
      <c r="AF41" s="188"/>
      <c r="AG41" s="188"/>
      <c r="AH41" s="189"/>
      <c r="AI41" s="187"/>
      <c r="AJ41" s="188"/>
      <c r="AK41" s="188"/>
      <c r="AL41" s="189"/>
      <c r="AM41" s="187"/>
      <c r="AN41" s="188"/>
      <c r="AO41" s="188"/>
      <c r="AP41" s="189"/>
      <c r="AQ41" s="187"/>
      <c r="AR41" s="188"/>
      <c r="AS41" s="188"/>
      <c r="AT41" s="189"/>
      <c r="AU41" s="187"/>
      <c r="AV41" s="188"/>
      <c r="AW41" s="188"/>
      <c r="AX41" s="189"/>
      <c r="AY41" s="187"/>
      <c r="AZ41" s="188"/>
      <c r="BA41" s="188"/>
      <c r="BB41" s="189"/>
      <c r="BC41" s="187"/>
      <c r="BD41" s="188"/>
      <c r="BE41" s="188"/>
      <c r="BF41" s="189"/>
      <c r="BG41" s="187"/>
      <c r="BH41" s="188"/>
      <c r="BI41" s="188"/>
      <c r="BJ41" s="189"/>
      <c r="BK41" s="187"/>
      <c r="BL41" s="188"/>
      <c r="BM41" s="188"/>
      <c r="BN41" s="189"/>
      <c r="BO41" s="187"/>
      <c r="BP41" s="188"/>
      <c r="BQ41" s="188"/>
      <c r="BR41" s="189"/>
      <c r="BS41" s="187"/>
      <c r="BT41" s="188"/>
      <c r="BU41" s="188"/>
      <c r="BV41" s="189"/>
      <c r="BW41" s="187"/>
      <c r="BX41" s="188"/>
      <c r="BY41" s="188"/>
      <c r="BZ41" s="189"/>
      <c r="CA41" s="176"/>
      <c r="CB41" s="176"/>
      <c r="CC41" s="176"/>
      <c r="CD41" s="176"/>
      <c r="CE41" s="176"/>
      <c r="CF41" s="176"/>
      <c r="CG41" s="176"/>
      <c r="CH41" s="176"/>
    </row>
    <row r="42" spans="1:86" x14ac:dyDescent="0.2">
      <c r="H42" s="83" t="s">
        <v>125</v>
      </c>
      <c r="I42" s="109" t="str">
        <f>IF(AND('Summary Report'!J29&gt;=-5,'Summary Report'!J29&lt;=5),'Summary Report'!J29,"--")</f>
        <v>--</v>
      </c>
      <c r="J42" s="109"/>
      <c r="K42" s="110"/>
      <c r="L42" s="111" t="str">
        <f>I42</f>
        <v>--</v>
      </c>
      <c r="M42" s="97" t="str">
        <f>'Summary Report'!I29</f>
        <v/>
      </c>
      <c r="N42" s="114" t="str">
        <f t="shared" si="7"/>
        <v>--</v>
      </c>
      <c r="O42" s="187"/>
      <c r="P42" s="188"/>
      <c r="Q42" s="188"/>
      <c r="R42" s="189"/>
      <c r="S42" s="187"/>
      <c r="T42" s="188"/>
      <c r="U42" s="188"/>
      <c r="V42" s="189"/>
      <c r="W42" s="187"/>
      <c r="X42" s="188"/>
      <c r="Y42" s="188"/>
      <c r="Z42" s="189"/>
      <c r="AA42" s="187"/>
      <c r="AB42" s="188"/>
      <c r="AC42" s="188"/>
      <c r="AD42" s="189"/>
      <c r="AE42" s="187"/>
      <c r="AF42" s="188"/>
      <c r="AG42" s="188"/>
      <c r="AH42" s="189"/>
      <c r="AI42" s="187"/>
      <c r="AJ42" s="188"/>
      <c r="AK42" s="188"/>
      <c r="AL42" s="189"/>
      <c r="AM42" s="187"/>
      <c r="AN42" s="188"/>
      <c r="AO42" s="188"/>
      <c r="AP42" s="189"/>
      <c r="AQ42" s="187"/>
      <c r="AR42" s="188"/>
      <c r="AS42" s="188"/>
      <c r="AT42" s="189"/>
      <c r="AU42" s="187"/>
      <c r="AV42" s="188"/>
      <c r="AW42" s="188"/>
      <c r="AX42" s="189"/>
      <c r="AY42" s="187"/>
      <c r="AZ42" s="188"/>
      <c r="BA42" s="188"/>
      <c r="BB42" s="189"/>
      <c r="BC42" s="187"/>
      <c r="BD42" s="188"/>
      <c r="BE42" s="188"/>
      <c r="BF42" s="189"/>
      <c r="BG42" s="187"/>
      <c r="BH42" s="188"/>
      <c r="BI42" s="188"/>
      <c r="BJ42" s="189"/>
      <c r="BK42" s="187"/>
      <c r="BL42" s="188"/>
      <c r="BM42" s="188"/>
      <c r="BN42" s="189"/>
      <c r="BO42" s="187"/>
      <c r="BP42" s="188"/>
      <c r="BQ42" s="188"/>
      <c r="BR42" s="189"/>
      <c r="BS42" s="187"/>
      <c r="BT42" s="188"/>
      <c r="BU42" s="188"/>
      <c r="BV42" s="189"/>
      <c r="BW42" s="187"/>
      <c r="BX42" s="188"/>
      <c r="BY42" s="188"/>
      <c r="BZ42" s="189"/>
      <c r="CA42" s="176"/>
      <c r="CB42" s="176"/>
      <c r="CC42" s="176"/>
      <c r="CD42" s="176"/>
      <c r="CE42" s="176"/>
      <c r="CF42" s="176"/>
      <c r="CG42" s="176"/>
      <c r="CH42" s="176"/>
    </row>
    <row r="43" spans="1:86" x14ac:dyDescent="0.2">
      <c r="H43" s="83" t="s">
        <v>126</v>
      </c>
      <c r="I43" s="109" t="str">
        <f>IF(AND('Summary Report'!J30&gt;=-5,'Summary Report'!J30&lt;=5),'Summary Report'!J30,"--")</f>
        <v>--</v>
      </c>
      <c r="J43" s="109" t="str">
        <f t="shared" ref="J43" si="9">I43</f>
        <v>--</v>
      </c>
      <c r="K43" s="110"/>
      <c r="L43" s="111"/>
      <c r="M43" s="97" t="str">
        <f>'Summary Report'!I30</f>
        <v/>
      </c>
      <c r="N43" s="114" t="str">
        <f t="shared" si="7"/>
        <v>--</v>
      </c>
      <c r="O43" s="187"/>
      <c r="P43" s="188"/>
      <c r="Q43" s="188"/>
      <c r="R43" s="189"/>
      <c r="S43" s="187"/>
      <c r="T43" s="188"/>
      <c r="U43" s="188"/>
      <c r="V43" s="189"/>
      <c r="W43" s="187"/>
      <c r="X43" s="188"/>
      <c r="Y43" s="188"/>
      <c r="Z43" s="189"/>
      <c r="AA43" s="187"/>
      <c r="AB43" s="188"/>
      <c r="AC43" s="188"/>
      <c r="AD43" s="189"/>
      <c r="AE43" s="187"/>
      <c r="AF43" s="188"/>
      <c r="AG43" s="188"/>
      <c r="AH43" s="189"/>
      <c r="AI43" s="187"/>
      <c r="AJ43" s="188"/>
      <c r="AK43" s="188"/>
      <c r="AL43" s="189"/>
      <c r="AM43" s="187"/>
      <c r="AN43" s="188"/>
      <c r="AO43" s="188"/>
      <c r="AP43" s="189"/>
      <c r="AQ43" s="187"/>
      <c r="AR43" s="188"/>
      <c r="AS43" s="188"/>
      <c r="AT43" s="189"/>
      <c r="AU43" s="187"/>
      <c r="AV43" s="188"/>
      <c r="AW43" s="188"/>
      <c r="AX43" s="189"/>
      <c r="AY43" s="187"/>
      <c r="AZ43" s="188"/>
      <c r="BA43" s="188"/>
      <c r="BB43" s="189"/>
      <c r="BC43" s="187"/>
      <c r="BD43" s="188"/>
      <c r="BE43" s="188"/>
      <c r="BF43" s="189"/>
      <c r="BG43" s="187"/>
      <c r="BH43" s="188"/>
      <c r="BI43" s="188"/>
      <c r="BJ43" s="189"/>
      <c r="BK43" s="187"/>
      <c r="BL43" s="188"/>
      <c r="BM43" s="188"/>
      <c r="BN43" s="189"/>
      <c r="BO43" s="187"/>
      <c r="BP43" s="188"/>
      <c r="BQ43" s="188"/>
      <c r="BR43" s="189"/>
      <c r="BS43" s="187"/>
      <c r="BT43" s="188"/>
      <c r="BU43" s="188"/>
      <c r="BV43" s="189"/>
      <c r="BW43" s="187"/>
      <c r="BX43" s="188"/>
      <c r="BY43" s="188"/>
      <c r="BZ43" s="189"/>
      <c r="CA43" s="176"/>
      <c r="CB43" s="176"/>
      <c r="CC43" s="176"/>
      <c r="CD43" s="176"/>
      <c r="CE43" s="176"/>
      <c r="CF43" s="176"/>
      <c r="CG43" s="176"/>
      <c r="CH43" s="176"/>
    </row>
    <row r="44" spans="1:86" x14ac:dyDescent="0.2">
      <c r="A44" s="82" t="s">
        <v>165</v>
      </c>
      <c r="B44" s="82" t="s">
        <v>167</v>
      </c>
      <c r="H44" s="99" t="s">
        <v>127</v>
      </c>
      <c r="I44" s="112" t="str">
        <f>IF(AND('Summary Report'!J31&gt;=-5,'Summary Report'!J31&lt;=5),'Summary Report'!J31,"--")</f>
        <v>--</v>
      </c>
      <c r="J44" s="112"/>
      <c r="K44" s="98"/>
      <c r="L44" s="102"/>
      <c r="M44" s="98" t="str">
        <f>'Summary Report'!I31</f>
        <v/>
      </c>
      <c r="N44" s="115" t="str">
        <f t="shared" si="7"/>
        <v>--</v>
      </c>
      <c r="O44" s="187"/>
      <c r="P44" s="188"/>
      <c r="Q44" s="188"/>
      <c r="R44" s="189"/>
      <c r="S44" s="187"/>
      <c r="T44" s="188"/>
      <c r="U44" s="188"/>
      <c r="V44" s="189"/>
      <c r="W44" s="187"/>
      <c r="X44" s="188"/>
      <c r="Y44" s="188"/>
      <c r="Z44" s="189"/>
      <c r="AA44" s="187"/>
      <c r="AB44" s="188"/>
      <c r="AC44" s="188"/>
      <c r="AD44" s="189"/>
      <c r="AE44" s="187"/>
      <c r="AF44" s="188"/>
      <c r="AG44" s="188"/>
      <c r="AH44" s="189"/>
      <c r="AI44" s="187"/>
      <c r="AJ44" s="188"/>
      <c r="AK44" s="188"/>
      <c r="AL44" s="189"/>
      <c r="AM44" s="187"/>
      <c r="AN44" s="188"/>
      <c r="AO44" s="188"/>
      <c r="AP44" s="189"/>
      <c r="AQ44" s="187"/>
      <c r="AR44" s="188"/>
      <c r="AS44" s="188"/>
      <c r="AT44" s="189"/>
      <c r="AU44" s="187"/>
      <c r="AV44" s="188"/>
      <c r="AW44" s="188"/>
      <c r="AX44" s="189"/>
      <c r="AY44" s="187"/>
      <c r="AZ44" s="188"/>
      <c r="BA44" s="188"/>
      <c r="BB44" s="189"/>
      <c r="BC44" s="187"/>
      <c r="BD44" s="188"/>
      <c r="BE44" s="188"/>
      <c r="BF44" s="189"/>
      <c r="BG44" s="187"/>
      <c r="BH44" s="188"/>
      <c r="BI44" s="188"/>
      <c r="BJ44" s="189"/>
      <c r="BK44" s="187"/>
      <c r="BL44" s="188"/>
      <c r="BM44" s="188"/>
      <c r="BN44" s="189"/>
      <c r="BO44" s="187"/>
      <c r="BP44" s="188"/>
      <c r="BQ44" s="188"/>
      <c r="BR44" s="189"/>
      <c r="BS44" s="187"/>
      <c r="BT44" s="188"/>
      <c r="BU44" s="188"/>
      <c r="BV44" s="189"/>
      <c r="BW44" s="187"/>
      <c r="BX44" s="188"/>
      <c r="BY44" s="188"/>
      <c r="BZ44" s="189"/>
      <c r="CA44" s="176"/>
      <c r="CB44" s="176"/>
      <c r="CC44" s="176"/>
      <c r="CD44" s="176"/>
      <c r="CE44" s="176"/>
      <c r="CF44" s="176"/>
      <c r="CG44" s="176"/>
      <c r="CH44" s="176"/>
    </row>
    <row r="45" spans="1:86" ht="15" x14ac:dyDescent="0.25">
      <c r="B45" s="82" t="s">
        <v>166</v>
      </c>
      <c r="H45" s="116" t="str">
        <f>IF('Summary Report'!$B32&lt;&gt;"","Dynamic Total","")</f>
        <v>Dynamic Total</v>
      </c>
      <c r="I45" s="96">
        <f>SUM(I28:I44)</f>
        <v>0</v>
      </c>
      <c r="J45" s="112">
        <f t="shared" ref="J45:L45" si="10">SUM(J28:J44)</f>
        <v>0</v>
      </c>
      <c r="K45" s="98">
        <f t="shared" si="10"/>
        <v>0</v>
      </c>
      <c r="L45" s="102">
        <f t="shared" si="10"/>
        <v>0</v>
      </c>
      <c r="N45" s="140" t="str">
        <f>'Summary Report'!O32</f>
        <v/>
      </c>
      <c r="O45" s="187"/>
      <c r="P45" s="188"/>
      <c r="Q45" s="188"/>
      <c r="R45" s="189"/>
      <c r="S45" s="187"/>
      <c r="T45" s="188"/>
      <c r="U45" s="188"/>
      <c r="V45" s="189"/>
      <c r="W45" s="187"/>
      <c r="X45" s="188"/>
      <c r="Y45" s="188"/>
      <c r="Z45" s="189"/>
      <c r="AA45" s="187"/>
      <c r="AB45" s="188"/>
      <c r="AC45" s="188"/>
      <c r="AD45" s="189"/>
      <c r="AE45" s="187"/>
      <c r="AF45" s="188"/>
      <c r="AG45" s="188"/>
      <c r="AH45" s="189"/>
      <c r="AI45" s="187"/>
      <c r="AJ45" s="188"/>
      <c r="AK45" s="188"/>
      <c r="AL45" s="189"/>
      <c r="AM45" s="187"/>
      <c r="AN45" s="188"/>
      <c r="AO45" s="188"/>
      <c r="AP45" s="189"/>
      <c r="AQ45" s="187"/>
      <c r="AR45" s="188"/>
      <c r="AS45" s="188"/>
      <c r="AT45" s="189"/>
      <c r="AU45" s="187"/>
      <c r="AV45" s="188"/>
      <c r="AW45" s="188"/>
      <c r="AX45" s="189"/>
      <c r="AY45" s="187"/>
      <c r="AZ45" s="188"/>
      <c r="BA45" s="188"/>
      <c r="BB45" s="189"/>
      <c r="BC45" s="187"/>
      <c r="BD45" s="188"/>
      <c r="BE45" s="188"/>
      <c r="BF45" s="189"/>
      <c r="BG45" s="187"/>
      <c r="BH45" s="188"/>
      <c r="BI45" s="188"/>
      <c r="BJ45" s="189"/>
      <c r="BK45" s="187"/>
      <c r="BL45" s="188"/>
      <c r="BM45" s="188"/>
      <c r="BN45" s="189"/>
      <c r="BO45" s="187"/>
      <c r="BP45" s="188"/>
      <c r="BQ45" s="188"/>
      <c r="BR45" s="189"/>
      <c r="BS45" s="187"/>
      <c r="BT45" s="188"/>
      <c r="BU45" s="188"/>
      <c r="BV45" s="189"/>
      <c r="BW45" s="187"/>
      <c r="BX45" s="188"/>
      <c r="BY45" s="188"/>
      <c r="BZ45" s="189"/>
      <c r="CA45" s="176"/>
      <c r="CB45" s="176"/>
      <c r="CC45" s="176"/>
      <c r="CD45" s="176"/>
      <c r="CE45" s="176"/>
      <c r="CF45" s="176"/>
      <c r="CG45" s="176"/>
      <c r="CH45" s="176"/>
    </row>
    <row r="46" spans="1:86" x14ac:dyDescent="0.2">
      <c r="B46" s="82" t="s">
        <v>168</v>
      </c>
      <c r="H46" s="117" t="str">
        <f>IF('Summary Report'!$B33&lt;&gt;"","Pro-rated Dynamic Total","")</f>
        <v/>
      </c>
      <c r="I46" s="118" t="str">
        <f>'Summary Report'!J33</f>
        <v/>
      </c>
      <c r="J46" s="105"/>
      <c r="K46" s="105"/>
      <c r="L46" s="105"/>
      <c r="M46" s="105"/>
      <c r="N46" s="118" t="str">
        <f>'Summary Report'!O33</f>
        <v/>
      </c>
      <c r="O46" s="187"/>
      <c r="P46" s="188"/>
      <c r="Q46" s="188"/>
      <c r="R46" s="189"/>
      <c r="S46" s="187"/>
      <c r="T46" s="188"/>
      <c r="U46" s="188"/>
      <c r="V46" s="189"/>
      <c r="W46" s="187"/>
      <c r="X46" s="188"/>
      <c r="Y46" s="188"/>
      <c r="Z46" s="189"/>
      <c r="AA46" s="187"/>
      <c r="AB46" s="188"/>
      <c r="AC46" s="188"/>
      <c r="AD46" s="189"/>
      <c r="AE46" s="187"/>
      <c r="AF46" s="188"/>
      <c r="AG46" s="188"/>
      <c r="AH46" s="189"/>
      <c r="AI46" s="187"/>
      <c r="AJ46" s="188"/>
      <c r="AK46" s="188"/>
      <c r="AL46" s="189"/>
      <c r="AM46" s="187"/>
      <c r="AN46" s="188"/>
      <c r="AO46" s="188"/>
      <c r="AP46" s="189"/>
      <c r="AQ46" s="187"/>
      <c r="AR46" s="188"/>
      <c r="AS46" s="188"/>
      <c r="AT46" s="189"/>
      <c r="AU46" s="187"/>
      <c r="AV46" s="188"/>
      <c r="AW46" s="188"/>
      <c r="AX46" s="189"/>
      <c r="AY46" s="187"/>
      <c r="AZ46" s="188"/>
      <c r="BA46" s="188"/>
      <c r="BB46" s="189"/>
      <c r="BC46" s="187"/>
      <c r="BD46" s="188"/>
      <c r="BE46" s="188"/>
      <c r="BF46" s="189"/>
      <c r="BG46" s="187"/>
      <c r="BH46" s="188"/>
      <c r="BI46" s="188"/>
      <c r="BJ46" s="189"/>
      <c r="BK46" s="187"/>
      <c r="BL46" s="188"/>
      <c r="BM46" s="188"/>
      <c r="BN46" s="189"/>
      <c r="BO46" s="187"/>
      <c r="BP46" s="188"/>
      <c r="BQ46" s="188"/>
      <c r="BR46" s="189"/>
      <c r="BS46" s="187"/>
      <c r="BT46" s="188"/>
      <c r="BU46" s="188"/>
      <c r="BV46" s="189"/>
      <c r="BW46" s="187"/>
      <c r="BX46" s="188"/>
      <c r="BY46" s="188"/>
      <c r="BZ46" s="189"/>
      <c r="CA46" s="176"/>
      <c r="CB46" s="176"/>
      <c r="CC46" s="176"/>
      <c r="CD46" s="176"/>
      <c r="CE46" s="176"/>
      <c r="CF46" s="176"/>
      <c r="CG46" s="176"/>
      <c r="CH46" s="176"/>
    </row>
    <row r="47" spans="1:86" ht="15" x14ac:dyDescent="0.25">
      <c r="H47" s="116" t="str">
        <f>IF('Summary Report'!$B34&lt;&gt;"","Static + Dynamic Total","")</f>
        <v/>
      </c>
      <c r="I47" s="96" t="str">
        <f>'Summary Report'!J34</f>
        <v/>
      </c>
      <c r="N47" s="96" t="str">
        <f>'Summary Report'!O34</f>
        <v/>
      </c>
      <c r="O47" s="187"/>
      <c r="P47" s="188"/>
      <c r="Q47" s="188"/>
      <c r="R47" s="189"/>
      <c r="S47" s="187"/>
      <c r="T47" s="188"/>
      <c r="U47" s="188"/>
      <c r="V47" s="189"/>
      <c r="W47" s="187"/>
      <c r="X47" s="188"/>
      <c r="Y47" s="188"/>
      <c r="Z47" s="189"/>
      <c r="AA47" s="187"/>
      <c r="AB47" s="188"/>
      <c r="AC47" s="188"/>
      <c r="AD47" s="189"/>
      <c r="AE47" s="187"/>
      <c r="AF47" s="188"/>
      <c r="AG47" s="188"/>
      <c r="AH47" s="189"/>
      <c r="AI47" s="187"/>
      <c r="AJ47" s="188"/>
      <c r="AK47" s="188"/>
      <c r="AL47" s="189"/>
      <c r="AM47" s="187"/>
      <c r="AN47" s="188"/>
      <c r="AO47" s="188"/>
      <c r="AP47" s="189"/>
      <c r="AQ47" s="187"/>
      <c r="AR47" s="188"/>
      <c r="AS47" s="188"/>
      <c r="AT47" s="189"/>
      <c r="AU47" s="187"/>
      <c r="AV47" s="188"/>
      <c r="AW47" s="188"/>
      <c r="AX47" s="189"/>
      <c r="AY47" s="187"/>
      <c r="AZ47" s="188"/>
      <c r="BA47" s="188"/>
      <c r="BB47" s="189"/>
      <c r="BC47" s="187"/>
      <c r="BD47" s="188"/>
      <c r="BE47" s="188"/>
      <c r="BF47" s="189"/>
      <c r="BG47" s="187"/>
      <c r="BH47" s="188"/>
      <c r="BI47" s="188"/>
      <c r="BJ47" s="189"/>
      <c r="BK47" s="187"/>
      <c r="BL47" s="188"/>
      <c r="BM47" s="188"/>
      <c r="BN47" s="189"/>
      <c r="BO47" s="187"/>
      <c r="BP47" s="188"/>
      <c r="BQ47" s="188"/>
      <c r="BR47" s="189"/>
      <c r="BS47" s="187"/>
      <c r="BT47" s="188"/>
      <c r="BU47" s="188"/>
      <c r="BV47" s="189"/>
      <c r="BW47" s="187"/>
      <c r="BX47" s="188"/>
      <c r="BY47" s="188"/>
      <c r="BZ47" s="189"/>
      <c r="CA47" s="176"/>
      <c r="CB47" s="176"/>
      <c r="CC47" s="176"/>
      <c r="CD47" s="176"/>
      <c r="CE47" s="176"/>
      <c r="CF47" s="176"/>
      <c r="CG47" s="176"/>
      <c r="CH47" s="176"/>
    </row>
    <row r="48" spans="1:86" x14ac:dyDescent="0.2">
      <c r="H48" s="117" t="str">
        <f>IF('Summary Report'!$B35&lt;&gt;"","Pro-rated Static + Dynamic Total","")</f>
        <v/>
      </c>
      <c r="I48" s="118" t="str">
        <f>'Summary Report'!J35</f>
        <v/>
      </c>
      <c r="J48" s="105"/>
      <c r="K48" s="105"/>
      <c r="L48" s="105"/>
      <c r="M48" s="105"/>
      <c r="N48" s="118" t="str">
        <f>'Summary Report'!O35</f>
        <v/>
      </c>
      <c r="O48" s="190"/>
      <c r="P48" s="191"/>
      <c r="Q48" s="191"/>
      <c r="R48" s="192"/>
      <c r="S48" s="190"/>
      <c r="T48" s="191"/>
      <c r="U48" s="191"/>
      <c r="V48" s="192"/>
      <c r="W48" s="190"/>
      <c r="X48" s="191"/>
      <c r="Y48" s="191"/>
      <c r="Z48" s="192"/>
      <c r="AA48" s="190"/>
      <c r="AB48" s="191"/>
      <c r="AC48" s="191"/>
      <c r="AD48" s="192"/>
      <c r="AE48" s="190"/>
      <c r="AF48" s="191"/>
      <c r="AG48" s="191"/>
      <c r="AH48" s="192"/>
      <c r="AI48" s="190"/>
      <c r="AJ48" s="191"/>
      <c r="AK48" s="191"/>
      <c r="AL48" s="192"/>
      <c r="AM48" s="190"/>
      <c r="AN48" s="191"/>
      <c r="AO48" s="191"/>
      <c r="AP48" s="192"/>
      <c r="AQ48" s="190"/>
      <c r="AR48" s="191"/>
      <c r="AS48" s="191"/>
      <c r="AT48" s="192"/>
      <c r="AU48" s="190"/>
      <c r="AV48" s="191"/>
      <c r="AW48" s="191"/>
      <c r="AX48" s="192"/>
      <c r="AY48" s="190"/>
      <c r="AZ48" s="191"/>
      <c r="BA48" s="191"/>
      <c r="BB48" s="192"/>
      <c r="BC48" s="190"/>
      <c r="BD48" s="191"/>
      <c r="BE48" s="191"/>
      <c r="BF48" s="192"/>
      <c r="BG48" s="190"/>
      <c r="BH48" s="191"/>
      <c r="BI48" s="191"/>
      <c r="BJ48" s="192"/>
      <c r="BK48" s="190"/>
      <c r="BL48" s="191"/>
      <c r="BM48" s="191"/>
      <c r="BN48" s="192"/>
      <c r="BO48" s="190"/>
      <c r="BP48" s="191"/>
      <c r="BQ48" s="191"/>
      <c r="BR48" s="192"/>
      <c r="BS48" s="190"/>
      <c r="BT48" s="191"/>
      <c r="BU48" s="191"/>
      <c r="BV48" s="192"/>
      <c r="BW48" s="190"/>
      <c r="BX48" s="191"/>
      <c r="BY48" s="191"/>
      <c r="BZ48" s="192"/>
      <c r="CA48" s="176"/>
      <c r="CB48" s="176"/>
      <c r="CC48" s="176"/>
      <c r="CD48" s="176"/>
      <c r="CE48" s="176"/>
      <c r="CF48" s="176"/>
      <c r="CG48" s="176"/>
      <c r="CH48" s="176"/>
    </row>
  </sheetData>
  <sheetProtection password="E82C" sheet="1" objects="1" scenarios="1"/>
  <mergeCells count="134">
    <mergeCell ref="A20:A30"/>
    <mergeCell ref="D19:F19"/>
    <mergeCell ref="D20:F30"/>
    <mergeCell ref="A1:G1"/>
    <mergeCell ref="B7:G7"/>
    <mergeCell ref="B9:C9"/>
    <mergeCell ref="E9:F9"/>
    <mergeCell ref="B10:C10"/>
    <mergeCell ref="B3:C3"/>
    <mergeCell ref="B5:C5"/>
    <mergeCell ref="B6:C6"/>
    <mergeCell ref="H3:N3"/>
    <mergeCell ref="H26:N26"/>
    <mergeCell ref="L2:M2"/>
    <mergeCell ref="E17:F17"/>
    <mergeCell ref="H1:N1"/>
    <mergeCell ref="B8:G8"/>
    <mergeCell ref="B15:C15"/>
    <mergeCell ref="B16:C16"/>
    <mergeCell ref="B17:C17"/>
    <mergeCell ref="E10:F10"/>
    <mergeCell ref="E11:F11"/>
    <mergeCell ref="E12:F12"/>
    <mergeCell ref="E13:F13"/>
    <mergeCell ref="E14:F14"/>
    <mergeCell ref="E15:F15"/>
    <mergeCell ref="E16:F16"/>
    <mergeCell ref="B11:C11"/>
    <mergeCell ref="B12:C12"/>
    <mergeCell ref="B13:C13"/>
    <mergeCell ref="B14:C14"/>
    <mergeCell ref="E4:F4"/>
    <mergeCell ref="E5:F5"/>
    <mergeCell ref="E6:F6"/>
    <mergeCell ref="B4:C4"/>
    <mergeCell ref="O26:R48"/>
    <mergeCell ref="S26:V48"/>
    <mergeCell ref="O4:R23"/>
    <mergeCell ref="S4:V23"/>
    <mergeCell ref="Y1:AB1"/>
    <mergeCell ref="X2:AC2"/>
    <mergeCell ref="W3:Z3"/>
    <mergeCell ref="AA3:AD3"/>
    <mergeCell ref="W4:Z23"/>
    <mergeCell ref="AA4:AD23"/>
    <mergeCell ref="X24:AC24"/>
    <mergeCell ref="W25:Z25"/>
    <mergeCell ref="AA25:AD25"/>
    <mergeCell ref="W26:Z48"/>
    <mergeCell ref="AA26:AD48"/>
    <mergeCell ref="P24:U24"/>
    <mergeCell ref="O25:R25"/>
    <mergeCell ref="S25:V25"/>
    <mergeCell ref="Q1:T1"/>
    <mergeCell ref="O3:R3"/>
    <mergeCell ref="S3:V3"/>
    <mergeCell ref="P2:U2"/>
    <mergeCell ref="AF24:AK24"/>
    <mergeCell ref="AE25:AH25"/>
    <mergeCell ref="AI25:AL25"/>
    <mergeCell ref="AE26:AH48"/>
    <mergeCell ref="AI26:AL48"/>
    <mergeCell ref="AG1:AJ1"/>
    <mergeCell ref="AF2:AK2"/>
    <mergeCell ref="AE3:AH3"/>
    <mergeCell ref="AI3:AL3"/>
    <mergeCell ref="AE4:AH23"/>
    <mergeCell ref="AI4:AL23"/>
    <mergeCell ref="AN24:AS24"/>
    <mergeCell ref="AM25:AP25"/>
    <mergeCell ref="AQ25:AT25"/>
    <mergeCell ref="AM26:AP48"/>
    <mergeCell ref="AQ26:AT48"/>
    <mergeCell ref="AO1:AR1"/>
    <mergeCell ref="AN2:AS2"/>
    <mergeCell ref="AM3:AP3"/>
    <mergeCell ref="AQ3:AT3"/>
    <mergeCell ref="AM4:AP23"/>
    <mergeCell ref="AQ4:AT23"/>
    <mergeCell ref="AV24:BA24"/>
    <mergeCell ref="AU25:AX25"/>
    <mergeCell ref="AY25:BB25"/>
    <mergeCell ref="AU26:AX48"/>
    <mergeCell ref="AY26:BB48"/>
    <mergeCell ref="AW1:AZ1"/>
    <mergeCell ref="AV2:BA2"/>
    <mergeCell ref="AU3:AX3"/>
    <mergeCell ref="AY3:BB3"/>
    <mergeCell ref="AU4:AX23"/>
    <mergeCell ref="AY4:BB23"/>
    <mergeCell ref="BD24:BI24"/>
    <mergeCell ref="BC25:BF25"/>
    <mergeCell ref="BG25:BJ25"/>
    <mergeCell ref="BC26:BF48"/>
    <mergeCell ref="BG26:BJ48"/>
    <mergeCell ref="BE1:BH1"/>
    <mergeCell ref="BD2:BI2"/>
    <mergeCell ref="BC3:BF3"/>
    <mergeCell ref="BG3:BJ3"/>
    <mergeCell ref="BC4:BF23"/>
    <mergeCell ref="BG4:BJ23"/>
    <mergeCell ref="BL24:BQ24"/>
    <mergeCell ref="BK25:BN25"/>
    <mergeCell ref="BO25:BR25"/>
    <mergeCell ref="BK26:BN48"/>
    <mergeCell ref="BO26:BR48"/>
    <mergeCell ref="BM1:BP1"/>
    <mergeCell ref="BL2:BQ2"/>
    <mergeCell ref="BK3:BN3"/>
    <mergeCell ref="BO3:BR3"/>
    <mergeCell ref="BK4:BN23"/>
    <mergeCell ref="BO4:BR23"/>
    <mergeCell ref="BT24:BY24"/>
    <mergeCell ref="BS25:BV25"/>
    <mergeCell ref="BW25:BZ25"/>
    <mergeCell ref="BS26:BV48"/>
    <mergeCell ref="BW26:BZ48"/>
    <mergeCell ref="BU1:BX1"/>
    <mergeCell ref="BT2:BY2"/>
    <mergeCell ref="BS3:BV3"/>
    <mergeCell ref="BW3:BZ3"/>
    <mergeCell ref="BS4:BV23"/>
    <mergeCell ref="BW4:BZ23"/>
    <mergeCell ref="CB24:CG24"/>
    <mergeCell ref="CA25:CD25"/>
    <mergeCell ref="CE25:CH25"/>
    <mergeCell ref="CA26:CD48"/>
    <mergeCell ref="CE26:CH48"/>
    <mergeCell ref="CC1:CF1"/>
    <mergeCell ref="CB2:CG2"/>
    <mergeCell ref="CA3:CD3"/>
    <mergeCell ref="CE3:CH3"/>
    <mergeCell ref="CA4:CD23"/>
    <mergeCell ref="CE4:CH23"/>
  </mergeCells>
  <pageMargins left="0.7" right="0.7" top="0.75" bottom="0.75" header="0.3" footer="0.3"/>
  <pageSetup orientation="portrait" r:id="rId1"/>
  <headerFooter>
    <oddHeader xml:space="preserve">&amp;C </oddHeader>
    <oddFooter xml:space="preserve">&amp;C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DD2"/>
  <sheetViews>
    <sheetView showRowColHeaders="0" workbookViewId="0">
      <selection activeCell="L12" sqref="L12"/>
    </sheetView>
  </sheetViews>
  <sheetFormatPr defaultRowHeight="15" x14ac:dyDescent="0.2"/>
  <cols>
    <col min="1" max="1" width="10.21875" bestFit="1" customWidth="1"/>
    <col min="2" max="2" width="12.88671875" bestFit="1" customWidth="1"/>
    <col min="3" max="3" width="7.88671875" bestFit="1" customWidth="1"/>
    <col min="4" max="4" width="7.77734375" bestFit="1" customWidth="1"/>
    <col min="5" max="5" width="8.33203125" bestFit="1" customWidth="1"/>
    <col min="6" max="6" width="7.5546875" bestFit="1" customWidth="1"/>
    <col min="7" max="7" width="8.109375" bestFit="1" customWidth="1"/>
    <col min="8" max="8" width="12.77734375" bestFit="1" customWidth="1"/>
    <col min="9" max="9" width="15.33203125" bestFit="1" customWidth="1"/>
    <col min="10" max="10" width="10.5546875" bestFit="1" customWidth="1"/>
    <col min="11" max="11" width="14.33203125" bestFit="1" customWidth="1"/>
    <col min="12" max="12" width="14.5546875" bestFit="1" customWidth="1"/>
    <col min="13" max="13" width="17.44140625" bestFit="1" customWidth="1"/>
    <col min="14" max="14" width="14.44140625" bestFit="1" customWidth="1"/>
    <col min="15" max="15" width="13.88671875" bestFit="1" customWidth="1"/>
    <col min="16" max="16" width="12.5546875" bestFit="1" customWidth="1"/>
    <col min="17" max="17" width="15.109375" bestFit="1" customWidth="1"/>
    <col min="18" max="18" width="10.33203125" bestFit="1" customWidth="1"/>
    <col min="19" max="19" width="14.109375" bestFit="1" customWidth="1"/>
    <col min="20" max="20" width="14.33203125" bestFit="1" customWidth="1"/>
    <col min="21" max="21" width="17.21875" bestFit="1" customWidth="1"/>
    <col min="22" max="22" width="14.21875" bestFit="1" customWidth="1"/>
    <col min="23" max="23" width="13.6640625" bestFit="1" customWidth="1"/>
    <col min="24" max="24" width="14.109375" bestFit="1" customWidth="1"/>
    <col min="25" max="25" width="15.33203125" bestFit="1" customWidth="1"/>
    <col min="26" max="26" width="15.109375" bestFit="1" customWidth="1"/>
    <col min="27" max="27" width="13.88671875" bestFit="1" customWidth="1"/>
    <col min="28" max="28" width="18.109375" bestFit="1" customWidth="1"/>
    <col min="29" max="29" width="13.109375" bestFit="1" customWidth="1"/>
    <col min="30" max="30" width="14.33203125" bestFit="1" customWidth="1"/>
    <col min="31" max="31" width="14.109375" bestFit="1" customWidth="1"/>
    <col min="32" max="32" width="12.77734375" bestFit="1" customWidth="1"/>
    <col min="33" max="33" width="17" bestFit="1" customWidth="1"/>
    <col min="34" max="34" width="13.5546875" bestFit="1" customWidth="1"/>
    <col min="35" max="35" width="14.33203125" bestFit="1" customWidth="1"/>
    <col min="36" max="36" width="14.109375" bestFit="1" customWidth="1"/>
    <col min="37" max="37" width="12.77734375" bestFit="1" customWidth="1"/>
    <col min="38" max="38" width="17" bestFit="1" customWidth="1"/>
    <col min="39" max="39" width="13.109375" bestFit="1" customWidth="1"/>
    <col min="40" max="40" width="14.33203125" bestFit="1" customWidth="1"/>
    <col min="41" max="41" width="14.109375" bestFit="1" customWidth="1"/>
    <col min="42" max="42" width="12.77734375" bestFit="1" customWidth="1"/>
    <col min="43" max="43" width="17" bestFit="1" customWidth="1"/>
    <col min="44" max="44" width="13.21875" bestFit="1" customWidth="1"/>
    <col min="45" max="45" width="14.44140625" bestFit="1" customWidth="1"/>
    <col min="46" max="46" width="14.21875" bestFit="1" customWidth="1"/>
    <col min="47" max="47" width="12.88671875" bestFit="1" customWidth="1"/>
    <col min="48" max="48" width="17.21875" bestFit="1" customWidth="1"/>
    <col min="49" max="49" width="12" bestFit="1" customWidth="1"/>
    <col min="50" max="50" width="13.33203125" bestFit="1" customWidth="1"/>
    <col min="51" max="51" width="13.109375" bestFit="1" customWidth="1"/>
    <col min="52" max="52" width="11.77734375" bestFit="1" customWidth="1"/>
    <col min="53" max="53" width="16" bestFit="1" customWidth="1"/>
    <col min="54" max="54" width="13.109375" bestFit="1" customWidth="1"/>
    <col min="55" max="55" width="14.33203125" bestFit="1" customWidth="1"/>
    <col min="56" max="56" width="14.109375" bestFit="1" customWidth="1"/>
    <col min="57" max="57" width="12.77734375" bestFit="1" customWidth="1"/>
    <col min="58" max="58" width="17" bestFit="1" customWidth="1"/>
    <col min="59" max="59" width="12.5546875" bestFit="1" customWidth="1"/>
    <col min="60" max="60" width="13.88671875" bestFit="1" customWidth="1"/>
    <col min="61" max="61" width="13.6640625" bestFit="1" customWidth="1"/>
    <col min="62" max="62" width="12.33203125" bestFit="1" customWidth="1"/>
    <col min="63" max="63" width="16.5546875" bestFit="1" customWidth="1"/>
    <col min="64" max="64" width="12.88671875" bestFit="1" customWidth="1"/>
    <col min="65" max="65" width="14.21875" bestFit="1" customWidth="1"/>
    <col min="66" max="66" width="14" bestFit="1" customWidth="1"/>
    <col min="67" max="67" width="12.6640625" bestFit="1" customWidth="1"/>
    <col min="68" max="68" width="16.88671875" bestFit="1" customWidth="1"/>
    <col min="69" max="69" width="14.109375" bestFit="1" customWidth="1"/>
    <col min="70" max="70" width="15.33203125" bestFit="1" customWidth="1"/>
    <col min="71" max="71" width="15.109375" bestFit="1" customWidth="1"/>
    <col min="72" max="72" width="13.88671875" bestFit="1" customWidth="1"/>
    <col min="73" max="73" width="18.109375" bestFit="1" customWidth="1"/>
    <col min="74" max="74" width="16.44140625" bestFit="1" customWidth="1"/>
    <col min="75" max="75" width="17.77734375" bestFit="1" customWidth="1"/>
    <col min="76" max="76" width="17.5546875" bestFit="1" customWidth="1"/>
    <col min="77" max="77" width="16.21875" bestFit="1" customWidth="1"/>
    <col min="78" max="78" width="20.44140625" bestFit="1" customWidth="1"/>
    <col min="79" max="79" width="15.44140625" bestFit="1" customWidth="1"/>
    <col min="80" max="80" width="16.6640625" bestFit="1" customWidth="1"/>
    <col min="81" max="81" width="16.44140625" bestFit="1" customWidth="1"/>
    <col min="82" max="82" width="15.21875" bestFit="1" customWidth="1"/>
    <col min="83" max="83" width="19.44140625" bestFit="1" customWidth="1"/>
    <col min="84" max="84" width="14.33203125" bestFit="1" customWidth="1"/>
    <col min="85" max="85" width="15.5546875" bestFit="1" customWidth="1"/>
    <col min="86" max="86" width="15.33203125" bestFit="1" customWidth="1"/>
    <col min="87" max="87" width="14.109375" bestFit="1" customWidth="1"/>
    <col min="88" max="88" width="18.33203125" bestFit="1" customWidth="1"/>
    <col min="89" max="89" width="15.44140625" bestFit="1" customWidth="1"/>
    <col min="90" max="90" width="16.6640625" bestFit="1" customWidth="1"/>
    <col min="91" max="91" width="16.44140625" bestFit="1" customWidth="1"/>
    <col min="92" max="92" width="15.21875" bestFit="1" customWidth="1"/>
    <col min="93" max="93" width="19.44140625" bestFit="1" customWidth="1"/>
    <col min="94" max="94" width="13.88671875" bestFit="1" customWidth="1"/>
    <col min="95" max="95" width="15.109375" bestFit="1" customWidth="1"/>
    <col min="96" max="96" width="14.88671875" bestFit="1" customWidth="1"/>
    <col min="97" max="97" width="13.6640625" bestFit="1" customWidth="1"/>
    <col min="98" max="98" width="17.88671875" bestFit="1" customWidth="1"/>
    <col min="99" max="99" width="15.33203125" bestFit="1" customWidth="1"/>
    <col min="100" max="100" width="16.5546875" bestFit="1" customWidth="1"/>
    <col min="101" max="101" width="16.33203125" bestFit="1" customWidth="1"/>
    <col min="102" max="102" width="15.109375" bestFit="1" customWidth="1"/>
    <col min="103" max="103" width="19.33203125" bestFit="1" customWidth="1"/>
    <col min="104" max="104" width="13.21875" bestFit="1" customWidth="1"/>
    <col min="105" max="105" width="14.44140625" bestFit="1" customWidth="1"/>
    <col min="106" max="106" width="14.21875" bestFit="1" customWidth="1"/>
    <col min="107" max="107" width="12.88671875" bestFit="1" customWidth="1"/>
    <col min="108" max="108" width="17.21875" bestFit="1" customWidth="1"/>
  </cols>
  <sheetData>
    <row r="1" spans="1:108" s="40" customFormat="1" x14ac:dyDescent="0.2">
      <c r="A1" s="40" t="s">
        <v>169</v>
      </c>
      <c r="B1" s="40" t="s">
        <v>172</v>
      </c>
      <c r="C1" s="40" t="s">
        <v>184</v>
      </c>
      <c r="D1" s="40" t="s">
        <v>175</v>
      </c>
      <c r="E1" s="40" t="s">
        <v>176</v>
      </c>
      <c r="F1" s="40" t="s">
        <v>177</v>
      </c>
      <c r="G1" s="40" t="s">
        <v>178</v>
      </c>
      <c r="H1" s="40" t="s">
        <v>186</v>
      </c>
      <c r="I1" s="40" t="s">
        <v>187</v>
      </c>
      <c r="J1" s="40" t="s">
        <v>188</v>
      </c>
      <c r="K1" s="40" t="s">
        <v>189</v>
      </c>
      <c r="L1" s="40" t="s">
        <v>190</v>
      </c>
      <c r="M1" s="40" t="s">
        <v>191</v>
      </c>
      <c r="N1" s="40" t="s">
        <v>192</v>
      </c>
      <c r="O1" s="40" t="s">
        <v>224</v>
      </c>
      <c r="P1" s="40" t="s">
        <v>193</v>
      </c>
      <c r="Q1" s="40" t="s">
        <v>194</v>
      </c>
      <c r="R1" s="40" t="s">
        <v>195</v>
      </c>
      <c r="S1" s="40" t="s">
        <v>196</v>
      </c>
      <c r="T1" s="40" t="s">
        <v>197</v>
      </c>
      <c r="U1" s="40" t="s">
        <v>198</v>
      </c>
      <c r="V1" s="40" t="s">
        <v>199</v>
      </c>
      <c r="W1" s="40" t="s">
        <v>227</v>
      </c>
      <c r="X1" s="131" t="s">
        <v>245</v>
      </c>
      <c r="Y1" s="131" t="s">
        <v>247</v>
      </c>
      <c r="Z1" s="131" t="s">
        <v>249</v>
      </c>
      <c r="AA1" s="131" t="s">
        <v>251</v>
      </c>
      <c r="AB1" s="131" t="s">
        <v>253</v>
      </c>
      <c r="AC1" s="131" t="s">
        <v>234</v>
      </c>
      <c r="AD1" s="131" t="s">
        <v>236</v>
      </c>
      <c r="AE1" s="131" t="s">
        <v>238</v>
      </c>
      <c r="AF1" s="131" t="s">
        <v>240</v>
      </c>
      <c r="AG1" s="131" t="s">
        <v>243</v>
      </c>
      <c r="AH1" s="131" t="s">
        <v>262</v>
      </c>
      <c r="AI1" s="131" t="s">
        <v>442</v>
      </c>
      <c r="AJ1" s="131" t="s">
        <v>443</v>
      </c>
      <c r="AK1" s="131" t="s">
        <v>444</v>
      </c>
      <c r="AL1" s="131" t="s">
        <v>445</v>
      </c>
      <c r="AM1" s="131" t="s">
        <v>446</v>
      </c>
      <c r="AN1" s="131" t="s">
        <v>373</v>
      </c>
      <c r="AO1" s="131" t="s">
        <v>374</v>
      </c>
      <c r="AP1" s="131" t="s">
        <v>375</v>
      </c>
      <c r="AQ1" s="131" t="s">
        <v>447</v>
      </c>
      <c r="AR1" s="131" t="s">
        <v>376</v>
      </c>
      <c r="AS1" s="131" t="s">
        <v>377</v>
      </c>
      <c r="AT1" s="131" t="s">
        <v>448</v>
      </c>
      <c r="AU1" s="131" t="s">
        <v>379</v>
      </c>
      <c r="AV1" s="131" t="s">
        <v>380</v>
      </c>
      <c r="AW1" s="131" t="s">
        <v>381</v>
      </c>
      <c r="AX1" s="131" t="s">
        <v>382</v>
      </c>
      <c r="AY1" s="131" t="s">
        <v>383</v>
      </c>
      <c r="AZ1" s="131" t="s">
        <v>384</v>
      </c>
      <c r="BA1" s="131" t="s">
        <v>385</v>
      </c>
      <c r="BB1" s="131" t="s">
        <v>386</v>
      </c>
      <c r="BC1" s="131" t="s">
        <v>387</v>
      </c>
      <c r="BD1" s="131" t="s">
        <v>388</v>
      </c>
      <c r="BE1" s="131" t="s">
        <v>389</v>
      </c>
      <c r="BF1" s="131" t="s">
        <v>390</v>
      </c>
      <c r="BG1" s="131" t="s">
        <v>449</v>
      </c>
      <c r="BH1" s="131" t="s">
        <v>450</v>
      </c>
      <c r="BI1" s="131" t="s">
        <v>451</v>
      </c>
      <c r="BJ1" s="131" t="s">
        <v>452</v>
      </c>
      <c r="BK1" s="131" t="s">
        <v>453</v>
      </c>
      <c r="BL1" s="131" t="s">
        <v>396</v>
      </c>
      <c r="BM1" s="131" t="s">
        <v>397</v>
      </c>
      <c r="BN1" s="131" t="s">
        <v>398</v>
      </c>
      <c r="BO1" s="131" t="s">
        <v>399</v>
      </c>
      <c r="BP1" s="131" t="s">
        <v>400</v>
      </c>
      <c r="BQ1" s="131" t="s">
        <v>401</v>
      </c>
      <c r="BR1" s="131" t="s">
        <v>402</v>
      </c>
      <c r="BS1" s="131" t="s">
        <v>403</v>
      </c>
      <c r="BT1" s="131" t="s">
        <v>404</v>
      </c>
      <c r="BU1" s="131" t="s">
        <v>405</v>
      </c>
      <c r="BV1" s="131" t="s">
        <v>406</v>
      </c>
      <c r="BW1" s="131" t="s">
        <v>407</v>
      </c>
      <c r="BX1" s="131" t="s">
        <v>408</v>
      </c>
      <c r="BY1" s="131" t="s">
        <v>409</v>
      </c>
      <c r="BZ1" s="131" t="s">
        <v>410</v>
      </c>
      <c r="CA1" s="131" t="s">
        <v>411</v>
      </c>
      <c r="CB1" s="131" t="s">
        <v>412</v>
      </c>
      <c r="CC1" s="131" t="s">
        <v>413</v>
      </c>
      <c r="CD1" s="131" t="s">
        <v>414</v>
      </c>
      <c r="CE1" s="131" t="s">
        <v>415</v>
      </c>
      <c r="CF1" s="131" t="s">
        <v>416</v>
      </c>
      <c r="CG1" s="131" t="s">
        <v>417</v>
      </c>
      <c r="CH1" s="131" t="s">
        <v>418</v>
      </c>
      <c r="CI1" s="131" t="s">
        <v>419</v>
      </c>
      <c r="CJ1" s="131" t="s">
        <v>420</v>
      </c>
      <c r="CK1" s="131" t="s">
        <v>421</v>
      </c>
      <c r="CL1" s="131" t="s">
        <v>422</v>
      </c>
      <c r="CM1" s="131" t="s">
        <v>423</v>
      </c>
      <c r="CN1" s="131" t="s">
        <v>424</v>
      </c>
      <c r="CO1" s="131" t="s">
        <v>425</v>
      </c>
      <c r="CP1" s="131" t="s">
        <v>428</v>
      </c>
      <c r="CQ1" s="131" t="s">
        <v>429</v>
      </c>
      <c r="CR1" s="131" t="s">
        <v>430</v>
      </c>
      <c r="CS1" s="131" t="s">
        <v>431</v>
      </c>
      <c r="CT1" s="131" t="s">
        <v>432</v>
      </c>
      <c r="CU1" s="131" t="s">
        <v>454</v>
      </c>
      <c r="CV1" s="131" t="s">
        <v>433</v>
      </c>
      <c r="CW1" s="131" t="s">
        <v>434</v>
      </c>
      <c r="CX1" s="131" t="s">
        <v>435</v>
      </c>
      <c r="CY1" s="131" t="s">
        <v>436</v>
      </c>
      <c r="CZ1" s="131" t="s">
        <v>437</v>
      </c>
      <c r="DA1" s="131" t="s">
        <v>438</v>
      </c>
      <c r="DB1" s="131" t="s">
        <v>439</v>
      </c>
      <c r="DC1" s="131" t="s">
        <v>440</v>
      </c>
      <c r="DD1" s="131" t="s">
        <v>441</v>
      </c>
    </row>
    <row r="2" spans="1:108" s="16" customFormat="1" x14ac:dyDescent="0.2">
      <c r="A2" s="16">
        <f>'Static 2'!B3</f>
        <v>0</v>
      </c>
      <c r="B2" s="16">
        <f>'Static 2'!B5</f>
        <v>0</v>
      </c>
      <c r="C2" s="132">
        <f>'Static 2'!B17</f>
        <v>0</v>
      </c>
      <c r="D2" s="16">
        <f>'Static 2'!B7</f>
        <v>0</v>
      </c>
      <c r="E2" s="132">
        <f>'Static 2'!B9</f>
        <v>0</v>
      </c>
      <c r="F2" s="16">
        <f>'Static 2'!B11</f>
        <v>0</v>
      </c>
      <c r="G2" s="132">
        <f>'Static 2'!B13</f>
        <v>0</v>
      </c>
      <c r="H2" s="133" t="str">
        <f>'Summary Report'!$D5</f>
        <v/>
      </c>
      <c r="I2" s="133" t="str">
        <f>'Summary Report'!$D6</f>
        <v/>
      </c>
      <c r="J2" s="133" t="str">
        <f>'Summary Report'!$D7</f>
        <v/>
      </c>
      <c r="K2" s="133" t="str">
        <f>'Summary Report'!$D8</f>
        <v/>
      </c>
      <c r="L2" s="133" t="str">
        <f>'Summary Report'!$D9</f>
        <v/>
      </c>
      <c r="M2" s="133" t="str">
        <f>'Summary Report'!$D10</f>
        <v/>
      </c>
      <c r="N2" s="133" t="str">
        <f>'Summary Report'!$D11</f>
        <v/>
      </c>
      <c r="O2" s="133" t="str">
        <f>IF('Data Values'!K12=FALSE,"",'Static 2'!D38)</f>
        <v/>
      </c>
      <c r="P2" s="133" t="str">
        <f>'Summary Report'!$J5</f>
        <v/>
      </c>
      <c r="Q2" s="133" t="str">
        <f>'Summary Report'!$J6</f>
        <v/>
      </c>
      <c r="R2" s="133" t="str">
        <f>'Summary Report'!$J7</f>
        <v/>
      </c>
      <c r="S2" s="133" t="str">
        <f>'Summary Report'!$J8</f>
        <v/>
      </c>
      <c r="T2" s="133" t="str">
        <f>'Summary Report'!$J9</f>
        <v/>
      </c>
      <c r="U2" s="133" t="str">
        <f>'Summary Report'!$J10</f>
        <v/>
      </c>
      <c r="V2" s="133" t="str">
        <f>'Summary Report'!$J11</f>
        <v/>
      </c>
      <c r="W2" s="133" t="str">
        <f>IF('Data Values'!K12=FALSE,"",'Static 2'!J38)</f>
        <v/>
      </c>
      <c r="X2" s="16" t="str">
        <f>IF(ISNUMBER('D1'!$A$5),'D1'!A5,"")</f>
        <v/>
      </c>
      <c r="Y2" s="16" t="str">
        <f>IF('D1'!$B$5='Data Values'!$B$2,-1,
IF('D1'!$B$5='Data Values'!$B$3,0,
IF('D1'!$B$5='Data Values'!$B$4,1,
IF('D1'!$B$5='Data Values'!$B$5,2,
IF('D1'!$B$5='Data Values'!$B$6,3,"")))))</f>
        <v/>
      </c>
      <c r="Z2" s="16" t="str">
        <f>IF('D1'!$C$5='Data Values'!$B$2,-1,
IF('D1'!$C$5='Data Values'!$B$3,0,
IF('D1'!$C$5='Data Values'!$B$4,1,
IF('D1'!$C$5='Data Values'!$B$5,2,
IF('D1'!$C$5='Data Values'!$B$6,3,"")))))</f>
        <v/>
      </c>
      <c r="AA2" s="16" t="str">
        <f>IF(OR(ISNUMBER('D1'!$D$5),ISNUMBER('D1'!$D$6)),MAX('D1'!$D$5,'D1'!$D$6),"")</f>
        <v/>
      </c>
      <c r="AB2" s="16" t="str">
        <f>IF(AND(ISNUMBER(X2),ISNUMBER(AA2)),X2-AA2,"")</f>
        <v/>
      </c>
      <c r="AC2" s="16" t="str">
        <f>IF(ISNUMBER('D2'!$A$5),'D2'!$A$5,"")</f>
        <v/>
      </c>
      <c r="AD2" s="16" t="str">
        <f>IF('D2'!$B$5='Data Values'!$B$2,-1,
IF('D2'!$B$5='Data Values'!$B$3,0,
IF('D2'!$B$5='Data Values'!$B$4,1,
IF('D2'!$B$5='Data Values'!$B$5,2,
IF('D2'!$B$5='Data Values'!$B$6,3,"")))))</f>
        <v/>
      </c>
      <c r="AE2" s="16" t="str">
        <f>IF('D2'!$C$5='Data Values'!$B$2,-1,
IF('D2'!$C$5='Data Values'!$B$3,0,
IF('D2'!$C$5='Data Values'!$B$4,1,
IF('D2'!$C$5='Data Values'!$B$5,2,
IF('D2'!$C$5='Data Values'!$B$6,3,"")))))</f>
        <v/>
      </c>
      <c r="AF2" s="16" t="str">
        <f>IF(OR(ISNUMBER('D2'!$D$5),ISNUMBER('D2'!$D$6)),MAX('D2'!$D$5,'D2'!$D$6),"")</f>
        <v/>
      </c>
      <c r="AG2" s="16" t="str">
        <f>IF(AND(ISNUMBER(AC2),ISNUMBER(AF2)),AC2-AF2,"")</f>
        <v/>
      </c>
      <c r="AH2" s="16" t="str">
        <f>IF(ISNUMBER('D3'!$A$5),'D3'!$A$5,"")</f>
        <v/>
      </c>
      <c r="AI2" s="16" t="str">
        <f>IF('D3'!$B$5='Data Values'!$B$2,-1,
IF('D3'!$B$5='Data Values'!$B$3,0,
IF('D3'!$B$5='Data Values'!$B$4,1,
IF('D3'!$B$5='Data Values'!$B$5,2,
IF('D3'!$B$5='Data Values'!$B$6,3,"")))))</f>
        <v/>
      </c>
      <c r="AJ2" s="16" t="str">
        <f>IF('D3'!$C$5='Data Values'!$B$2,-1,
IF('D3'!$C$5='Data Values'!$B$3,0,
IF('D3'!$C$5='Data Values'!$B$4,1,
IF('D3'!$C$5='Data Values'!$B$5,2,
IF('D3'!$C$5='Data Values'!$B$6,3,"")))))</f>
        <v/>
      </c>
      <c r="AK2" s="16" t="str">
        <f>IF(OR(ISNUMBER('D3'!$D$5),ISNUMBER('D3'!$D$6)),MAX('D3'!$D$5,'D3'!$D$6),"")</f>
        <v/>
      </c>
      <c r="AL2" s="16" t="str">
        <f>IF(AND(ISNUMBER(AH2),ISNUMBER(AK2)),AH2-AK2,"")</f>
        <v/>
      </c>
      <c r="AM2" s="16" t="str">
        <f>IF(ISNUMBER('D4'!$A$5),'D4'!$A$5,"")</f>
        <v/>
      </c>
      <c r="AN2" s="16" t="str">
        <f>IF('D4'!$B$5='Data Values'!$B$2,-1,
IF('D4'!$B$5='Data Values'!$B$3,0,
IF('D4'!$B$5='Data Values'!$B$4,1,
IF('D4'!$B$5='Data Values'!$B$5,2,
IF('D4'!$B$5='Data Values'!$B$6,3,"")))))</f>
        <v/>
      </c>
      <c r="AO2" s="16" t="str">
        <f>IF('D4'!$C$5='Data Values'!$B$2,-1,
IF('D4'!$C$5='Data Values'!$B$3,0,
IF('D4'!$C$5='Data Values'!$B$4,1,
IF('D4'!$C$5='Data Values'!$B$5,2,
IF('D4'!$C$5='Data Values'!$B$6,3,"")))))</f>
        <v/>
      </c>
      <c r="AP2" s="16" t="str">
        <f>IF(OR(ISNUMBER('D4'!$D$5),ISNUMBER('D4'!$D$6)),MAX('D4'!$D$5,'D4'!$D$6),"")</f>
        <v/>
      </c>
      <c r="AQ2" s="16" t="str">
        <f>IF(AND(ISNUMBER(AM2),ISNUMBER(AP2)),AM2-AP2,"")</f>
        <v/>
      </c>
      <c r="AR2" s="16" t="str">
        <f>IF(ISNUMBER('D5'!$A$5),'D5'!$A$5,"")</f>
        <v/>
      </c>
      <c r="AS2" s="16" t="str">
        <f>IF('D5'!$B$5='Data Values'!$B$2,-1,
IF('D5'!$B$5='Data Values'!$B$3,0,
IF('D5'!$B$5='Data Values'!$B$4,1,
IF('D5'!$B$5='Data Values'!$B$5,2,
IF('D5'!$B$5='Data Values'!$B$6,3,"")))))</f>
        <v/>
      </c>
      <c r="AT2" s="16" t="str">
        <f>IF('D5'!$C$5='Data Values'!$B$2,-1,
IF('D5'!$C$5='Data Values'!$B$3,0,
IF('D5'!$C$5='Data Values'!$B$4,1,
IF('D5'!$C$5='Data Values'!$B$5,2,
IF('D5'!$C$5='Data Values'!$B$6,3,"")))))</f>
        <v/>
      </c>
      <c r="AU2" s="16" t="str">
        <f>IF(OR(ISNUMBER('D5'!$D$5),ISNUMBER('D5'!$D$6)),MAX('D5'!$D$5,'D5'!$D$6),"")</f>
        <v/>
      </c>
      <c r="AV2" s="16" t="str">
        <f>IF(AND(ISNUMBER(AR2),ISNUMBER(AU2)),AR2-AU2,"")</f>
        <v/>
      </c>
      <c r="AW2" s="16" t="str">
        <f>IF(ISNUMBER('D6'!$A$5),'D6'!$A$5,"")</f>
        <v/>
      </c>
      <c r="AX2" s="16" t="str">
        <f>IF('D6'!$B$5='Data Values'!$B$2,-1,
IF('D6'!$B$5='Data Values'!$B$3,0,
IF('D6'!$B$5='Data Values'!$B$4,1,
IF('D6'!$B$5='Data Values'!$B$5,2,
IF('D6'!$B$5='Data Values'!$B$6,3,"")))))</f>
        <v/>
      </c>
      <c r="AY2" s="16" t="str">
        <f>IF('D6'!$C$5='Data Values'!$B$2,-1,
IF('D6'!$C$5='Data Values'!$B$3,0,
IF('D6'!$C$5='Data Values'!$B$4,1,
IF('D6'!$C$5='Data Values'!$B$5,2,
IF('D6'!$C$5='Data Values'!$B$6,3,"")))))</f>
        <v/>
      </c>
      <c r="AZ2" s="16" t="str">
        <f>IF(OR(ISNUMBER('D6'!$D$5),ISNUMBER('D6'!$D$6)),MAX('D6'!$D$5,'D6'!$D$6),"")</f>
        <v/>
      </c>
      <c r="BA2" s="16" t="str">
        <f>IF(AND(ISNUMBER(AW2),ISNUMBER(AZ2)),AW2-AZ2,"")</f>
        <v/>
      </c>
      <c r="BB2" s="16" t="str">
        <f>IF(ISNUMBER('D7'!$A$5),'D7'!$A$5,"")</f>
        <v/>
      </c>
      <c r="BC2" s="16" t="str">
        <f>IF('D7'!$B$5='Data Values'!$B$2,-1,
IF('D7'!$B$5='Data Values'!$B$3,0,
IF('D7'!$B$5='Data Values'!$B$4,1,
IF('D7'!$B$5='Data Values'!$B$5,2,
IF('D7'!$B$5='Data Values'!$B$6,3,"")))))</f>
        <v/>
      </c>
      <c r="BD2" s="16" t="str">
        <f>IF('D7'!$C$5='Data Values'!$B$2,-1,
IF('D7'!$C$5='Data Values'!$B$3,0,
IF('D7'!$C$5='Data Values'!$B$4,1,
IF('D7'!$C$5='Data Values'!$B$5,2,
IF('D7'!$C$5='Data Values'!$B$6,3,"")))))</f>
        <v/>
      </c>
      <c r="BE2" s="16" t="str">
        <f>IF(OR(ISNUMBER('D7'!$D$5),ISNUMBER('D7'!$D$6)),MAX('D7'!$D$5,'D7'!$D$6),"")</f>
        <v/>
      </c>
      <c r="BF2" s="16" t="str">
        <f>IF(AND(ISNUMBER(BB2),ISNUMBER(BE2)),BB2-BE2,"")</f>
        <v/>
      </c>
      <c r="BG2" s="16" t="str">
        <f>IF(ISNUMBER('D8'!$A$5),'D8'!$A$5,"")</f>
        <v/>
      </c>
      <c r="BH2" s="16" t="str">
        <f>IF('D8'!$B$5='Data Values'!$B$2,-1,
IF('D8'!$B$5='Data Values'!$B$3,0,
IF('D8'!$B$5='Data Values'!$B$4,1,
IF('D8'!$B$5='Data Values'!$B$5,2,
IF('D8'!$B$5='Data Values'!$B$6,3,"")))))</f>
        <v/>
      </c>
      <c r="BI2" s="16" t="str">
        <f>IF('D8'!$C$5='Data Values'!$B$2,-1,
IF('D8'!$C$5='Data Values'!$B$3,0,
IF('D8'!$C$5='Data Values'!$B$4,1,
IF('D8'!$C$5='Data Values'!$B$5,2,
IF('D8'!$C$5='Data Values'!$B$6,3,"")))))</f>
        <v/>
      </c>
      <c r="BJ2" s="16" t="str">
        <f>IF(OR(ISNUMBER('D8'!$D$5),ISNUMBER('D8'!$D$6)),MAX('D8'!$D$5,'D8'!$D$6),"")</f>
        <v/>
      </c>
      <c r="BK2" s="16" t="str">
        <f>IF(AND(ISNUMBER(BG2),ISNUMBER(BJ2)),BG2-BJ2,"")</f>
        <v/>
      </c>
      <c r="BL2" s="16" t="str">
        <f>IF(ISNUMBER('D9'!$A$5),'D9'!$A$5,"")</f>
        <v/>
      </c>
      <c r="BM2" s="16" t="str">
        <f>IF('D9'!$B$5='Data Values'!$B$2,-1,
IF('D9'!$B$5='Data Values'!$B$3,0,
IF('D9'!$B$5='Data Values'!$B$4,1,
IF('D9'!$B$5='Data Values'!$B$5,2,
IF('D9'!$B$5='Data Values'!$B$6,3,"")))))</f>
        <v/>
      </c>
      <c r="BN2" s="16" t="str">
        <f>IF('D9'!$C$5='Data Values'!$B$2,-1,
IF('D9'!$C$5='Data Values'!$B$3,0,
IF('D9'!$C$5='Data Values'!$B$4,1,
IF('D9'!$C$5='Data Values'!$B$5,2,
IF('D9'!$C$5='Data Values'!$B$6,3,"")))))</f>
        <v/>
      </c>
      <c r="BO2" s="16" t="str">
        <f>IF(OR(ISNUMBER('D9'!$D$5),ISNUMBER('D9'!$D$6)),MAX('D9'!$D$5,'D9'!$D$6),"")</f>
        <v/>
      </c>
      <c r="BP2" s="16" t="str">
        <f>IF(AND(ISNUMBER(BL2),ISNUMBER(BO2)),BL2-BO2,"")</f>
        <v/>
      </c>
      <c r="BQ2" s="16" t="str">
        <f>IF(ISNUMBER('D10'!$A$5),'D10'!$A$5,"")</f>
        <v/>
      </c>
      <c r="BR2" s="16" t="str">
        <f>IF('D10'!$B$5='Data Values'!$B$2,-1,
IF('D10'!$B$5='Data Values'!$B$3,0,
IF('D10'!$B$5='Data Values'!$B$4,1,
IF('D10'!$B$5='Data Values'!$B$5,2,
IF('D10'!$B$5='Data Values'!$B$6,3,"")))))</f>
        <v/>
      </c>
      <c r="BS2" s="16" t="str">
        <f>IF('D10'!$C$5='Data Values'!$B$2,-1,
IF('D10'!$C$5='Data Values'!$B$3,0,
IF('D10'!$C$5='Data Values'!$B$4,1,
IF('D10'!$C$5='Data Values'!$B$5,2,
IF('D10'!$C$5='Data Values'!$B$6,3,"")))))</f>
        <v/>
      </c>
      <c r="BT2" s="16" t="str">
        <f>IF(OR(ISNUMBER('D10'!$D$5),ISNUMBER('D10'!$D$6)),MAX('D10'!$D$5,'D10'!$D$6),"")</f>
        <v/>
      </c>
      <c r="BU2" s="16" t="str">
        <f>IF(AND(ISNUMBER(BQ2),ISNUMBER(BT2)),BQ2-BT2,"")</f>
        <v/>
      </c>
      <c r="BV2" s="16" t="str">
        <f>IF(ISNUMBER('D11'!$A$5),'D11'!$A$5,"")</f>
        <v/>
      </c>
      <c r="BW2" s="16" t="str">
        <f>IF('D11'!$B$5='Data Values'!$B$2,-1,
IF('D11'!$B$5='Data Values'!$B$3,0,
IF('D11'!$B$5='Data Values'!$B$4,1,
IF('D11'!$B$5='Data Values'!$B$5,2,
IF('D11'!$B$5='Data Values'!$B$6,3,"")))))</f>
        <v/>
      </c>
      <c r="BX2" s="16" t="str">
        <f>IF('D11'!$C$5='Data Values'!$B$2,-1,
IF('D11'!$C$5='Data Values'!$B$3,0,
IF('D11'!$C$5='Data Values'!$B$4,1,
IF('D11'!$C$5='Data Values'!$B$5,2,
IF('D11'!$C$5='Data Values'!$B$6,3,"")))))</f>
        <v/>
      </c>
      <c r="BY2" s="16" t="str">
        <f>IF(OR(ISNUMBER('D11'!$D$5),ISNUMBER('D11'!$D$6)),MAX('D11'!$D$5,'D11'!$D$6),"")</f>
        <v/>
      </c>
      <c r="BZ2" s="16" t="str">
        <f>IF(AND(ISNUMBER(BV2),ISNUMBER(BY2)),BV2-BY2,"")</f>
        <v/>
      </c>
      <c r="CA2" s="16" t="str">
        <f>IF(ISNUMBER('D12'!$A$5),'D12'!$A$5,"")</f>
        <v/>
      </c>
      <c r="CB2" s="16" t="str">
        <f>IF('D12'!$B$5='Data Values'!$B$2,-1,
IF('D12'!$B$5='Data Values'!$B$3,0,
IF('D12'!$B$5='Data Values'!$B$4,1,
IF('D12'!$B$5='Data Values'!$B$5,2,
IF('D12'!$B$5='Data Values'!$B$6,3,"")))))</f>
        <v/>
      </c>
      <c r="CC2" s="16" t="str">
        <f>IF('D12'!$C$5='Data Values'!$B$2,-1,
IF('D12'!$C$5='Data Values'!$B$3,0,
IF('D12'!$C$5='Data Values'!$B$4,1,
IF('D12'!$C$5='Data Values'!$B$5,2,
IF('D12'!$C$5='Data Values'!$B$6,3,"")))))</f>
        <v/>
      </c>
      <c r="CD2" s="16" t="str">
        <f>IF(OR(ISNUMBER('D12'!$D$5),ISNUMBER('D12'!$D$6)),MAX('D12'!$D$5,'D12'!$D$6),"")</f>
        <v/>
      </c>
      <c r="CE2" s="16" t="str">
        <f>IF(AND(ISNUMBER(CA2),ISNUMBER(CD2)),CA2-CD2,"")</f>
        <v/>
      </c>
      <c r="CF2" s="16" t="str">
        <f>IF(ISNUMBER('D13'!$A$5),'D13'!$A$5,"")</f>
        <v/>
      </c>
      <c r="CG2" s="16" t="str">
        <f>IF('D13'!$B$5='Data Values'!$B$2,-1,
IF('D13'!$B$5='Data Values'!$B$3,0,
IF('D13'!$B$5='Data Values'!$B$4,1,
IF('D13'!$B$5='Data Values'!$B$5,2,
IF('D13'!$B$5='Data Values'!$B$6,3,"")))))</f>
        <v/>
      </c>
      <c r="CH2" s="16" t="str">
        <f>IF('D13'!$C$5='Data Values'!$B$2,-1,
IF('D13'!$C$5='Data Values'!$B$3,0,
IF('D13'!$C$5='Data Values'!$B$4,1,
IF('D13'!$C$5='Data Values'!$B$5,2,
IF('D13'!$C$5='Data Values'!$B$6,3,"")))))</f>
        <v/>
      </c>
      <c r="CI2" s="16" t="str">
        <f>IF(OR(ISNUMBER('D13'!$D$5),ISNUMBER('D13'!$D$6)),MAX('D13'!$D$5,'D13'!$D$6),"")</f>
        <v/>
      </c>
      <c r="CJ2" s="16" t="str">
        <f>IF(AND(ISNUMBER(CF2),ISNUMBER(CI2)),CF2-CI2,"")</f>
        <v/>
      </c>
      <c r="CK2" s="16" t="str">
        <f>IF(ISNUMBER('D14'!$A$5),'D14'!$A$5,"")</f>
        <v/>
      </c>
      <c r="CL2" s="16" t="str">
        <f>IF('D14'!$B$5='Data Values'!$B$2,-1,
IF('D14'!$B$5='Data Values'!$B$3,0,
IF('D14'!$B$5='Data Values'!$B$4,1,
IF('D14'!$B$5='Data Values'!$B$5,2,
IF('D14'!$B$5='Data Values'!$B$6,3,"")))))</f>
        <v/>
      </c>
      <c r="CM2" s="16" t="str">
        <f>IF('D14'!$C$5='Data Values'!$B$2,-1,
IF('D14'!$C$5='Data Values'!$B$3,0,
IF('D14'!$C$5='Data Values'!$B$4,1,
IF('D14'!$C$5='Data Values'!$B$5,2,
IF('D14'!$C$5='Data Values'!$B$6,3,"")))))</f>
        <v/>
      </c>
      <c r="CN2" s="16" t="str">
        <f>IF(OR(ISNUMBER('D14'!$D$5),ISNUMBER('D14'!$D$6)),MAX('D14'!$D$5,'D14'!$D$6),"")</f>
        <v/>
      </c>
      <c r="CO2" s="16" t="str">
        <f>IF(AND(ISNUMBER(CK2),ISNUMBER(CN2)),CK2-CN2,"")</f>
        <v/>
      </c>
      <c r="CP2" s="16" t="str">
        <f>IF(ISNUMBER('D15'!$A$5),'D15'!$A$5,"")</f>
        <v/>
      </c>
      <c r="CQ2" s="16" t="str">
        <f>IF('D15'!$B$5='Data Values'!$B$2,-1,
IF('D15'!$B$5='Data Values'!$B$3,0,
IF('D15'!$B$5='Data Values'!$B$4,1,
IF('D15'!$B$5='Data Values'!$B$5,2,
IF('D15'!$B$5='Data Values'!$B$6,3,"")))))</f>
        <v/>
      </c>
      <c r="CR2" s="16" t="str">
        <f>IF('D15'!$C$5='Data Values'!$B$2,-1,
IF('D15'!$C$5='Data Values'!$B$3,0,
IF('D15'!$C$5='Data Values'!$B$4,1,
IF('D15'!$C$5='Data Values'!$B$5,2,
IF('D15'!$C$5='Data Values'!$B$6,3,"")))))</f>
        <v/>
      </c>
      <c r="CS2" s="16" t="str">
        <f>IF(OR(ISNUMBER('D15'!$D$5),ISNUMBER('D15'!$D$6)),MAX('D15'!$D$5,'D15'!$D$6),"")</f>
        <v/>
      </c>
      <c r="CT2" s="16" t="str">
        <f>IF(AND(ISNUMBER(CP2),ISNUMBER(CS2)),CP2-CS2,"")</f>
        <v/>
      </c>
      <c r="CU2" s="16" t="str">
        <f>IF(ISNUMBER('D16'!$A$5),'D16'!$A$5,"")</f>
        <v/>
      </c>
      <c r="CV2" s="16" t="str">
        <f>IF('D16'!$B$5='Data Values'!$B$2,-1,
IF('D16'!$B$5='Data Values'!$B$3,0,
IF('D16'!$B$5='Data Values'!$B$4,1,
IF('D16'!$B$5='Data Values'!$B$5,2,
IF('D16'!$B$5='Data Values'!$B$6,3,"")))))</f>
        <v/>
      </c>
      <c r="CW2" s="16" t="str">
        <f>IF('D16'!$C$5='Data Values'!$B$2,-1,
IF('D16'!$C$5='Data Values'!$B$3,0,
IF('D16'!$C$5='Data Values'!$B$4,1,
IF('D16'!$C$5='Data Values'!$B$5,2,
IF('D16'!$C$5='Data Values'!$B$6,3,"")))))</f>
        <v/>
      </c>
      <c r="CX2" s="16" t="str">
        <f>IF(OR(ISNUMBER('D16'!$D$5),ISNUMBER('D16'!$D$6)),MAX('D16'!$D$5,'D16'!$D$6),"")</f>
        <v/>
      </c>
      <c r="CY2" s="16" t="str">
        <f>IF(AND(ISNUMBER(CU2),ISNUMBER(CX2)),CU2-CX2,"")</f>
        <v/>
      </c>
      <c r="CZ2" s="16" t="str">
        <f>IF(ISNUMBER('D17'!$A$5),'D17'!$A$5,"")</f>
        <v/>
      </c>
      <c r="DA2" s="16" t="str">
        <f>IF('D17'!$B$5='Data Values'!$B$2,-1,
IF('D17'!$B$5='Data Values'!$B$3,0,
IF('D17'!$B$5='Data Values'!$B$4,1,
IF('D17'!$B$5='Data Values'!$B$5,2,
IF('D17'!$B$5='Data Values'!$B$6,3,"")))))</f>
        <v/>
      </c>
      <c r="DB2" s="16" t="str">
        <f>IF('D17'!$C$5='Data Values'!$B$2,-1,
IF('D17'!$C$5='Data Values'!$B$3,0,
IF('D17'!$C$5='Data Values'!$B$4,1,
IF('D17'!$C$5='Data Values'!$B$5,2,
IF('D17'!$C$5='Data Values'!$B$6,3,"")))))</f>
        <v/>
      </c>
      <c r="DC2" s="16" t="str">
        <f>IF(OR(ISNUMBER('D17'!$D$5),ISNUMBER('D17'!$D$6)),MAX('D17'!$D$5,'D17'!$D$6),"")</f>
        <v/>
      </c>
      <c r="DD2" s="16" t="str">
        <f>IF(AND(ISNUMBER(CZ2),ISNUMBER(DC2)),CZ2-DC2,"")</f>
        <v/>
      </c>
    </row>
  </sheetData>
  <sheetProtection password="E82C" sheet="1" objects="1" scenarios="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109"/>
  <sheetViews>
    <sheetView showRowColHeaders="0" topLeftCell="A98" workbookViewId="0">
      <selection activeCell="D101" sqref="D101"/>
    </sheetView>
  </sheetViews>
  <sheetFormatPr defaultRowHeight="15" x14ac:dyDescent="0.2"/>
  <cols>
    <col min="1" max="1" width="26.77734375" style="135" customWidth="1"/>
    <col min="2" max="2" width="39" style="134" customWidth="1"/>
    <col min="3" max="3" width="59.5546875" style="130" customWidth="1"/>
    <col min="4" max="16384" width="8.88671875" style="121"/>
  </cols>
  <sheetData>
    <row r="1" spans="1:6" x14ac:dyDescent="0.2">
      <c r="A1" s="136" t="s">
        <v>207</v>
      </c>
      <c r="B1" s="137" t="s">
        <v>208</v>
      </c>
      <c r="C1" s="138" t="s">
        <v>209</v>
      </c>
    </row>
    <row r="2" spans="1:6" x14ac:dyDescent="0.2">
      <c r="A2" s="136" t="s">
        <v>169</v>
      </c>
      <c r="B2" s="137" t="s">
        <v>170</v>
      </c>
      <c r="C2" s="138" t="s">
        <v>171</v>
      </c>
    </row>
    <row r="3" spans="1:6" x14ac:dyDescent="0.2">
      <c r="A3" s="136" t="s">
        <v>172</v>
      </c>
      <c r="B3" s="137" t="s">
        <v>173</v>
      </c>
      <c r="C3" s="138" t="s">
        <v>174</v>
      </c>
    </row>
    <row r="4" spans="1:6" x14ac:dyDescent="0.2">
      <c r="A4" s="136" t="s">
        <v>184</v>
      </c>
      <c r="B4" s="137" t="s">
        <v>185</v>
      </c>
      <c r="C4" s="138" t="s">
        <v>183</v>
      </c>
    </row>
    <row r="5" spans="1:6" x14ac:dyDescent="0.2">
      <c r="A5" s="136" t="s">
        <v>175</v>
      </c>
      <c r="B5" s="137" t="s">
        <v>179</v>
      </c>
      <c r="C5" s="138" t="s">
        <v>171</v>
      </c>
    </row>
    <row r="6" spans="1:6" x14ac:dyDescent="0.2">
      <c r="A6" s="136" t="s">
        <v>176</v>
      </c>
      <c r="B6" s="137" t="s">
        <v>180</v>
      </c>
      <c r="C6" s="138" t="s">
        <v>183</v>
      </c>
    </row>
    <row r="7" spans="1:6" x14ac:dyDescent="0.2">
      <c r="A7" s="136" t="s">
        <v>177</v>
      </c>
      <c r="B7" s="137" t="s">
        <v>181</v>
      </c>
      <c r="C7" s="138" t="s">
        <v>171</v>
      </c>
    </row>
    <row r="8" spans="1:6" x14ac:dyDescent="0.2">
      <c r="A8" s="136" t="s">
        <v>178</v>
      </c>
      <c r="B8" s="137" t="s">
        <v>182</v>
      </c>
      <c r="C8" s="138" t="s">
        <v>183</v>
      </c>
    </row>
    <row r="9" spans="1:6" ht="60" x14ac:dyDescent="0.2">
      <c r="A9" s="136" t="s">
        <v>186</v>
      </c>
      <c r="B9" s="137" t="s">
        <v>200</v>
      </c>
      <c r="C9" s="139" t="s">
        <v>221</v>
      </c>
    </row>
    <row r="10" spans="1:6" ht="60" x14ac:dyDescent="0.2">
      <c r="A10" s="136" t="s">
        <v>187</v>
      </c>
      <c r="B10" s="137" t="s">
        <v>201</v>
      </c>
      <c r="C10" s="139" t="s">
        <v>222</v>
      </c>
    </row>
    <row r="11" spans="1:6" ht="60" x14ac:dyDescent="0.2">
      <c r="A11" s="136" t="s">
        <v>188</v>
      </c>
      <c r="B11" s="137" t="s">
        <v>202</v>
      </c>
      <c r="C11" s="139" t="s">
        <v>223</v>
      </c>
    </row>
    <row r="12" spans="1:6" ht="60" x14ac:dyDescent="0.2">
      <c r="A12" s="136" t="s">
        <v>189</v>
      </c>
      <c r="B12" s="137" t="s">
        <v>203</v>
      </c>
      <c r="C12" s="139" t="s">
        <v>217</v>
      </c>
      <c r="F12" s="122"/>
    </row>
    <row r="13" spans="1:6" ht="60" x14ac:dyDescent="0.2">
      <c r="A13" s="136" t="s">
        <v>190</v>
      </c>
      <c r="B13" s="137" t="s">
        <v>204</v>
      </c>
      <c r="C13" s="139" t="s">
        <v>218</v>
      </c>
    </row>
    <row r="14" spans="1:6" ht="60" x14ac:dyDescent="0.2">
      <c r="A14" s="136" t="s">
        <v>191</v>
      </c>
      <c r="B14" s="137" t="s">
        <v>205</v>
      </c>
      <c r="C14" s="139" t="s">
        <v>219</v>
      </c>
    </row>
    <row r="15" spans="1:6" ht="60" x14ac:dyDescent="0.2">
      <c r="A15" s="136" t="s">
        <v>192</v>
      </c>
      <c r="B15" s="137" t="s">
        <v>206</v>
      </c>
      <c r="C15" s="139" t="s">
        <v>220</v>
      </c>
    </row>
    <row r="16" spans="1:6" x14ac:dyDescent="0.2">
      <c r="A16" s="136" t="s">
        <v>224</v>
      </c>
      <c r="B16" s="137" t="s">
        <v>225</v>
      </c>
      <c r="C16" s="139" t="s">
        <v>226</v>
      </c>
    </row>
    <row r="17" spans="1:3" ht="60" x14ac:dyDescent="0.2">
      <c r="A17" s="136" t="s">
        <v>193</v>
      </c>
      <c r="B17" s="137" t="s">
        <v>210</v>
      </c>
      <c r="C17" s="139" t="s">
        <v>221</v>
      </c>
    </row>
    <row r="18" spans="1:3" ht="60" x14ac:dyDescent="0.2">
      <c r="A18" s="136" t="s">
        <v>194</v>
      </c>
      <c r="B18" s="137" t="s">
        <v>211</v>
      </c>
      <c r="C18" s="139" t="s">
        <v>222</v>
      </c>
    </row>
    <row r="19" spans="1:3" ht="60" x14ac:dyDescent="0.2">
      <c r="A19" s="136" t="s">
        <v>195</v>
      </c>
      <c r="B19" s="137" t="s">
        <v>212</v>
      </c>
      <c r="C19" s="139" t="s">
        <v>223</v>
      </c>
    </row>
    <row r="20" spans="1:3" ht="60" x14ac:dyDescent="0.2">
      <c r="A20" s="136" t="s">
        <v>196</v>
      </c>
      <c r="B20" s="137" t="s">
        <v>213</v>
      </c>
      <c r="C20" s="139" t="s">
        <v>217</v>
      </c>
    </row>
    <row r="21" spans="1:3" ht="60" x14ac:dyDescent="0.2">
      <c r="A21" s="136" t="s">
        <v>197</v>
      </c>
      <c r="B21" s="137" t="s">
        <v>214</v>
      </c>
      <c r="C21" s="139" t="s">
        <v>218</v>
      </c>
    </row>
    <row r="22" spans="1:3" ht="60" x14ac:dyDescent="0.2">
      <c r="A22" s="136" t="s">
        <v>198</v>
      </c>
      <c r="B22" s="137" t="s">
        <v>215</v>
      </c>
      <c r="C22" s="139" t="s">
        <v>219</v>
      </c>
    </row>
    <row r="23" spans="1:3" ht="60" x14ac:dyDescent="0.2">
      <c r="A23" s="136" t="s">
        <v>199</v>
      </c>
      <c r="B23" s="137" t="s">
        <v>216</v>
      </c>
      <c r="C23" s="139" t="s">
        <v>220</v>
      </c>
    </row>
    <row r="24" spans="1:3" x14ac:dyDescent="0.2">
      <c r="A24" s="136" t="s">
        <v>227</v>
      </c>
      <c r="B24" s="137" t="s">
        <v>228</v>
      </c>
      <c r="C24" s="139" t="s">
        <v>226</v>
      </c>
    </row>
    <row r="25" spans="1:3" x14ac:dyDescent="0.2">
      <c r="A25" s="136" t="s">
        <v>245</v>
      </c>
      <c r="B25" s="137" t="s">
        <v>246</v>
      </c>
      <c r="C25" s="139" t="s">
        <v>229</v>
      </c>
    </row>
    <row r="26" spans="1:3" ht="90" x14ac:dyDescent="0.2">
      <c r="A26" s="136" t="s">
        <v>247</v>
      </c>
      <c r="B26" s="137" t="s">
        <v>248</v>
      </c>
      <c r="C26" s="139" t="s">
        <v>232</v>
      </c>
    </row>
    <row r="27" spans="1:3" ht="90" x14ac:dyDescent="0.2">
      <c r="A27" s="136" t="s">
        <v>249</v>
      </c>
      <c r="B27" s="137" t="s">
        <v>250</v>
      </c>
      <c r="C27" s="139" t="s">
        <v>232</v>
      </c>
    </row>
    <row r="28" spans="1:3" x14ac:dyDescent="0.2">
      <c r="A28" s="136" t="s">
        <v>251</v>
      </c>
      <c r="B28" s="137" t="s">
        <v>252</v>
      </c>
      <c r="C28" s="139" t="s">
        <v>231</v>
      </c>
    </row>
    <row r="29" spans="1:3" x14ac:dyDescent="0.2">
      <c r="A29" s="136" t="s">
        <v>253</v>
      </c>
      <c r="B29" s="137" t="s">
        <v>254</v>
      </c>
      <c r="C29" s="139" t="s">
        <v>230</v>
      </c>
    </row>
    <row r="30" spans="1:3" x14ac:dyDescent="0.2">
      <c r="A30" s="136" t="s">
        <v>234</v>
      </c>
      <c r="B30" s="137" t="s">
        <v>235</v>
      </c>
      <c r="C30" s="139" t="s">
        <v>229</v>
      </c>
    </row>
    <row r="31" spans="1:3" ht="90" x14ac:dyDescent="0.2">
      <c r="A31" s="136" t="s">
        <v>236</v>
      </c>
      <c r="B31" s="137" t="s">
        <v>237</v>
      </c>
      <c r="C31" s="139" t="s">
        <v>232</v>
      </c>
    </row>
    <row r="32" spans="1:3" ht="90" x14ac:dyDescent="0.2">
      <c r="A32" s="136" t="s">
        <v>238</v>
      </c>
      <c r="B32" s="137" t="s">
        <v>239</v>
      </c>
      <c r="C32" s="139" t="s">
        <v>232</v>
      </c>
    </row>
    <row r="33" spans="1:3" x14ac:dyDescent="0.2">
      <c r="A33" s="136" t="s">
        <v>240</v>
      </c>
      <c r="B33" s="137" t="s">
        <v>241</v>
      </c>
      <c r="C33" s="139" t="s">
        <v>242</v>
      </c>
    </row>
    <row r="34" spans="1:3" x14ac:dyDescent="0.2">
      <c r="A34" s="136" t="s">
        <v>243</v>
      </c>
      <c r="B34" s="137" t="s">
        <v>244</v>
      </c>
      <c r="C34" s="139" t="s">
        <v>233</v>
      </c>
    </row>
    <row r="35" spans="1:3" x14ac:dyDescent="0.2">
      <c r="A35" s="136" t="s">
        <v>262</v>
      </c>
      <c r="B35" s="137" t="s">
        <v>258</v>
      </c>
      <c r="C35" s="139" t="s">
        <v>229</v>
      </c>
    </row>
    <row r="36" spans="1:3" ht="90" x14ac:dyDescent="0.2">
      <c r="A36" s="136" t="s">
        <v>263</v>
      </c>
      <c r="B36" s="137" t="s">
        <v>259</v>
      </c>
      <c r="C36" s="139" t="s">
        <v>232</v>
      </c>
    </row>
    <row r="37" spans="1:3" ht="90" x14ac:dyDescent="0.2">
      <c r="A37" s="136" t="s">
        <v>264</v>
      </c>
      <c r="B37" s="137" t="s">
        <v>260</v>
      </c>
      <c r="C37" s="139" t="s">
        <v>232</v>
      </c>
    </row>
    <row r="38" spans="1:3" x14ac:dyDescent="0.2">
      <c r="A38" s="136" t="s">
        <v>265</v>
      </c>
      <c r="B38" s="137" t="s">
        <v>261</v>
      </c>
      <c r="C38" s="139" t="s">
        <v>255</v>
      </c>
    </row>
    <row r="39" spans="1:3" x14ac:dyDescent="0.2">
      <c r="A39" s="136" t="s">
        <v>266</v>
      </c>
      <c r="B39" s="137" t="s">
        <v>256</v>
      </c>
      <c r="C39" s="139" t="s">
        <v>257</v>
      </c>
    </row>
    <row r="40" spans="1:3" x14ac:dyDescent="0.2">
      <c r="A40" s="136" t="s">
        <v>372</v>
      </c>
      <c r="B40" s="137" t="s">
        <v>267</v>
      </c>
      <c r="C40" s="139" t="s">
        <v>229</v>
      </c>
    </row>
    <row r="41" spans="1:3" ht="90" x14ac:dyDescent="0.2">
      <c r="A41" s="136" t="s">
        <v>373</v>
      </c>
      <c r="B41" s="137" t="s">
        <v>268</v>
      </c>
      <c r="C41" s="139" t="s">
        <v>232</v>
      </c>
    </row>
    <row r="42" spans="1:3" ht="90" x14ac:dyDescent="0.2">
      <c r="A42" s="136" t="s">
        <v>374</v>
      </c>
      <c r="B42" s="137" t="s">
        <v>269</v>
      </c>
      <c r="C42" s="139" t="s">
        <v>232</v>
      </c>
    </row>
    <row r="43" spans="1:3" x14ac:dyDescent="0.2">
      <c r="A43" s="136" t="s">
        <v>375</v>
      </c>
      <c r="B43" s="137" t="s">
        <v>271</v>
      </c>
      <c r="C43" s="139" t="s">
        <v>288</v>
      </c>
    </row>
    <row r="44" spans="1:3" x14ac:dyDescent="0.2">
      <c r="A44" s="136" t="s">
        <v>270</v>
      </c>
      <c r="B44" s="137" t="s">
        <v>272</v>
      </c>
      <c r="C44" s="139" t="s">
        <v>273</v>
      </c>
    </row>
    <row r="45" spans="1:3" x14ac:dyDescent="0.2">
      <c r="A45" s="136" t="s">
        <v>376</v>
      </c>
      <c r="B45" s="137" t="s">
        <v>274</v>
      </c>
      <c r="C45" s="139" t="s">
        <v>229</v>
      </c>
    </row>
    <row r="46" spans="1:3" ht="90" x14ac:dyDescent="0.2">
      <c r="A46" s="136" t="s">
        <v>377</v>
      </c>
      <c r="B46" s="137" t="s">
        <v>275</v>
      </c>
      <c r="C46" s="139" t="s">
        <v>232</v>
      </c>
    </row>
    <row r="47" spans="1:3" ht="90" x14ac:dyDescent="0.2">
      <c r="A47" s="136" t="s">
        <v>378</v>
      </c>
      <c r="B47" s="137" t="s">
        <v>276</v>
      </c>
      <c r="C47" s="139" t="s">
        <v>232</v>
      </c>
    </row>
    <row r="48" spans="1:3" x14ac:dyDescent="0.2">
      <c r="A48" s="136" t="s">
        <v>379</v>
      </c>
      <c r="B48" s="137" t="s">
        <v>277</v>
      </c>
      <c r="C48" s="139" t="s">
        <v>279</v>
      </c>
    </row>
    <row r="49" spans="1:3" x14ac:dyDescent="0.2">
      <c r="A49" s="136" t="s">
        <v>380</v>
      </c>
      <c r="B49" s="137" t="s">
        <v>285</v>
      </c>
      <c r="C49" s="139" t="s">
        <v>278</v>
      </c>
    </row>
    <row r="50" spans="1:3" x14ac:dyDescent="0.2">
      <c r="A50" s="136" t="s">
        <v>381</v>
      </c>
      <c r="B50" s="137" t="s">
        <v>280</v>
      </c>
      <c r="C50" s="139" t="s">
        <v>229</v>
      </c>
    </row>
    <row r="51" spans="1:3" ht="90" x14ac:dyDescent="0.2">
      <c r="A51" s="136" t="s">
        <v>382</v>
      </c>
      <c r="B51" s="137" t="s">
        <v>281</v>
      </c>
      <c r="C51" s="139" t="s">
        <v>232</v>
      </c>
    </row>
    <row r="52" spans="1:3" ht="90" x14ac:dyDescent="0.2">
      <c r="A52" s="136" t="s">
        <v>383</v>
      </c>
      <c r="B52" s="137" t="s">
        <v>282</v>
      </c>
      <c r="C52" s="139" t="s">
        <v>232</v>
      </c>
    </row>
    <row r="53" spans="1:3" x14ac:dyDescent="0.2">
      <c r="A53" s="136" t="s">
        <v>384</v>
      </c>
      <c r="B53" s="137" t="s">
        <v>283</v>
      </c>
      <c r="C53" s="139" t="s">
        <v>287</v>
      </c>
    </row>
    <row r="54" spans="1:3" x14ac:dyDescent="0.2">
      <c r="A54" s="136" t="s">
        <v>385</v>
      </c>
      <c r="B54" s="137" t="s">
        <v>286</v>
      </c>
      <c r="C54" s="139" t="s">
        <v>284</v>
      </c>
    </row>
    <row r="55" spans="1:3" x14ac:dyDescent="0.2">
      <c r="A55" s="136" t="s">
        <v>386</v>
      </c>
      <c r="B55" s="137" t="s">
        <v>290</v>
      </c>
      <c r="C55" s="139" t="s">
        <v>229</v>
      </c>
    </row>
    <row r="56" spans="1:3" ht="90" x14ac:dyDescent="0.2">
      <c r="A56" s="136" t="s">
        <v>387</v>
      </c>
      <c r="B56" s="137" t="s">
        <v>291</v>
      </c>
      <c r="C56" s="139" t="s">
        <v>232</v>
      </c>
    </row>
    <row r="57" spans="1:3" ht="90" x14ac:dyDescent="0.2">
      <c r="A57" s="136" t="s">
        <v>388</v>
      </c>
      <c r="B57" s="137" t="s">
        <v>292</v>
      </c>
      <c r="C57" s="139" t="s">
        <v>232</v>
      </c>
    </row>
    <row r="58" spans="1:3" x14ac:dyDescent="0.2">
      <c r="A58" s="136" t="s">
        <v>389</v>
      </c>
      <c r="B58" s="137" t="s">
        <v>293</v>
      </c>
      <c r="C58" s="139" t="s">
        <v>294</v>
      </c>
    </row>
    <row r="59" spans="1:3" x14ac:dyDescent="0.2">
      <c r="A59" s="136" t="s">
        <v>390</v>
      </c>
      <c r="B59" s="137" t="s">
        <v>295</v>
      </c>
      <c r="C59" s="139" t="s">
        <v>296</v>
      </c>
    </row>
    <row r="60" spans="1:3" x14ac:dyDescent="0.2">
      <c r="A60" s="136" t="s">
        <v>391</v>
      </c>
      <c r="B60" s="137" t="s">
        <v>297</v>
      </c>
      <c r="C60" s="139" t="s">
        <v>229</v>
      </c>
    </row>
    <row r="61" spans="1:3" ht="90" x14ac:dyDescent="0.2">
      <c r="A61" s="136" t="s">
        <v>392</v>
      </c>
      <c r="B61" s="137" t="s">
        <v>298</v>
      </c>
      <c r="C61" s="139" t="s">
        <v>232</v>
      </c>
    </row>
    <row r="62" spans="1:3" ht="90" x14ac:dyDescent="0.2">
      <c r="A62" s="136" t="s">
        <v>393</v>
      </c>
      <c r="B62" s="137" t="s">
        <v>299</v>
      </c>
      <c r="C62" s="139" t="s">
        <v>232</v>
      </c>
    </row>
    <row r="63" spans="1:3" x14ac:dyDescent="0.2">
      <c r="A63" s="136" t="s">
        <v>394</v>
      </c>
      <c r="B63" s="137" t="s">
        <v>300</v>
      </c>
      <c r="C63" s="139" t="s">
        <v>301</v>
      </c>
    </row>
    <row r="64" spans="1:3" x14ac:dyDescent="0.2">
      <c r="A64" s="136" t="s">
        <v>395</v>
      </c>
      <c r="B64" s="137" t="s">
        <v>302</v>
      </c>
      <c r="C64" s="139" t="s">
        <v>303</v>
      </c>
    </row>
    <row r="65" spans="1:3" x14ac:dyDescent="0.2">
      <c r="A65" s="136" t="s">
        <v>396</v>
      </c>
      <c r="B65" s="137" t="s">
        <v>304</v>
      </c>
      <c r="C65" s="139" t="s">
        <v>229</v>
      </c>
    </row>
    <row r="66" spans="1:3" ht="90" x14ac:dyDescent="0.2">
      <c r="A66" s="136" t="s">
        <v>397</v>
      </c>
      <c r="B66" s="137" t="s">
        <v>305</v>
      </c>
      <c r="C66" s="139" t="s">
        <v>232</v>
      </c>
    </row>
    <row r="67" spans="1:3" ht="90" x14ac:dyDescent="0.2">
      <c r="A67" s="136" t="s">
        <v>398</v>
      </c>
      <c r="B67" s="137" t="s">
        <v>306</v>
      </c>
      <c r="C67" s="139" t="s">
        <v>232</v>
      </c>
    </row>
    <row r="68" spans="1:3" x14ac:dyDescent="0.2">
      <c r="A68" s="136" t="s">
        <v>399</v>
      </c>
      <c r="B68" s="137" t="s">
        <v>307</v>
      </c>
      <c r="C68" s="139" t="s">
        <v>308</v>
      </c>
    </row>
    <row r="69" spans="1:3" x14ac:dyDescent="0.2">
      <c r="A69" s="136" t="s">
        <v>400</v>
      </c>
      <c r="B69" s="137" t="s">
        <v>309</v>
      </c>
      <c r="C69" s="139" t="s">
        <v>310</v>
      </c>
    </row>
    <row r="70" spans="1:3" x14ac:dyDescent="0.2">
      <c r="A70" s="136" t="s">
        <v>401</v>
      </c>
      <c r="B70" s="137" t="s">
        <v>311</v>
      </c>
      <c r="C70" s="139" t="s">
        <v>229</v>
      </c>
    </row>
    <row r="71" spans="1:3" ht="90" x14ac:dyDescent="0.2">
      <c r="A71" s="136" t="s">
        <v>402</v>
      </c>
      <c r="B71" s="137" t="s">
        <v>312</v>
      </c>
      <c r="C71" s="139" t="s">
        <v>232</v>
      </c>
    </row>
    <row r="72" spans="1:3" ht="90" x14ac:dyDescent="0.2">
      <c r="A72" s="136" t="s">
        <v>403</v>
      </c>
      <c r="B72" s="137" t="s">
        <v>313</v>
      </c>
      <c r="C72" s="139" t="s">
        <v>232</v>
      </c>
    </row>
    <row r="73" spans="1:3" x14ac:dyDescent="0.2">
      <c r="A73" s="136" t="s">
        <v>404</v>
      </c>
      <c r="B73" s="137" t="s">
        <v>314</v>
      </c>
      <c r="C73" s="139" t="s">
        <v>315</v>
      </c>
    </row>
    <row r="74" spans="1:3" x14ac:dyDescent="0.2">
      <c r="A74" s="136" t="s">
        <v>405</v>
      </c>
      <c r="B74" s="137" t="s">
        <v>316</v>
      </c>
      <c r="C74" s="139" t="s">
        <v>317</v>
      </c>
    </row>
    <row r="75" spans="1:3" x14ac:dyDescent="0.2">
      <c r="A75" s="136" t="s">
        <v>406</v>
      </c>
      <c r="B75" s="137" t="s">
        <v>318</v>
      </c>
      <c r="C75" s="139" t="s">
        <v>229</v>
      </c>
    </row>
    <row r="76" spans="1:3" ht="90" x14ac:dyDescent="0.2">
      <c r="A76" s="136" t="s">
        <v>407</v>
      </c>
      <c r="B76" s="137" t="s">
        <v>319</v>
      </c>
      <c r="C76" s="139" t="s">
        <v>232</v>
      </c>
    </row>
    <row r="77" spans="1:3" ht="90" x14ac:dyDescent="0.2">
      <c r="A77" s="136" t="s">
        <v>408</v>
      </c>
      <c r="B77" s="137" t="s">
        <v>320</v>
      </c>
      <c r="C77" s="139" t="s">
        <v>232</v>
      </c>
    </row>
    <row r="78" spans="1:3" x14ac:dyDescent="0.2">
      <c r="A78" s="136" t="s">
        <v>409</v>
      </c>
      <c r="B78" s="137" t="s">
        <v>321</v>
      </c>
      <c r="C78" s="139" t="s">
        <v>322</v>
      </c>
    </row>
    <row r="79" spans="1:3" x14ac:dyDescent="0.2">
      <c r="A79" s="136" t="s">
        <v>410</v>
      </c>
      <c r="B79" s="137" t="s">
        <v>323</v>
      </c>
      <c r="C79" s="139" t="s">
        <v>324</v>
      </c>
    </row>
    <row r="80" spans="1:3" x14ac:dyDescent="0.2">
      <c r="A80" s="136" t="s">
        <v>411</v>
      </c>
      <c r="B80" s="137" t="s">
        <v>325</v>
      </c>
      <c r="C80" s="139" t="s">
        <v>229</v>
      </c>
    </row>
    <row r="81" spans="1:3" ht="90" x14ac:dyDescent="0.2">
      <c r="A81" s="136" t="s">
        <v>412</v>
      </c>
      <c r="B81" s="137" t="s">
        <v>326</v>
      </c>
      <c r="C81" s="139" t="s">
        <v>232</v>
      </c>
    </row>
    <row r="82" spans="1:3" ht="90" x14ac:dyDescent="0.2">
      <c r="A82" s="136" t="s">
        <v>413</v>
      </c>
      <c r="B82" s="137" t="s">
        <v>327</v>
      </c>
      <c r="C82" s="139" t="s">
        <v>232</v>
      </c>
    </row>
    <row r="83" spans="1:3" x14ac:dyDescent="0.2">
      <c r="A83" s="136" t="s">
        <v>414</v>
      </c>
      <c r="B83" s="137" t="s">
        <v>328</v>
      </c>
      <c r="C83" s="139" t="s">
        <v>329</v>
      </c>
    </row>
    <row r="84" spans="1:3" x14ac:dyDescent="0.2">
      <c r="A84" s="136" t="s">
        <v>415</v>
      </c>
      <c r="B84" s="137" t="s">
        <v>330</v>
      </c>
      <c r="C84" s="139" t="s">
        <v>331</v>
      </c>
    </row>
    <row r="85" spans="1:3" x14ac:dyDescent="0.2">
      <c r="A85" s="136" t="s">
        <v>416</v>
      </c>
      <c r="B85" s="137" t="s">
        <v>332</v>
      </c>
      <c r="C85" s="139" t="s">
        <v>229</v>
      </c>
    </row>
    <row r="86" spans="1:3" ht="90" x14ac:dyDescent="0.2">
      <c r="A86" s="136" t="s">
        <v>417</v>
      </c>
      <c r="B86" s="137" t="s">
        <v>333</v>
      </c>
      <c r="C86" s="139" t="s">
        <v>232</v>
      </c>
    </row>
    <row r="87" spans="1:3" ht="90" x14ac:dyDescent="0.2">
      <c r="A87" s="136" t="s">
        <v>418</v>
      </c>
      <c r="B87" s="137" t="s">
        <v>334</v>
      </c>
      <c r="C87" s="139" t="s">
        <v>232</v>
      </c>
    </row>
    <row r="88" spans="1:3" x14ac:dyDescent="0.2">
      <c r="A88" s="136" t="s">
        <v>419</v>
      </c>
      <c r="B88" s="137" t="s">
        <v>335</v>
      </c>
      <c r="C88" s="139" t="s">
        <v>336</v>
      </c>
    </row>
    <row r="89" spans="1:3" x14ac:dyDescent="0.2">
      <c r="A89" s="136" t="s">
        <v>420</v>
      </c>
      <c r="B89" s="137" t="s">
        <v>337</v>
      </c>
      <c r="C89" s="139" t="s">
        <v>338</v>
      </c>
    </row>
    <row r="90" spans="1:3" x14ac:dyDescent="0.2">
      <c r="A90" s="136" t="s">
        <v>421</v>
      </c>
      <c r="B90" s="137" t="s">
        <v>339</v>
      </c>
      <c r="C90" s="139" t="s">
        <v>229</v>
      </c>
    </row>
    <row r="91" spans="1:3" ht="90" x14ac:dyDescent="0.2">
      <c r="A91" s="136" t="s">
        <v>422</v>
      </c>
      <c r="B91" s="137" t="s">
        <v>340</v>
      </c>
      <c r="C91" s="139" t="s">
        <v>232</v>
      </c>
    </row>
    <row r="92" spans="1:3" ht="90" x14ac:dyDescent="0.2">
      <c r="A92" s="136" t="s">
        <v>423</v>
      </c>
      <c r="B92" s="137" t="s">
        <v>341</v>
      </c>
      <c r="C92" s="139" t="s">
        <v>232</v>
      </c>
    </row>
    <row r="93" spans="1:3" x14ac:dyDescent="0.2">
      <c r="A93" s="136" t="s">
        <v>424</v>
      </c>
      <c r="B93" s="137" t="s">
        <v>342</v>
      </c>
      <c r="C93" s="139" t="s">
        <v>343</v>
      </c>
    </row>
    <row r="94" spans="1:3" x14ac:dyDescent="0.2">
      <c r="A94" s="136" t="s">
        <v>425</v>
      </c>
      <c r="B94" s="137" t="s">
        <v>344</v>
      </c>
      <c r="C94" s="139" t="s">
        <v>345</v>
      </c>
    </row>
    <row r="95" spans="1:3" x14ac:dyDescent="0.2">
      <c r="A95" s="136" t="s">
        <v>428</v>
      </c>
      <c r="B95" s="137" t="s">
        <v>267</v>
      </c>
      <c r="C95" s="139" t="s">
        <v>229</v>
      </c>
    </row>
    <row r="96" spans="1:3" ht="90" x14ac:dyDescent="0.2">
      <c r="A96" s="136" t="s">
        <v>429</v>
      </c>
      <c r="B96" s="137" t="s">
        <v>268</v>
      </c>
      <c r="C96" s="139" t="s">
        <v>232</v>
      </c>
    </row>
    <row r="97" spans="1:3" ht="90" x14ac:dyDescent="0.2">
      <c r="A97" s="136" t="s">
        <v>430</v>
      </c>
      <c r="B97" s="137" t="s">
        <v>269</v>
      </c>
      <c r="C97" s="139" t="s">
        <v>232</v>
      </c>
    </row>
    <row r="98" spans="1:3" x14ac:dyDescent="0.2">
      <c r="A98" s="136" t="s">
        <v>431</v>
      </c>
      <c r="B98" s="137" t="s">
        <v>271</v>
      </c>
      <c r="C98" s="139" t="s">
        <v>427</v>
      </c>
    </row>
    <row r="99" spans="1:3" x14ac:dyDescent="0.2">
      <c r="A99" s="136" t="s">
        <v>432</v>
      </c>
      <c r="B99" s="137" t="s">
        <v>289</v>
      </c>
      <c r="C99" s="139" t="s">
        <v>426</v>
      </c>
    </row>
    <row r="100" spans="1:3" x14ac:dyDescent="0.2">
      <c r="A100" s="136" t="s">
        <v>346</v>
      </c>
      <c r="B100" s="137" t="s">
        <v>347</v>
      </c>
      <c r="C100" s="139" t="s">
        <v>229</v>
      </c>
    </row>
    <row r="101" spans="1:3" ht="90" x14ac:dyDescent="0.2">
      <c r="A101" s="136" t="s">
        <v>433</v>
      </c>
      <c r="B101" s="137" t="s">
        <v>348</v>
      </c>
      <c r="C101" s="139" t="s">
        <v>232</v>
      </c>
    </row>
    <row r="102" spans="1:3" ht="90" x14ac:dyDescent="0.2">
      <c r="A102" s="136" t="s">
        <v>434</v>
      </c>
      <c r="B102" s="137" t="s">
        <v>349</v>
      </c>
      <c r="C102" s="139" t="s">
        <v>232</v>
      </c>
    </row>
    <row r="103" spans="1:3" x14ac:dyDescent="0.2">
      <c r="A103" s="136" t="s">
        <v>435</v>
      </c>
      <c r="B103" s="137" t="s">
        <v>350</v>
      </c>
      <c r="C103" s="139" t="s">
        <v>351</v>
      </c>
    </row>
    <row r="104" spans="1:3" x14ac:dyDescent="0.2">
      <c r="A104" s="136" t="s">
        <v>436</v>
      </c>
      <c r="B104" s="137" t="s">
        <v>352</v>
      </c>
      <c r="C104" s="139" t="s">
        <v>353</v>
      </c>
    </row>
    <row r="105" spans="1:3" x14ac:dyDescent="0.2">
      <c r="A105" s="136" t="s">
        <v>437</v>
      </c>
      <c r="B105" s="137" t="s">
        <v>354</v>
      </c>
      <c r="C105" s="139" t="s">
        <v>229</v>
      </c>
    </row>
    <row r="106" spans="1:3" ht="90" x14ac:dyDescent="0.2">
      <c r="A106" s="136" t="s">
        <v>438</v>
      </c>
      <c r="B106" s="137" t="s">
        <v>355</v>
      </c>
      <c r="C106" s="139" t="s">
        <v>232</v>
      </c>
    </row>
    <row r="107" spans="1:3" ht="90" x14ac:dyDescent="0.2">
      <c r="A107" s="136" t="s">
        <v>439</v>
      </c>
      <c r="B107" s="137" t="s">
        <v>356</v>
      </c>
      <c r="C107" s="139" t="s">
        <v>232</v>
      </c>
    </row>
    <row r="108" spans="1:3" x14ac:dyDescent="0.2">
      <c r="A108" s="136" t="s">
        <v>440</v>
      </c>
      <c r="B108" s="137" t="s">
        <v>357</v>
      </c>
      <c r="C108" s="139" t="s">
        <v>358</v>
      </c>
    </row>
    <row r="109" spans="1:3" x14ac:dyDescent="0.2">
      <c r="A109" s="136" t="s">
        <v>441</v>
      </c>
      <c r="B109" s="137" t="s">
        <v>359</v>
      </c>
      <c r="C109" s="139" t="s">
        <v>360</v>
      </c>
    </row>
  </sheetData>
  <sheetProtection password="E82C"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M14"/>
  <sheetViews>
    <sheetView topLeftCell="G1" workbookViewId="0">
      <selection activeCell="K4" sqref="K4:K12"/>
    </sheetView>
  </sheetViews>
  <sheetFormatPr defaultRowHeight="15" x14ac:dyDescent="0.2"/>
  <cols>
    <col min="1" max="1" width="8.88671875" style="1"/>
    <col min="2" max="2" width="20" style="1" customWidth="1"/>
    <col min="3" max="3" width="16" style="1" customWidth="1"/>
    <col min="4" max="4" width="16.44140625" style="1" customWidth="1"/>
    <col min="5" max="5" width="34.6640625" style="1" customWidth="1"/>
    <col min="6" max="6" width="50.109375" style="1" customWidth="1"/>
    <col min="7" max="7" width="29.88671875" style="1" customWidth="1"/>
    <col min="8" max="8" width="56.6640625" style="1" customWidth="1"/>
    <col min="9" max="9" width="46.109375" style="1" customWidth="1"/>
    <col min="10" max="10" width="17.77734375" style="1" customWidth="1"/>
    <col min="11" max="11" width="18.44140625" style="1" customWidth="1"/>
    <col min="12" max="12" width="16" style="1" customWidth="1"/>
    <col min="13" max="13" width="17.6640625" style="1" customWidth="1"/>
    <col min="14" max="16384" width="8.88671875" style="1"/>
  </cols>
  <sheetData>
    <row r="1" spans="1:13" x14ac:dyDescent="0.2">
      <c r="A1" s="1" t="s">
        <v>0</v>
      </c>
      <c r="B1" s="1" t="s">
        <v>1</v>
      </c>
      <c r="C1" s="1" t="s">
        <v>9</v>
      </c>
      <c r="D1" s="1" t="s">
        <v>10</v>
      </c>
      <c r="E1" s="1" t="s">
        <v>11</v>
      </c>
      <c r="F1" s="1" t="s">
        <v>12</v>
      </c>
      <c r="G1" s="1" t="s">
        <v>13</v>
      </c>
      <c r="H1" s="1" t="s">
        <v>14</v>
      </c>
      <c r="I1" s="1" t="s">
        <v>15</v>
      </c>
      <c r="J1" s="1" t="s">
        <v>85</v>
      </c>
      <c r="K1" s="1" t="s">
        <v>86</v>
      </c>
      <c r="L1" s="1" t="s">
        <v>89</v>
      </c>
      <c r="M1" s="1" t="s">
        <v>136</v>
      </c>
    </row>
    <row r="2" spans="1:13" x14ac:dyDescent="0.2">
      <c r="A2" s="1">
        <v>0</v>
      </c>
      <c r="B2" s="1" t="s">
        <v>2</v>
      </c>
      <c r="C2" s="2" t="s">
        <v>17</v>
      </c>
      <c r="D2" s="1" t="s">
        <v>20</v>
      </c>
      <c r="E2" s="1" t="s">
        <v>23</v>
      </c>
      <c r="F2" s="1" t="s">
        <v>27</v>
      </c>
      <c r="G2" s="1" t="s">
        <v>31</v>
      </c>
      <c r="H2" s="1" t="s">
        <v>35</v>
      </c>
      <c r="I2" s="1" t="s">
        <v>39</v>
      </c>
      <c r="J2" s="14">
        <v>1</v>
      </c>
      <c r="K2" s="1" t="b">
        <v>1</v>
      </c>
      <c r="L2" s="1" t="s">
        <v>90</v>
      </c>
      <c r="M2" s="1" t="s">
        <v>137</v>
      </c>
    </row>
    <row r="3" spans="1:13" x14ac:dyDescent="0.2">
      <c r="A3" s="1">
        <v>1</v>
      </c>
      <c r="B3" s="1" t="s">
        <v>3</v>
      </c>
      <c r="C3" s="2" t="s">
        <v>16</v>
      </c>
      <c r="D3" s="1" t="s">
        <v>21</v>
      </c>
      <c r="E3" s="1" t="s">
        <v>24</v>
      </c>
      <c r="F3" s="1" t="s">
        <v>28</v>
      </c>
      <c r="G3" s="1" t="s">
        <v>32</v>
      </c>
      <c r="H3" s="1" t="s">
        <v>36</v>
      </c>
      <c r="I3" s="1" t="s">
        <v>40</v>
      </c>
      <c r="J3" s="14">
        <f ca="1">TODAY()</f>
        <v>43825</v>
      </c>
      <c r="K3" s="1" t="b">
        <v>0</v>
      </c>
      <c r="L3" s="1" t="s">
        <v>91</v>
      </c>
      <c r="M3" s="1" t="s">
        <v>138</v>
      </c>
    </row>
    <row r="4" spans="1:13" x14ac:dyDescent="0.2">
      <c r="A4" s="1">
        <v>2</v>
      </c>
      <c r="B4" s="1" t="s">
        <v>4</v>
      </c>
      <c r="C4" s="2" t="s">
        <v>18</v>
      </c>
      <c r="D4" s="1" t="s">
        <v>16</v>
      </c>
      <c r="E4" s="1" t="s">
        <v>25</v>
      </c>
      <c r="F4" s="1" t="s">
        <v>29</v>
      </c>
      <c r="G4" s="1" t="s">
        <v>33</v>
      </c>
      <c r="H4" s="1" t="s">
        <v>37</v>
      </c>
      <c r="I4" s="1" t="s">
        <v>41</v>
      </c>
      <c r="K4" s="76"/>
    </row>
    <row r="5" spans="1:13" x14ac:dyDescent="0.2">
      <c r="A5" s="1">
        <v>3</v>
      </c>
      <c r="B5" s="1" t="s">
        <v>5</v>
      </c>
      <c r="C5" s="2" t="s">
        <v>19</v>
      </c>
      <c r="D5" s="1" t="s">
        <v>22</v>
      </c>
      <c r="E5" s="1" t="s">
        <v>26</v>
      </c>
      <c r="F5" s="1" t="s">
        <v>30</v>
      </c>
      <c r="G5" s="1" t="s">
        <v>34</v>
      </c>
      <c r="H5" s="1" t="s">
        <v>38</v>
      </c>
      <c r="I5" s="1" t="s">
        <v>42</v>
      </c>
      <c r="K5" s="76"/>
    </row>
    <row r="6" spans="1:13" x14ac:dyDescent="0.2">
      <c r="A6" s="1" t="s">
        <v>92</v>
      </c>
      <c r="B6" s="1" t="s">
        <v>6</v>
      </c>
      <c r="C6" s="1" t="s">
        <v>92</v>
      </c>
      <c r="D6" s="1" t="s">
        <v>92</v>
      </c>
      <c r="E6" s="1" t="s">
        <v>92</v>
      </c>
      <c r="F6" s="1" t="s">
        <v>92</v>
      </c>
      <c r="G6" s="1" t="s">
        <v>92</v>
      </c>
      <c r="H6" s="1" t="s">
        <v>92</v>
      </c>
      <c r="I6" s="1" t="s">
        <v>92</v>
      </c>
      <c r="K6" s="76"/>
    </row>
    <row r="7" spans="1:13" x14ac:dyDescent="0.2">
      <c r="A7" s="1" t="s">
        <v>93</v>
      </c>
      <c r="C7" s="1" t="s">
        <v>93</v>
      </c>
      <c r="D7" s="1" t="s">
        <v>93</v>
      </c>
      <c r="E7" s="1" t="s">
        <v>93</v>
      </c>
      <c r="F7" s="1" t="s">
        <v>93</v>
      </c>
      <c r="G7" s="1" t="s">
        <v>93</v>
      </c>
      <c r="H7" s="1" t="s">
        <v>93</v>
      </c>
      <c r="I7" s="1" t="s">
        <v>93</v>
      </c>
      <c r="K7" s="76"/>
    </row>
    <row r="8" spans="1:13" x14ac:dyDescent="0.2">
      <c r="K8" s="76"/>
    </row>
    <row r="9" spans="1:13" x14ac:dyDescent="0.2">
      <c r="K9" s="76"/>
    </row>
    <row r="10" spans="1:13" x14ac:dyDescent="0.2">
      <c r="B10" s="128"/>
      <c r="K10" s="76"/>
    </row>
    <row r="11" spans="1:13" x14ac:dyDescent="0.2">
      <c r="B11" s="129"/>
      <c r="K11" s="76"/>
    </row>
    <row r="12" spans="1:13" x14ac:dyDescent="0.2">
      <c r="B12" s="128"/>
      <c r="K12" s="76"/>
    </row>
    <row r="13" spans="1:13" x14ac:dyDescent="0.2">
      <c r="B13" s="128"/>
      <c r="K13" s="76" t="b">
        <v>0</v>
      </c>
    </row>
    <row r="14" spans="1:13" x14ac:dyDescent="0.2">
      <c r="B14" s="128"/>
      <c r="K14" s="76" t="b">
        <v>0</v>
      </c>
    </row>
  </sheetData>
  <sheetProtection password="E82C" sheet="1" objects="1" scenarios="1"/>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autoPageBreaks="0"/>
  </sheetPr>
  <dimension ref="A1:E7"/>
  <sheetViews>
    <sheetView showGridLines="0" showRowColHeaders="0" zoomScaleNormal="100" workbookViewId="0">
      <selection activeCell="D6" sqref="D6"/>
    </sheetView>
  </sheetViews>
  <sheetFormatPr defaultRowHeight="15" x14ac:dyDescent="0.2"/>
  <cols>
    <col min="1" max="1" width="15.77734375" customWidth="1"/>
    <col min="2" max="3" width="60.77734375" customWidth="1"/>
    <col min="4" max="4" width="15.77734375" customWidth="1"/>
  </cols>
  <sheetData>
    <row r="1" spans="1:5" x14ac:dyDescent="0.2">
      <c r="A1" s="4" t="s">
        <v>47</v>
      </c>
      <c r="D1" s="10" t="s">
        <v>52</v>
      </c>
    </row>
    <row r="2" spans="1:5" ht="65.25" customHeight="1" thickBot="1" x14ac:dyDescent="0.25">
      <c r="A2" s="4"/>
      <c r="B2" s="166" t="s">
        <v>477</v>
      </c>
      <c r="C2" s="167"/>
      <c r="D2" s="5"/>
    </row>
    <row r="3" spans="1:5" ht="16.5" thickBot="1" x14ac:dyDescent="0.25">
      <c r="A3" s="163" t="s">
        <v>7</v>
      </c>
      <c r="B3" s="150"/>
      <c r="C3" s="164" t="s">
        <v>8</v>
      </c>
      <c r="D3" s="165"/>
    </row>
    <row r="4" spans="1:5" ht="15.75" x14ac:dyDescent="0.2">
      <c r="A4" s="6" t="s">
        <v>46</v>
      </c>
      <c r="B4" s="7" t="s">
        <v>51</v>
      </c>
      <c r="C4" s="3" t="s">
        <v>51</v>
      </c>
      <c r="D4" s="6" t="s">
        <v>46</v>
      </c>
    </row>
    <row r="5" spans="1:5" ht="15.75" x14ac:dyDescent="0.25">
      <c r="A5" s="77"/>
      <c r="B5" s="78"/>
      <c r="C5" s="79"/>
      <c r="D5" s="11" t="str">
        <f>IF(OR(A5="OMIT (NA)",C5="OMIT (NA)",A5="OMIT (Info)",C5="OMIT (Info)",C5=""),"",
IF(B5=C5,A5,
IF(AND(OR(B5='Data Values'!B2,B5='Data Values'!B3),OR(C5='Data Values'!B2,C5='Data Values'!B3)),A5,
IF(AND(OR(B5='Data Values'!B2,B5='Data Values'!B3),C5='Data Values'!B4),MAX(0,A5-0.5),
IF(AND(OR(B5='Data Values'!B2,B5='Data Values'!B3),C5='Data Values'!B5),MAX(0,A5-1),
IF(AND(OR(B5='Data Values'!B2,B5='Data Values'!B3),C5='Data Values'!B6),MAX(0,A5-1.5),
IF(AND(B5='Data Values'!B4,C5='Data Values'!B5),MAX(0,A5-0.5),
IF(AND(B5='Data Values'!B4,C5='Data Values'!B6),MAX(0,A5-1),
IF(AND(B5='Data Values'!B5,C5='Data Values'!B6),MAX(0,A5-0.5),
IF(AND(B5='Data Values'!B6,C5='Data Values'!B5),MIN(3,A5+0.5),
IF(AND(B5='Data Values'!B6,C5='Data Values'!B4),MIN(3,A5+1),
IF(AND(B5='Data Values'!B6,OR(C5='Data Values'!B2,C5='Data Values'!B3)),MIN(3,A5+1.5),
IF(AND(B5='Data Values'!B5,C5='Data Values'!B4),MIN(3,A5+0.5),
IF(AND(B5='Data Values'!B5,OR(C5='Data Values'!B2,C5='Data Values'!B3)),MIN(3,A5+1),
IF(AND(B5='Data Values'!B4,OR(C5='Data Values'!B2,C5='Data Values'!B3)),MIN(3,A5+0.5),"")))))))))))))))</f>
        <v/>
      </c>
    </row>
    <row r="6" spans="1:5" ht="15.75" thickBot="1" x14ac:dyDescent="0.25">
      <c r="A6" s="12"/>
      <c r="B6" s="8" t="s">
        <v>50</v>
      </c>
      <c r="C6" s="9" t="s">
        <v>53</v>
      </c>
      <c r="D6" s="80"/>
      <c r="E6" s="18"/>
    </row>
    <row r="7" spans="1:5" ht="409.5" customHeight="1" x14ac:dyDescent="0.2">
      <c r="A7" s="168"/>
      <c r="B7" s="169"/>
      <c r="C7" s="168"/>
      <c r="D7" s="169"/>
    </row>
  </sheetData>
  <sheetProtection password="E82C" sheet="1" objects="1" scenarios="1"/>
  <mergeCells count="5">
    <mergeCell ref="A3:B3"/>
    <mergeCell ref="C3:D3"/>
    <mergeCell ref="B2:C2"/>
    <mergeCell ref="A7:B7"/>
    <mergeCell ref="C7:D7"/>
  </mergeCells>
  <hyperlinks>
    <hyperlink ref="A1" location="'Navigation page'!B1" display="VRS-SO Scoring Page"/>
    <hyperlink ref="D1" location="'D2'!B2" display="D2 Sexual Compulsivity"/>
  </hyperlink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xWindow="290" yWindow="341" count="3">
        <x14:dataValidation type="list" allowBlank="1" showInputMessage="1" showErrorMessage="1">
          <x14:formula1>
            <xm:f>'Data Values'!$A$2:$A$7</xm:f>
          </x14:formula1>
          <xm:sqref>D6 A5</xm:sqref>
        </x14:dataValidation>
        <x14:dataValidation type="list" allowBlank="1" showInputMessage="1" showErrorMessage="1" promptTitle="Assigning Post-treatment SOCs" prompt="If no pre-treatment stage of change was assigned because this factor was scored 0 or 1 and deemed to be low risk, do not assign a post-treatment stage of change.  Just provide a post-treatment score. ">
          <x14:formula1>
            <xm:f>'Data Values'!$B$2:$B$7</xm:f>
          </x14:formula1>
          <xm:sqref>C5</xm:sqref>
        </x14:dataValidation>
        <x14:dataValidation type="list" allowBlank="1" showInputMessage="1" showErrorMessage="1" promptTitle="Stage of Change for 0 or 1 " prompt="If score is 0 or omitted, do not assign SOC._x000a__x000a_If score is 1, only assign SOC if item was a significant problem in the past, but is currently well managed. If it is a low risk item, do not assign SOC.">
          <x14:formula1>
            <xm:f>'Data Values'!$B$2:$B$7</xm:f>
          </x14:formula1>
          <xm:sqref>B5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D7"/>
  <sheetViews>
    <sheetView showGridLines="0" showRowColHeaders="0" workbookViewId="0">
      <selection activeCell="D6" sqref="D6"/>
    </sheetView>
  </sheetViews>
  <sheetFormatPr defaultRowHeight="15" x14ac:dyDescent="0.2"/>
  <cols>
    <col min="1" max="1" width="15.77734375" customWidth="1"/>
    <col min="2" max="3" width="60.77734375" customWidth="1"/>
    <col min="4" max="4" width="15.77734375" customWidth="1"/>
  </cols>
  <sheetData>
    <row r="1" spans="1:4" x14ac:dyDescent="0.2">
      <c r="A1" s="4" t="s">
        <v>47</v>
      </c>
      <c r="D1" s="10" t="s">
        <v>94</v>
      </c>
    </row>
    <row r="2" spans="1:4" ht="65.25" customHeight="1" thickBot="1" x14ac:dyDescent="0.25">
      <c r="A2" s="4"/>
      <c r="B2" s="166" t="s">
        <v>478</v>
      </c>
      <c r="C2" s="167"/>
      <c r="D2" s="5"/>
    </row>
    <row r="3" spans="1:4" ht="16.5" thickBot="1" x14ac:dyDescent="0.25">
      <c r="A3" s="163" t="s">
        <v>7</v>
      </c>
      <c r="B3" s="150"/>
      <c r="C3" s="164" t="s">
        <v>8</v>
      </c>
      <c r="D3" s="165"/>
    </row>
    <row r="4" spans="1:4" ht="15.75" x14ac:dyDescent="0.2">
      <c r="A4" s="6" t="s">
        <v>46</v>
      </c>
      <c r="B4" s="7" t="s">
        <v>51</v>
      </c>
      <c r="C4" s="3" t="s">
        <v>51</v>
      </c>
      <c r="D4" s="6" t="s">
        <v>46</v>
      </c>
    </row>
    <row r="5" spans="1:4" ht="15.75" x14ac:dyDescent="0.25">
      <c r="A5" s="77"/>
      <c r="B5" s="78"/>
      <c r="C5" s="79"/>
      <c r="D5" s="11" t="str">
        <f>IF(OR(A5="OMIT (NA)",C5="OMIT (NA)",A5="OMIT (Info)",C5="OMIT (Info)",C5=""),"",
IF(B5=C5,A5,
IF(AND(OR(B5='Data Values'!B2,B5='Data Values'!B3),OR(C5='Data Values'!B2,C5='Data Values'!B3)),A5,
IF(AND(OR(B5='Data Values'!B2,B5='Data Values'!B3),C5='Data Values'!B4),MAX(0,A5-0.5),
IF(AND(OR(B5='Data Values'!B2,B5='Data Values'!B3),C5='Data Values'!B5),MAX(0,A5-1),
IF(AND(OR(B5='Data Values'!B2,B5='Data Values'!B3),C5='Data Values'!B6),MAX(0,A5-1.5),
IF(AND(B5='Data Values'!B4,C5='Data Values'!B5),MAX(0,A5-0.5),
IF(AND(B5='Data Values'!B4,C5='Data Values'!B6),MAX(0,A5-1),
IF(AND(B5='Data Values'!B5,C5='Data Values'!B6),MAX(0,A5-0.5),
IF(AND(B5='Data Values'!B6,C5='Data Values'!B5),MIN(3,A5+0.5),
IF(AND(B5='Data Values'!B6,C5='Data Values'!B4),MIN(3,A5+1),
IF(AND(B5='Data Values'!B6,OR(C5='Data Values'!B2,C5='Data Values'!B3)),MIN(3,A5+1.5),
IF(AND(B5='Data Values'!B5,C5='Data Values'!B4),MIN(3,A5+0.5),
IF(AND(B5='Data Values'!B5,OR(C5='Data Values'!B2,C5='Data Values'!B3)),MIN(3,A5+1),
IF(AND(B5='Data Values'!B4,OR(C5='Data Values'!B2,C5='Data Values'!B3)),MIN(3,A5+0.5),"")))))))))))))))</f>
        <v/>
      </c>
    </row>
    <row r="6" spans="1:4" ht="15.75" thickBot="1" x14ac:dyDescent="0.25">
      <c r="A6" s="12"/>
      <c r="B6" s="8" t="s">
        <v>50</v>
      </c>
      <c r="C6" s="9" t="s">
        <v>53</v>
      </c>
      <c r="D6" s="80"/>
    </row>
    <row r="7" spans="1:4" ht="409.5" customHeight="1" x14ac:dyDescent="0.2">
      <c r="A7" s="168"/>
      <c r="B7" s="169"/>
      <c r="C7" s="168"/>
      <c r="D7" s="169"/>
    </row>
  </sheetData>
  <sheetProtection password="E82C" sheet="1" objects="1" scenarios="1"/>
  <mergeCells count="5">
    <mergeCell ref="B2:C2"/>
    <mergeCell ref="A3:B3"/>
    <mergeCell ref="C3:D3"/>
    <mergeCell ref="A7:B7"/>
    <mergeCell ref="C7:D7"/>
  </mergeCells>
  <hyperlinks>
    <hyperlink ref="A1" location="'Navigation page'!B1" display="VRS-SO Scoring Page"/>
    <hyperlink ref="D1" location="'D3'!B2" display="D3 Offense Planning"/>
  </hyperlinks>
  <pageMargins left="0.7" right="0.7" top="0.75" bottom="0.75" header="0.3" footer="0.3"/>
  <legacyDrawing r:id="rId1"/>
  <extLst>
    <ext xmlns:x14="http://schemas.microsoft.com/office/spreadsheetml/2009/9/main" uri="{CCE6A557-97BC-4b89-ADB6-D9C93CAAB3DF}">
      <x14:dataValidations xmlns:xm="http://schemas.microsoft.com/office/excel/2006/main" xWindow="296" yWindow="342" count="3">
        <x14:dataValidation type="list" allowBlank="1" showInputMessage="1" showErrorMessage="1">
          <x14:formula1>
            <xm:f>'Data Values'!$A$2:$A$7</xm:f>
          </x14:formula1>
          <xm:sqref>D6 A5</xm:sqref>
        </x14:dataValidation>
        <x14:dataValidation type="list" allowBlank="1" showInputMessage="1" showErrorMessage="1" promptTitle="Assigning Post-treatment SOCs" prompt="If no pre-treatment stage of change was assigned because this factor was scored 0 or 1 and deemed to be low risk, do not assign a post-treatment stage of change.  Just provide a post-treatment score. ">
          <x14:formula1>
            <xm:f>'Data Values'!$B$2:$B$7</xm:f>
          </x14:formula1>
          <xm:sqref>C5</xm:sqref>
        </x14:dataValidation>
        <x14:dataValidation type="list" allowBlank="1" showInputMessage="1" showErrorMessage="1" promptTitle="Stage of Change for 0 or 1" prompt="If score is 0 or omitted, do not assign SOC._x000a__x000a_If score is 1, only assign SOC if item was a significant problem in the past, but is currently well managed. If it is a low risk item, do not assign SOC.">
          <x14:formula1>
            <xm:f>'Data Values'!$B$2:$B$7</xm:f>
          </x14:formula1>
          <xm:sqref>B5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D7"/>
  <sheetViews>
    <sheetView showGridLines="0" showRowColHeaders="0" topLeftCell="A2" workbookViewId="0">
      <selection activeCell="C7" sqref="C7:D7"/>
    </sheetView>
  </sheetViews>
  <sheetFormatPr defaultRowHeight="15" x14ac:dyDescent="0.2"/>
  <cols>
    <col min="1" max="1" width="15.77734375" customWidth="1"/>
    <col min="2" max="3" width="60.77734375" customWidth="1"/>
    <col min="4" max="4" width="15.77734375" customWidth="1"/>
  </cols>
  <sheetData>
    <row r="1" spans="1:4" x14ac:dyDescent="0.2">
      <c r="A1" s="4" t="s">
        <v>47</v>
      </c>
      <c r="D1" s="10" t="s">
        <v>56</v>
      </c>
    </row>
    <row r="2" spans="1:4" ht="81.75" customHeight="1" thickBot="1" x14ac:dyDescent="0.25">
      <c r="A2" s="4"/>
      <c r="B2" s="166" t="s">
        <v>479</v>
      </c>
      <c r="C2" s="167"/>
      <c r="D2" s="5"/>
    </row>
    <row r="3" spans="1:4" ht="16.5" thickBot="1" x14ac:dyDescent="0.25">
      <c r="A3" s="163" t="s">
        <v>7</v>
      </c>
      <c r="B3" s="150"/>
      <c r="C3" s="164" t="s">
        <v>8</v>
      </c>
      <c r="D3" s="165"/>
    </row>
    <row r="4" spans="1:4" ht="15.75" x14ac:dyDescent="0.2">
      <c r="A4" s="6" t="s">
        <v>46</v>
      </c>
      <c r="B4" s="7" t="s">
        <v>51</v>
      </c>
      <c r="C4" s="3" t="s">
        <v>51</v>
      </c>
      <c r="D4" s="6" t="s">
        <v>46</v>
      </c>
    </row>
    <row r="5" spans="1:4" ht="15.75" x14ac:dyDescent="0.25">
      <c r="A5" s="77"/>
      <c r="B5" s="78"/>
      <c r="C5" s="79"/>
      <c r="D5" s="11" t="str">
        <f>IF(OR(A5="OMIT (NA)",C5="OMIT (NA)",A5="OMIT (Info)",C5="OMIT (Info)",C5=""),"",
IF(B5=C5,A5,
IF(AND(OR(B5='Data Values'!B2,B5='Data Values'!B3),OR(C5='Data Values'!B2,C5='Data Values'!B3)),A5,
IF(AND(OR(B5='Data Values'!B2,B5='Data Values'!B3),C5='Data Values'!B4),MAX(0,A5-0.5),
IF(AND(OR(B5='Data Values'!B2,B5='Data Values'!B3),C5='Data Values'!B5),MAX(0,A5-1),
IF(AND(OR(B5='Data Values'!B2,B5='Data Values'!B3),C5='Data Values'!B6),MAX(0,A5-1.5),
IF(AND(B5='Data Values'!B4,C5='Data Values'!B5),MAX(0,A5-0.5),
IF(AND(B5='Data Values'!B4,C5='Data Values'!B6),MAX(0,A5-1),
IF(AND(B5='Data Values'!B5,C5='Data Values'!B6),MAX(0,A5-0.5),
IF(AND(B5='Data Values'!B6,C5='Data Values'!B5),MIN(3,A5+0.5),
IF(AND(B5='Data Values'!B6,C5='Data Values'!B4),MIN(3,A5+1),
IF(AND(B5='Data Values'!B6,OR(C5='Data Values'!B2,C5='Data Values'!B3)),MIN(3,A5+1.5),
IF(AND(B5='Data Values'!B5,C5='Data Values'!B4),MIN(3,A5+0.5),
IF(AND(B5='Data Values'!B5,OR(C5='Data Values'!B2,C5='Data Values'!B3)),MIN(3,A5+1),
IF(AND(B5='Data Values'!B4,OR(C5='Data Values'!B2,C5='Data Values'!B3)),MIN(3,A5+0.5),"")))))))))))))))</f>
        <v/>
      </c>
    </row>
    <row r="6" spans="1:4" ht="16.5" thickBot="1" x14ac:dyDescent="0.3">
      <c r="A6" s="12"/>
      <c r="B6" s="8" t="s">
        <v>50</v>
      </c>
      <c r="C6" s="9" t="s">
        <v>53</v>
      </c>
      <c r="D6" s="77"/>
    </row>
    <row r="7" spans="1:4" ht="409.5" customHeight="1" x14ac:dyDescent="0.2">
      <c r="A7" s="168"/>
      <c r="B7" s="169"/>
      <c r="C7" s="168"/>
      <c r="D7" s="169"/>
    </row>
  </sheetData>
  <sheetProtection password="E82C" sheet="1" objects="1" scenarios="1"/>
  <mergeCells count="5">
    <mergeCell ref="B2:C2"/>
    <mergeCell ref="A3:B3"/>
    <mergeCell ref="C3:D3"/>
    <mergeCell ref="A7:B7"/>
    <mergeCell ref="C7:D7"/>
  </mergeCells>
  <hyperlinks>
    <hyperlink ref="A1" location="'Navigation page'!B1" display="VRS-SO Scoring Page"/>
    <hyperlink ref="D1" location="'D4'!B2" display="D4 Criminal Personality"/>
  </hyperlink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xWindow="326" yWindow="363" count="3">
        <x14:dataValidation type="list" allowBlank="1" showInputMessage="1" showErrorMessage="1">
          <x14:formula1>
            <xm:f>'Data Values'!$A$2:$A$7</xm:f>
          </x14:formula1>
          <xm:sqref>D6 A5</xm:sqref>
        </x14:dataValidation>
        <x14:dataValidation type="list" allowBlank="1" showInputMessage="1" showErrorMessage="1" promptTitle="Assigning Post-treatment SOCs" prompt="If no pre-treatment stage of change was assigned because this factor was scored 0 or 1 and deemed to be low risk, do not assign a post-treatment stage of change.  Just provide a post-treatment score. ">
          <x14:formula1>
            <xm:f>'Data Values'!$B$2:$B$7</xm:f>
          </x14:formula1>
          <xm:sqref>C5</xm:sqref>
        </x14:dataValidation>
        <x14:dataValidation type="list" allowBlank="1" showInputMessage="1" showErrorMessage="1" promptTitle="Stage of Change for 0 or 1" prompt="If score is 0 or omitted, do not assign SOC._x000a__x000a_If score is 1, only assign SOC if item was a significant problem in the past, but is currently well managed. If it is a low risk item, do not assign SOC.">
          <x14:formula1>
            <xm:f>'Data Values'!$B$2:$B$7</xm:f>
          </x14:formula1>
          <xm:sqref>B5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D7"/>
  <sheetViews>
    <sheetView showGridLines="0" showRowColHeaders="0" workbookViewId="0">
      <selection activeCell="D6" sqref="D6"/>
    </sheetView>
  </sheetViews>
  <sheetFormatPr defaultRowHeight="15" x14ac:dyDescent="0.2"/>
  <cols>
    <col min="1" max="1" width="15.77734375" customWidth="1"/>
    <col min="2" max="3" width="60.77734375" customWidth="1"/>
    <col min="4" max="4" width="15.77734375" customWidth="1"/>
  </cols>
  <sheetData>
    <row r="1" spans="1:4" x14ac:dyDescent="0.2">
      <c r="A1" s="4" t="s">
        <v>47</v>
      </c>
      <c r="D1" s="10" t="s">
        <v>57</v>
      </c>
    </row>
    <row r="2" spans="1:4" ht="65.25" customHeight="1" thickBot="1" x14ac:dyDescent="0.25">
      <c r="A2" s="4"/>
      <c r="B2" s="166" t="s">
        <v>480</v>
      </c>
      <c r="C2" s="167"/>
      <c r="D2" s="5"/>
    </row>
    <row r="3" spans="1:4" ht="16.5" thickBot="1" x14ac:dyDescent="0.25">
      <c r="A3" s="163" t="s">
        <v>7</v>
      </c>
      <c r="B3" s="150"/>
      <c r="C3" s="164" t="s">
        <v>8</v>
      </c>
      <c r="D3" s="165"/>
    </row>
    <row r="4" spans="1:4" ht="15.75" x14ac:dyDescent="0.2">
      <c r="A4" s="6" t="s">
        <v>46</v>
      </c>
      <c r="B4" s="7" t="s">
        <v>51</v>
      </c>
      <c r="C4" s="3" t="s">
        <v>51</v>
      </c>
      <c r="D4" s="6" t="s">
        <v>46</v>
      </c>
    </row>
    <row r="5" spans="1:4" ht="15.75" x14ac:dyDescent="0.25">
      <c r="A5" s="77"/>
      <c r="B5" s="78"/>
      <c r="C5" s="79"/>
      <c r="D5" s="11" t="str">
        <f>IF(OR(A5="OMIT (NA)",C5="OMIT (NA)",A5="OMIT (Info)",C5="OMIT (Info)",C5=""),"",
IF(B5=C5,A5,
IF(AND(OR(B5='Data Values'!B2,B5='Data Values'!B3),OR(C5='Data Values'!B2,C5='Data Values'!B3)),A5,
IF(AND(OR(B5='Data Values'!B2,B5='Data Values'!B3),C5='Data Values'!B4),MAX(0,A5-0.5),
IF(AND(OR(B5='Data Values'!B2,B5='Data Values'!B3),C5='Data Values'!B5),MAX(0,A5-1),
IF(AND(OR(B5='Data Values'!B2,B5='Data Values'!B3),C5='Data Values'!B6),MAX(0,A5-1.5),
IF(AND(B5='Data Values'!B4,C5='Data Values'!B5),MAX(0,A5-0.5),
IF(AND(B5='Data Values'!B4,C5='Data Values'!B6),MAX(0,A5-1),
IF(AND(B5='Data Values'!B5,C5='Data Values'!B6),MAX(0,A5-0.5),
IF(AND(B5='Data Values'!B6,C5='Data Values'!B5),MIN(3,A5+0.5),
IF(AND(B5='Data Values'!B6,C5='Data Values'!B4),MIN(3,A5+1),
IF(AND(B5='Data Values'!B6,OR(C5='Data Values'!B2,C5='Data Values'!B3)),MIN(3,A5+1.5),
IF(AND(B5='Data Values'!B5,C5='Data Values'!B4),MIN(3,A5+0.5),
IF(AND(B5='Data Values'!B5,OR(C5='Data Values'!B2,C5='Data Values'!B3)),MIN(3,A5+1),
IF(AND(B5='Data Values'!B4,OR(C5='Data Values'!B2,C5='Data Values'!B3)),MIN(3,A5+0.5),"")))))))))))))))</f>
        <v/>
      </c>
    </row>
    <row r="6" spans="1:4" ht="16.5" thickBot="1" x14ac:dyDescent="0.3">
      <c r="A6" s="12"/>
      <c r="B6" s="8" t="s">
        <v>50</v>
      </c>
      <c r="C6" s="9" t="s">
        <v>53</v>
      </c>
      <c r="D6" s="77"/>
    </row>
    <row r="7" spans="1:4" ht="409.5" customHeight="1" x14ac:dyDescent="0.2">
      <c r="A7" s="168"/>
      <c r="B7" s="169"/>
      <c r="C7" s="168"/>
      <c r="D7" s="169"/>
    </row>
  </sheetData>
  <sheetProtection password="E82C" sheet="1" objects="1" scenarios="1"/>
  <mergeCells count="5">
    <mergeCell ref="B2:C2"/>
    <mergeCell ref="A3:B3"/>
    <mergeCell ref="C3:D3"/>
    <mergeCell ref="A7:B7"/>
    <mergeCell ref="C7:D7"/>
  </mergeCells>
  <hyperlinks>
    <hyperlink ref="A1" location="'Navigation page'!B1" display="VRS-SO Scoring Page"/>
    <hyperlink ref="D1" location="'D5'!B2" display="D5 Cognitive Distortions"/>
  </hyperlink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xWindow="321" yWindow="339" count="3">
        <x14:dataValidation type="list" allowBlank="1" showInputMessage="1" showErrorMessage="1">
          <x14:formula1>
            <xm:f>'Data Values'!$A$2:$A$7</xm:f>
          </x14:formula1>
          <xm:sqref>D6 A5</xm:sqref>
        </x14:dataValidation>
        <x14:dataValidation type="list" allowBlank="1" showInputMessage="1" showErrorMessage="1" promptTitle="Assigning Post-treatment SOCs" prompt="If no pre-treatment stage of change was assigned because this factor was scored 0 or 1 and deemed to be low risk, do not assign a post-treatment stage of change.  Just provide a post-treatment score. ">
          <x14:formula1>
            <xm:f>'Data Values'!$B$2:$B$7</xm:f>
          </x14:formula1>
          <xm:sqref>C5</xm:sqref>
        </x14:dataValidation>
        <x14:dataValidation type="list" allowBlank="1" showInputMessage="1" showErrorMessage="1" promptTitle="Stage of Change for 0 or 1" prompt="If score is 0 or omitted, do not assign SOC._x000a__x000a_If score is 1, only assign SOC if item was a significant problem in the past, but is currently well managed. If it is a low risk item, do not assign SOC.">
          <x14:formula1>
            <xm:f>'Data Values'!$B$2:$B$7</xm:f>
          </x14:formula1>
          <xm:sqref>B5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D7"/>
  <sheetViews>
    <sheetView showGridLines="0" showRowColHeaders="0" workbookViewId="0">
      <selection activeCell="D6" sqref="D6"/>
    </sheetView>
  </sheetViews>
  <sheetFormatPr defaultRowHeight="15" x14ac:dyDescent="0.2"/>
  <cols>
    <col min="1" max="1" width="15.77734375" customWidth="1"/>
    <col min="2" max="3" width="60.77734375" customWidth="1"/>
    <col min="4" max="4" width="15.77734375" customWidth="1"/>
  </cols>
  <sheetData>
    <row r="1" spans="1:4" x14ac:dyDescent="0.2">
      <c r="A1" s="4" t="s">
        <v>47</v>
      </c>
      <c r="D1" s="10" t="s">
        <v>58</v>
      </c>
    </row>
    <row r="2" spans="1:4" ht="65.25" customHeight="1" thickBot="1" x14ac:dyDescent="0.25">
      <c r="A2" s="4"/>
      <c r="B2" s="166" t="s">
        <v>481</v>
      </c>
      <c r="C2" s="167"/>
      <c r="D2" s="5"/>
    </row>
    <row r="3" spans="1:4" ht="16.5" thickBot="1" x14ac:dyDescent="0.25">
      <c r="A3" s="163" t="s">
        <v>7</v>
      </c>
      <c r="B3" s="150"/>
      <c r="C3" s="164" t="s">
        <v>8</v>
      </c>
      <c r="D3" s="165"/>
    </row>
    <row r="4" spans="1:4" ht="15.75" x14ac:dyDescent="0.2">
      <c r="A4" s="6" t="s">
        <v>46</v>
      </c>
      <c r="B4" s="7" t="s">
        <v>51</v>
      </c>
      <c r="C4" s="3" t="s">
        <v>51</v>
      </c>
      <c r="D4" s="6" t="s">
        <v>46</v>
      </c>
    </row>
    <row r="5" spans="1:4" ht="15.75" x14ac:dyDescent="0.25">
      <c r="A5" s="77"/>
      <c r="B5" s="78"/>
      <c r="C5" s="79"/>
      <c r="D5" s="11" t="str">
        <f>IF(OR(A5="OMIT (NA)",C5="OMIT (NA)",A5="OMIT (Info)",C5="OMIT (Info)",C5=""),"",
IF(B5=C5,A5,
IF(AND(OR(B5='Data Values'!B2,B5='Data Values'!B3),OR(C5='Data Values'!B2,C5='Data Values'!B3)),A5,
IF(AND(OR(B5='Data Values'!B2,B5='Data Values'!B3),C5='Data Values'!B4),MAX(0,A5-0.5),
IF(AND(OR(B5='Data Values'!B2,B5='Data Values'!B3),C5='Data Values'!B5),MAX(0,A5-1),
IF(AND(OR(B5='Data Values'!B2,B5='Data Values'!B3),C5='Data Values'!B6),MAX(0,A5-1.5),
IF(AND(B5='Data Values'!B4,C5='Data Values'!B5),MAX(0,A5-0.5),
IF(AND(B5='Data Values'!B4,C5='Data Values'!B6),MAX(0,A5-1),
IF(AND(B5='Data Values'!B5,C5='Data Values'!B6),MAX(0,A5-0.5),
IF(AND(B5='Data Values'!B6,C5='Data Values'!B5),MIN(3,A5+0.5),
IF(AND(B5='Data Values'!B6,C5='Data Values'!B4),MIN(3,A5+1),
IF(AND(B5='Data Values'!B6,OR(C5='Data Values'!B2,C5='Data Values'!B3)),MIN(3,A5+1.5),
IF(AND(B5='Data Values'!B5,C5='Data Values'!B4),MIN(3,A5+0.5),
IF(AND(B5='Data Values'!B5,OR(C5='Data Values'!B2,C5='Data Values'!B3)),MIN(3,A5+1),
IF(AND(B5='Data Values'!B4,OR(C5='Data Values'!B2,C5='Data Values'!B3)),MIN(3,A5+0.5),"")))))))))))))))</f>
        <v/>
      </c>
    </row>
    <row r="6" spans="1:4" ht="15.75" thickBot="1" x14ac:dyDescent="0.25">
      <c r="A6" s="12"/>
      <c r="B6" s="8" t="s">
        <v>50</v>
      </c>
      <c r="C6" s="9" t="s">
        <v>53</v>
      </c>
      <c r="D6" s="80"/>
    </row>
    <row r="7" spans="1:4" ht="409.5" customHeight="1" x14ac:dyDescent="0.2">
      <c r="A7" s="168"/>
      <c r="B7" s="169"/>
      <c r="C7" s="168"/>
      <c r="D7" s="169"/>
    </row>
  </sheetData>
  <sheetProtection password="E82C" sheet="1" objects="1" scenarios="1"/>
  <mergeCells count="5">
    <mergeCell ref="B2:C2"/>
    <mergeCell ref="A3:B3"/>
    <mergeCell ref="C3:D3"/>
    <mergeCell ref="A7:B7"/>
    <mergeCell ref="C7:D7"/>
  </mergeCells>
  <hyperlinks>
    <hyperlink ref="A1" location="'Navigation page'!B1" display="VRS-SO Scoring Page"/>
    <hyperlink ref="D1" location="'D6'!B2" display="D6 Interpersonal Aggression"/>
  </hyperlinks>
  <pageMargins left="0.7" right="0.7" top="0.75" bottom="0.75" header="0.3" footer="0.3"/>
  <legacyDrawing r:id="rId1"/>
  <extLst>
    <ext xmlns:x14="http://schemas.microsoft.com/office/spreadsheetml/2009/9/main" uri="{CCE6A557-97BC-4b89-ADB6-D9C93CAAB3DF}">
      <x14:dataValidations xmlns:xm="http://schemas.microsoft.com/office/excel/2006/main" xWindow="314" yWindow="338" count="3">
        <x14:dataValidation type="list" allowBlank="1" showInputMessage="1" showErrorMessage="1">
          <x14:formula1>
            <xm:f>'Data Values'!$A$2:$A$7</xm:f>
          </x14:formula1>
          <xm:sqref>D6 A5</xm:sqref>
        </x14:dataValidation>
        <x14:dataValidation type="list" allowBlank="1" showInputMessage="1" showErrorMessage="1" promptTitle="Assigning Post-treatment SOCs" prompt="If no pre-treatment stage of change was assigned because this factor was scored 0 or 1 and deemed to be low risk, do not assign a post-treatment stage of change.  Just provide a post-treatment score. ">
          <x14:formula1>
            <xm:f>'Data Values'!$B$2:$B$7</xm:f>
          </x14:formula1>
          <xm:sqref>C5</xm:sqref>
        </x14:dataValidation>
        <x14:dataValidation type="list" allowBlank="1" showInputMessage="1" showErrorMessage="1" promptTitle="Stage of Change for 0 or 1" prompt="If score is 0 or omitted, do not assign SOC._x000a__x000a_If score is 1, only assign SOC if item was a significant problem in the past, but is currently well managed. If it is a low risk item, do not assign SOC.">
          <x14:formula1>
            <xm:f>'Data Values'!$B$2:$B$7</xm:f>
          </x14:formula1>
          <xm:sqref>B5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D7"/>
  <sheetViews>
    <sheetView showGridLines="0" showRowColHeaders="0" workbookViewId="0">
      <selection activeCell="D6" sqref="D6"/>
    </sheetView>
  </sheetViews>
  <sheetFormatPr defaultRowHeight="15" x14ac:dyDescent="0.2"/>
  <cols>
    <col min="1" max="1" width="15.77734375" customWidth="1"/>
    <col min="2" max="3" width="60.77734375" customWidth="1"/>
    <col min="4" max="4" width="15.77734375" customWidth="1"/>
  </cols>
  <sheetData>
    <row r="1" spans="1:4" x14ac:dyDescent="0.2">
      <c r="A1" s="4" t="s">
        <v>47</v>
      </c>
      <c r="D1" s="10" t="s">
        <v>59</v>
      </c>
    </row>
    <row r="2" spans="1:4" ht="65.25" customHeight="1" thickBot="1" x14ac:dyDescent="0.25">
      <c r="A2" s="4"/>
      <c r="B2" s="166" t="s">
        <v>482</v>
      </c>
      <c r="C2" s="167"/>
      <c r="D2" s="5"/>
    </row>
    <row r="3" spans="1:4" ht="16.5" thickBot="1" x14ac:dyDescent="0.25">
      <c r="A3" s="163" t="s">
        <v>7</v>
      </c>
      <c r="B3" s="150"/>
      <c r="C3" s="164" t="s">
        <v>8</v>
      </c>
      <c r="D3" s="165"/>
    </row>
    <row r="4" spans="1:4" ht="15.75" x14ac:dyDescent="0.2">
      <c r="A4" s="6" t="s">
        <v>46</v>
      </c>
      <c r="B4" s="7" t="s">
        <v>51</v>
      </c>
      <c r="C4" s="3" t="s">
        <v>51</v>
      </c>
      <c r="D4" s="6" t="s">
        <v>46</v>
      </c>
    </row>
    <row r="5" spans="1:4" ht="15.75" x14ac:dyDescent="0.25">
      <c r="A5" s="77"/>
      <c r="B5" s="78"/>
      <c r="C5" s="79"/>
      <c r="D5" s="11" t="str">
        <f>IF(OR(A5="OMIT (NA)",C5="OMIT (NA)",A5="OMIT (Info)",C5="OMIT (Info)",C5=""),"",
IF(B5=C5,A5,
IF(AND(OR(B5='Data Values'!B2,B5='Data Values'!B3),OR(C5='Data Values'!B2,C5='Data Values'!B3)),A5,
IF(AND(OR(B5='Data Values'!B2,B5='Data Values'!B3),C5='Data Values'!B4),MAX(0,A5-0.5),
IF(AND(OR(B5='Data Values'!B2,B5='Data Values'!B3),C5='Data Values'!B5),MAX(0,A5-1),
IF(AND(OR(B5='Data Values'!B2,B5='Data Values'!B3),C5='Data Values'!B6),MAX(0,A5-1.5),
IF(AND(B5='Data Values'!B4,C5='Data Values'!B5),MAX(0,A5-0.5),
IF(AND(B5='Data Values'!B4,C5='Data Values'!B6),MAX(0,A5-1),
IF(AND(B5='Data Values'!B5,C5='Data Values'!B6),MAX(0,A5-0.5),
IF(AND(B5='Data Values'!B6,C5='Data Values'!B5),MIN(3,A5+0.5),
IF(AND(B5='Data Values'!B6,C5='Data Values'!B4),MIN(3,A5+1),
IF(AND(B5='Data Values'!B6,OR(C5='Data Values'!B2,C5='Data Values'!B3)),MIN(3,A5+1.5),
IF(AND(B5='Data Values'!B5,C5='Data Values'!B4),MIN(3,A5+0.5),
IF(AND(B5='Data Values'!B5,OR(C5='Data Values'!B2,C5='Data Values'!B3)),MIN(3,A5+1),
IF(AND(B5='Data Values'!B4,OR(C5='Data Values'!B2,C5='Data Values'!B3)),MIN(3,A5+0.5),"")))))))))))))))</f>
        <v/>
      </c>
    </row>
    <row r="6" spans="1:4" ht="15.75" thickBot="1" x14ac:dyDescent="0.25">
      <c r="A6" s="12"/>
      <c r="B6" s="8" t="s">
        <v>50</v>
      </c>
      <c r="C6" s="9" t="s">
        <v>53</v>
      </c>
      <c r="D6" s="80"/>
    </row>
    <row r="7" spans="1:4" ht="409.5" customHeight="1" x14ac:dyDescent="0.2">
      <c r="A7" s="168"/>
      <c r="B7" s="169"/>
      <c r="C7" s="168"/>
      <c r="D7" s="169"/>
    </row>
  </sheetData>
  <sheetProtection password="E82C" sheet="1" objects="1" scenarios="1"/>
  <mergeCells count="5">
    <mergeCell ref="B2:C2"/>
    <mergeCell ref="A3:B3"/>
    <mergeCell ref="C3:D3"/>
    <mergeCell ref="A7:B7"/>
    <mergeCell ref="C7:D7"/>
  </mergeCells>
  <hyperlinks>
    <hyperlink ref="A1" location="'Navigation page'!B1" display="VRS-SO Scoring Page"/>
    <hyperlink ref="D1" location="'D7'!B2" display="D7 Emotional Control"/>
  </hyperlinks>
  <pageMargins left="0.7" right="0.7" top="0.75" bottom="0.75" header="0.3" footer="0.3"/>
  <legacyDrawing r:id="rId1"/>
  <extLst>
    <ext xmlns:x14="http://schemas.microsoft.com/office/spreadsheetml/2009/9/main" uri="{CCE6A557-97BC-4b89-ADB6-D9C93CAAB3DF}">
      <x14:dataValidations xmlns:xm="http://schemas.microsoft.com/office/excel/2006/main" xWindow="318" yWindow="340" count="3">
        <x14:dataValidation type="list" allowBlank="1" showInputMessage="1" showErrorMessage="1">
          <x14:formula1>
            <xm:f>'Data Values'!$A$2:$A$7</xm:f>
          </x14:formula1>
          <xm:sqref>D6 A5</xm:sqref>
        </x14:dataValidation>
        <x14:dataValidation type="list" allowBlank="1" showInputMessage="1" showErrorMessage="1" promptTitle="Assigning Post-treatment SOCs" prompt="If no pre-treatment stage of change was assigned because this factor was scored 0 or 1 and deemed to be low risk, do not assign a post-treatment stage of change.  Just provide a post-treatment score. ">
          <x14:formula1>
            <xm:f>'Data Values'!$B$2:$B$7</xm:f>
          </x14:formula1>
          <xm:sqref>C5</xm:sqref>
        </x14:dataValidation>
        <x14:dataValidation type="list" allowBlank="1" showInputMessage="1" showErrorMessage="1" promptTitle="Stage of Change for 0 or 1" prompt="If score is 0 or omitted, do not assign SOC._x000a__x000a_If score is 1, only assign SOC if item was a significant problem in the past, but is currently well managed. If it is a low risk item, do not assign SOC._x000a_">
          <x14:formula1>
            <xm:f>'Data Values'!$B$2:$B$7</xm:f>
          </x14:formula1>
          <xm:sqref>B5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D7"/>
  <sheetViews>
    <sheetView showGridLines="0" showRowColHeaders="0" topLeftCell="A2" workbookViewId="0">
      <selection activeCell="D6" sqref="D6"/>
    </sheetView>
  </sheetViews>
  <sheetFormatPr defaultRowHeight="15" x14ac:dyDescent="0.2"/>
  <cols>
    <col min="1" max="1" width="15.77734375" customWidth="1"/>
    <col min="2" max="3" width="60.77734375" customWidth="1"/>
    <col min="4" max="4" width="15.77734375" customWidth="1"/>
  </cols>
  <sheetData>
    <row r="1" spans="1:4" x14ac:dyDescent="0.2">
      <c r="A1" s="4" t="s">
        <v>47</v>
      </c>
      <c r="D1" s="10" t="s">
        <v>60</v>
      </c>
    </row>
    <row r="2" spans="1:4" ht="80.25" customHeight="1" thickBot="1" x14ac:dyDescent="0.25">
      <c r="A2" s="4"/>
      <c r="B2" s="166" t="s">
        <v>483</v>
      </c>
      <c r="C2" s="167"/>
      <c r="D2" s="5"/>
    </row>
    <row r="3" spans="1:4" ht="16.5" thickBot="1" x14ac:dyDescent="0.25">
      <c r="A3" s="163" t="s">
        <v>7</v>
      </c>
      <c r="B3" s="150"/>
      <c r="C3" s="164" t="s">
        <v>8</v>
      </c>
      <c r="D3" s="165"/>
    </row>
    <row r="4" spans="1:4" ht="15.75" x14ac:dyDescent="0.2">
      <c r="A4" s="6" t="s">
        <v>46</v>
      </c>
      <c r="B4" s="7" t="s">
        <v>51</v>
      </c>
      <c r="C4" s="3" t="s">
        <v>51</v>
      </c>
      <c r="D4" s="6" t="s">
        <v>46</v>
      </c>
    </row>
    <row r="5" spans="1:4" ht="15.75" x14ac:dyDescent="0.25">
      <c r="A5" s="77"/>
      <c r="B5" s="78"/>
      <c r="C5" s="79"/>
      <c r="D5" s="11" t="str">
        <f>IF(OR(A5="OMIT (NA)",C5="OMIT (NA)",A5="OMIT (Info)",C5="OMIT (Info)",C5=""),"",
IF(B5=C5,A5,
IF(AND(OR(B5='Data Values'!B2,B5='Data Values'!B3),OR(C5='Data Values'!B2,C5='Data Values'!B3)),A5,
IF(AND(OR(B5='Data Values'!B2,B5='Data Values'!B3),C5='Data Values'!B4),MAX(0,A5-0.5),
IF(AND(OR(B5='Data Values'!B2,B5='Data Values'!B3),C5='Data Values'!B5),MAX(0,A5-1),
IF(AND(OR(B5='Data Values'!B2,B5='Data Values'!B3),C5='Data Values'!B6),MAX(0,A5-1.5),
IF(AND(B5='Data Values'!B4,C5='Data Values'!B5),MAX(0,A5-0.5),
IF(AND(B5='Data Values'!B4,C5='Data Values'!B6),MAX(0,A5-1),
IF(AND(B5='Data Values'!B5,C5='Data Values'!B6),MAX(0,A5-0.5),
IF(AND(B5='Data Values'!B6,C5='Data Values'!B5),MIN(3,A5+0.5),
IF(AND(B5='Data Values'!B6,C5='Data Values'!B4),MIN(3,A5+1),
IF(AND(B5='Data Values'!B6,OR(C5='Data Values'!B2,C5='Data Values'!B3)),MIN(3,A5+1.5),
IF(AND(B5='Data Values'!B5,C5='Data Values'!B4),MIN(3,A5+0.5),
IF(AND(B5='Data Values'!B5,OR(C5='Data Values'!B2,C5='Data Values'!B3)),MIN(3,A5+1),
IF(AND(B5='Data Values'!B4,OR(C5='Data Values'!B2,C5='Data Values'!B3)),MIN(3,A5+0.5),"")))))))))))))))</f>
        <v/>
      </c>
    </row>
    <row r="6" spans="1:4" ht="15.75" thickBot="1" x14ac:dyDescent="0.25">
      <c r="A6" s="12"/>
      <c r="B6" s="8" t="s">
        <v>50</v>
      </c>
      <c r="C6" s="9" t="s">
        <v>53</v>
      </c>
      <c r="D6" s="80"/>
    </row>
    <row r="7" spans="1:4" ht="409.5" customHeight="1" x14ac:dyDescent="0.2">
      <c r="A7" s="168"/>
      <c r="B7" s="169"/>
      <c r="C7" s="168"/>
      <c r="D7" s="169"/>
    </row>
  </sheetData>
  <sheetProtection password="E82C" sheet="1" objects="1" scenarios="1"/>
  <mergeCells count="5">
    <mergeCell ref="B2:C2"/>
    <mergeCell ref="A3:B3"/>
    <mergeCell ref="C3:D3"/>
    <mergeCell ref="A7:B7"/>
    <mergeCell ref="C7:D7"/>
  </mergeCells>
  <hyperlinks>
    <hyperlink ref="A1" location="'Navigation page'!B1" display="VRS-SO Scoring Page"/>
    <hyperlink ref="D1" location="'D8'!B2" display="D8 Insight"/>
  </hyperlinks>
  <pageMargins left="0.7" right="0.7" top="0.75" bottom="0.75" header="0.3" footer="0.3"/>
  <legacyDrawing r:id="rId1"/>
  <extLst>
    <ext xmlns:x14="http://schemas.microsoft.com/office/spreadsheetml/2009/9/main" uri="{CCE6A557-97BC-4b89-ADB6-D9C93CAAB3DF}">
      <x14:dataValidations xmlns:xm="http://schemas.microsoft.com/office/excel/2006/main" xWindow="332" yWindow="337" count="3">
        <x14:dataValidation type="list" allowBlank="1" showInputMessage="1" showErrorMessage="1">
          <x14:formula1>
            <xm:f>'Data Values'!$A$2:$A$7</xm:f>
          </x14:formula1>
          <xm:sqref>D6 A5</xm:sqref>
        </x14:dataValidation>
        <x14:dataValidation type="list" allowBlank="1" showInputMessage="1" showErrorMessage="1" promptTitle="Assigning Post-treatment SOCs" prompt="If no pre-treatment stage of change was assigned because this factor was scored 0 or 1 and deemed to be low risk, do not assign a post-treatment stage of change.  Just provide a post-treatment score. ">
          <x14:formula1>
            <xm:f>'Data Values'!$B$2:$B$7</xm:f>
          </x14:formula1>
          <xm:sqref>C5</xm:sqref>
        </x14:dataValidation>
        <x14:dataValidation type="list" allowBlank="1" showInputMessage="1" showErrorMessage="1" promptTitle="Stage of Change for 0 or 1" prompt="If score is 0 or omitted, do not assign SOC._x000a__x000a_If score is 1, only assign SOC if item was a significant problem in the past, but is currently well managed. If it is a low risk item, do not assign SOC._x000a_">
          <x14:formula1>
            <xm:f>'Data Values'!$B$2:$B$7</xm:f>
          </x14:formula1>
          <xm:sqref>B5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Navigation page</vt:lpstr>
      <vt:lpstr>Static 2</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vt:lpstr>
      <vt:lpstr>Summary Report</vt:lpstr>
      <vt:lpstr>Print Format</vt:lpstr>
      <vt:lpstr>Data Tab</vt:lpstr>
      <vt:lpstr>Variable Names</vt:lpstr>
      <vt:lpstr>Data Values</vt:lpstr>
    </vt:vector>
  </TitlesOfParts>
  <Company>DHS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Mundt, James C</dc:creator>
  <cp:lastModifiedBy>D. Gu</cp:lastModifiedBy>
  <cp:lastPrinted>2016-08-24T21:21:31Z</cp:lastPrinted>
  <dcterms:created xsi:type="dcterms:W3CDTF">2016-06-13T20:12:39Z</dcterms:created>
  <dcterms:modified xsi:type="dcterms:W3CDTF">2019-12-27T02:52:06Z</dcterms:modified>
</cp:coreProperties>
</file>