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ichaeloakadvisors-my.sharepoint.com/personal/mike_michaeloak_com/Documents/06_Data/AskOak/"/>
    </mc:Choice>
  </mc:AlternateContent>
  <xr:revisionPtr revIDLastSave="0" documentId="8_{4F9E4258-22C2-4E23-8B6D-02C13AFBBA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FS" sheetId="1" r:id="rId1"/>
    <sheet name="PF" sheetId="2" r:id="rId2"/>
    <sheet name="CAD" sheetId="3" r:id="rId3"/>
    <sheet name="FO" sheetId="4" r:id="rId4"/>
    <sheet name="AM" sheetId="5" r:id="rId5"/>
    <sheet name="PE" sheetId="6" r:id="rId6"/>
    <sheet name="HF" sheetId="7" r:id="rId7"/>
    <sheet name="EFS_Params" sheetId="8" state="hidden" r:id="rId8"/>
    <sheet name="PF_Params" sheetId="9" state="hidden" r:id="rId9"/>
    <sheet name="CAD_Params" sheetId="10" state="hidden" r:id="rId10"/>
    <sheet name="FO_Params" sheetId="11" state="hidden" r:id="rId11"/>
    <sheet name="AM_Params" sheetId="12" state="hidden" r:id="rId12"/>
    <sheet name="PE_Params" sheetId="13" state="hidden" r:id="rId13"/>
    <sheet name="HF_Params" sheetId="14" state="hidden" r:id="rId14"/>
  </sheets>
  <definedNames>
    <definedName name="_xlnm.Print_Area" localSheetId="0">EFS!$A$11:$U$34</definedName>
    <definedName name="_xlnm.Print_Titles" localSheetId="0">EFS!$A:$A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4" l="1"/>
  <c r="B34" i="13"/>
  <c r="B32" i="12"/>
  <c r="W4" i="5" s="1"/>
  <c r="B32" i="11"/>
  <c r="W4" i="4" s="1"/>
  <c r="T33" i="4" s="1"/>
  <c r="B2" i="10"/>
  <c r="V2" i="3" s="1"/>
  <c r="F38" i="3" s="1"/>
  <c r="B53" i="9"/>
  <c r="B24" i="8"/>
  <c r="W4" i="1" s="1"/>
  <c r="H31" i="6"/>
  <c r="M31" i="6" s="1"/>
  <c r="A24" i="6"/>
  <c r="P19" i="6"/>
  <c r="N19" i="6"/>
  <c r="N18" i="6"/>
  <c r="O16" i="6"/>
  <c r="A11" i="6"/>
  <c r="W4" i="6"/>
  <c r="W2" i="6"/>
  <c r="I19" i="6" s="1"/>
  <c r="P35" i="5"/>
  <c r="H35" i="5"/>
  <c r="P32" i="5"/>
  <c r="K32" i="5"/>
  <c r="A25" i="5"/>
  <c r="I22" i="5"/>
  <c r="O21" i="5"/>
  <c r="H20" i="5"/>
  <c r="F20" i="5"/>
  <c r="G15" i="5"/>
  <c r="P14" i="5"/>
  <c r="O14" i="5"/>
  <c r="A11" i="5"/>
  <c r="W6" i="5"/>
  <c r="W2" i="5"/>
  <c r="O33" i="4"/>
  <c r="G33" i="4"/>
  <c r="C33" i="4"/>
  <c r="P32" i="4"/>
  <c r="L32" i="4"/>
  <c r="G32" i="4"/>
  <c r="D32" i="4"/>
  <c r="T31" i="4"/>
  <c r="P31" i="4"/>
  <c r="T30" i="4"/>
  <c r="O30" i="4"/>
  <c r="L30" i="4"/>
  <c r="I30" i="4"/>
  <c r="G30" i="4"/>
  <c r="U29" i="4"/>
  <c r="L29" i="4"/>
  <c r="K29" i="4"/>
  <c r="D29" i="4"/>
  <c r="J28" i="4"/>
  <c r="I28" i="4"/>
  <c r="T27" i="4"/>
  <c r="N27" i="4"/>
  <c r="L27" i="4"/>
  <c r="I27" i="4"/>
  <c r="F27" i="4"/>
  <c r="A24" i="4"/>
  <c r="S21" i="4"/>
  <c r="B21" i="4"/>
  <c r="R20" i="4"/>
  <c r="O20" i="4"/>
  <c r="J20" i="4"/>
  <c r="F20" i="4"/>
  <c r="D20" i="4"/>
  <c r="P19" i="4"/>
  <c r="N19" i="4"/>
  <c r="G19" i="4"/>
  <c r="T18" i="4"/>
  <c r="R18" i="4"/>
  <c r="I18" i="4"/>
  <c r="C18" i="4"/>
  <c r="B18" i="4"/>
  <c r="U17" i="4"/>
  <c r="O17" i="4"/>
  <c r="M17" i="4"/>
  <c r="L17" i="4"/>
  <c r="O16" i="4"/>
  <c r="N16" i="4"/>
  <c r="I16" i="4"/>
  <c r="H16" i="4"/>
  <c r="E16" i="4"/>
  <c r="P15" i="4"/>
  <c r="L15" i="4"/>
  <c r="H15" i="4"/>
  <c r="G15" i="4"/>
  <c r="Q14" i="4"/>
  <c r="I14" i="4"/>
  <c r="E14" i="4"/>
  <c r="D14" i="4"/>
  <c r="B14" i="4"/>
  <c r="A11" i="4"/>
  <c r="W6" i="4"/>
  <c r="W2" i="4"/>
  <c r="A40" i="3"/>
  <c r="J39" i="3"/>
  <c r="H38" i="3"/>
  <c r="K37" i="3"/>
  <c r="J37" i="3"/>
  <c r="I37" i="3"/>
  <c r="B37" i="3"/>
  <c r="G36" i="3"/>
  <c r="F36" i="3"/>
  <c r="K34" i="3"/>
  <c r="G34" i="3"/>
  <c r="B34" i="3"/>
  <c r="K33" i="3"/>
  <c r="J33" i="3"/>
  <c r="E33" i="3"/>
  <c r="G31" i="3"/>
  <c r="B31" i="3"/>
  <c r="C27" i="3"/>
  <c r="H26" i="3"/>
  <c r="G26" i="3"/>
  <c r="E26" i="3"/>
  <c r="H25" i="3"/>
  <c r="B25" i="3"/>
  <c r="J24" i="3"/>
  <c r="E23" i="3"/>
  <c r="B23" i="3"/>
  <c r="J22" i="3"/>
  <c r="I22" i="3"/>
  <c r="H22" i="3"/>
  <c r="I21" i="3"/>
  <c r="D21" i="3"/>
  <c r="E20" i="3"/>
  <c r="G18" i="3"/>
  <c r="B18" i="3"/>
  <c r="J14" i="3"/>
  <c r="E14" i="3"/>
  <c r="D14" i="3"/>
  <c r="I13" i="3"/>
  <c r="D13" i="3"/>
  <c r="K11" i="3"/>
  <c r="E11" i="3"/>
  <c r="D11" i="3"/>
  <c r="B11" i="3"/>
  <c r="J10" i="3"/>
  <c r="K9" i="3"/>
  <c r="J9" i="3"/>
  <c r="H8" i="3"/>
  <c r="E8" i="3"/>
  <c r="G6" i="3"/>
  <c r="B6" i="3"/>
  <c r="V3" i="3"/>
  <c r="A2" i="3"/>
  <c r="A24" i="2"/>
  <c r="W12" i="2"/>
  <c r="A11" i="2"/>
  <c r="W10" i="2"/>
  <c r="W14" i="2" s="1"/>
  <c r="F31" i="2" s="1"/>
  <c r="W8" i="2"/>
  <c r="W6" i="2"/>
  <c r="W4" i="2"/>
  <c r="W2" i="2"/>
  <c r="A24" i="1"/>
  <c r="A11" i="1"/>
  <c r="W8" i="1"/>
  <c r="W6" i="1"/>
  <c r="W2" i="1"/>
  <c r="P32" i="1" s="1"/>
  <c r="H33" i="7"/>
  <c r="M33" i="7" s="1"/>
  <c r="B33" i="7"/>
  <c r="K32" i="7"/>
  <c r="P32" i="7" s="1"/>
  <c r="J32" i="7"/>
  <c r="O32" i="7" s="1"/>
  <c r="G32" i="7"/>
  <c r="L32" i="7" s="1"/>
  <c r="F32" i="7"/>
  <c r="K31" i="7"/>
  <c r="P31" i="7" s="1"/>
  <c r="J31" i="7"/>
  <c r="O31" i="7" s="1"/>
  <c r="D31" i="7"/>
  <c r="I30" i="7"/>
  <c r="N30" i="7" s="1"/>
  <c r="H30" i="7"/>
  <c r="M30" i="7" s="1"/>
  <c r="G30" i="7"/>
  <c r="L30" i="7" s="1"/>
  <c r="D30" i="7"/>
  <c r="C30" i="7"/>
  <c r="K29" i="7"/>
  <c r="P29" i="7" s="1"/>
  <c r="I29" i="7"/>
  <c r="N29" i="7" s="1"/>
  <c r="H29" i="7"/>
  <c r="M29" i="7" s="1"/>
  <c r="J28" i="7"/>
  <c r="O28" i="7" s="1"/>
  <c r="G28" i="7"/>
  <c r="L28" i="7" s="1"/>
  <c r="F28" i="7"/>
  <c r="E28" i="7"/>
  <c r="I27" i="7"/>
  <c r="N27" i="7" s="1"/>
  <c r="G27" i="7"/>
  <c r="L27" i="7" s="1"/>
  <c r="F27" i="7"/>
  <c r="A24" i="7"/>
  <c r="O21" i="7"/>
  <c r="N21" i="7"/>
  <c r="G21" i="7"/>
  <c r="D21" i="7"/>
  <c r="C21" i="7"/>
  <c r="B21" i="7"/>
  <c r="N20" i="7"/>
  <c r="M20" i="7"/>
  <c r="H20" i="7"/>
  <c r="D20" i="7"/>
  <c r="M19" i="7"/>
  <c r="L19" i="7"/>
  <c r="C19" i="7"/>
  <c r="B19" i="7"/>
  <c r="P18" i="7"/>
  <c r="O18" i="7"/>
  <c r="L18" i="7"/>
  <c r="K18" i="7"/>
  <c r="D18" i="7"/>
  <c r="B18" i="7"/>
  <c r="K17" i="7"/>
  <c r="H17" i="7"/>
  <c r="P16" i="7"/>
  <c r="O16" i="7"/>
  <c r="N16" i="7"/>
  <c r="M16" i="7"/>
  <c r="H16" i="7"/>
  <c r="G16" i="7"/>
  <c r="B16" i="7"/>
  <c r="O15" i="7"/>
  <c r="H15" i="7"/>
  <c r="G15" i="7"/>
  <c r="O14" i="7"/>
  <c r="N14" i="7"/>
  <c r="M14" i="7"/>
  <c r="K14" i="7"/>
  <c r="H14" i="7"/>
  <c r="G14" i="7"/>
  <c r="B14" i="7"/>
  <c r="A11" i="7"/>
  <c r="W4" i="7"/>
  <c r="I31" i="7" s="1"/>
  <c r="N31" i="7" s="1"/>
  <c r="W2" i="7"/>
  <c r="D20" i="2" l="1"/>
  <c r="D14" i="2"/>
  <c r="C16" i="2"/>
  <c r="W16" i="2"/>
  <c r="U27" i="2" s="1"/>
  <c r="U20" i="1"/>
  <c r="B21" i="1"/>
  <c r="E21" i="1"/>
  <c r="I15" i="1"/>
  <c r="G21" i="1"/>
  <c r="J32" i="1"/>
  <c r="J15" i="1"/>
  <c r="N21" i="1"/>
  <c r="M32" i="1"/>
  <c r="K15" i="1"/>
  <c r="O21" i="1"/>
  <c r="M15" i="1"/>
  <c r="B19" i="1"/>
  <c r="S29" i="1"/>
  <c r="Q31" i="1"/>
  <c r="R31" i="1"/>
  <c r="T31" i="1"/>
  <c r="I32" i="1"/>
  <c r="U15" i="1"/>
  <c r="N28" i="1"/>
  <c r="Q17" i="1"/>
  <c r="B18" i="1"/>
  <c r="O29" i="1"/>
  <c r="D19" i="1"/>
  <c r="H15" i="1"/>
  <c r="Q28" i="1"/>
  <c r="R17" i="1"/>
  <c r="S28" i="1"/>
  <c r="F18" i="1"/>
  <c r="P29" i="1"/>
  <c r="B16" i="1"/>
  <c r="E19" i="1"/>
  <c r="T21" i="1"/>
  <c r="U29" i="1"/>
  <c r="O32" i="1"/>
  <c r="E16" i="1"/>
  <c r="F19" i="1"/>
  <c r="D30" i="1"/>
  <c r="G16" i="1"/>
  <c r="H19" i="1"/>
  <c r="S27" i="1"/>
  <c r="I30" i="1"/>
  <c r="C17" i="1"/>
  <c r="P19" i="1"/>
  <c r="T27" i="1"/>
  <c r="J30" i="1"/>
  <c r="D14" i="1"/>
  <c r="D17" i="1"/>
  <c r="Q19" i="1"/>
  <c r="U27" i="1"/>
  <c r="P30" i="1"/>
  <c r="E14" i="1"/>
  <c r="E17" i="1"/>
  <c r="U19" i="1"/>
  <c r="B28" i="1"/>
  <c r="S30" i="1"/>
  <c r="J14" i="1"/>
  <c r="F17" i="1"/>
  <c r="D20" i="1"/>
  <c r="D28" i="1"/>
  <c r="O31" i="1"/>
  <c r="M14" i="1"/>
  <c r="K17" i="1"/>
  <c r="T20" i="1"/>
  <c r="K28" i="1"/>
  <c r="P31" i="1"/>
  <c r="D32" i="2"/>
  <c r="B30" i="2"/>
  <c r="F27" i="2"/>
  <c r="E20" i="2"/>
  <c r="C32" i="2"/>
  <c r="C31" i="2"/>
  <c r="C28" i="2"/>
  <c r="C20" i="2"/>
  <c r="C33" i="2"/>
  <c r="C30" i="2"/>
  <c r="B27" i="2"/>
  <c r="D19" i="2"/>
  <c r="B17" i="2"/>
  <c r="F33" i="2"/>
  <c r="D21" i="2"/>
  <c r="E33" i="2"/>
  <c r="F32" i="2"/>
  <c r="C21" i="2"/>
  <c r="F20" i="2"/>
  <c r="F16" i="2"/>
  <c r="C14" i="2"/>
  <c r="E31" i="2"/>
  <c r="E30" i="2"/>
  <c r="D29" i="2"/>
  <c r="E28" i="2"/>
  <c r="D27" i="2"/>
  <c r="E21" i="2"/>
  <c r="B20" i="2"/>
  <c r="C19" i="2"/>
  <c r="F18" i="2"/>
  <c r="B15" i="2"/>
  <c r="E32" i="2"/>
  <c r="D31" i="2"/>
  <c r="D30" i="2"/>
  <c r="C29" i="2"/>
  <c r="D28" i="2"/>
  <c r="C27" i="2"/>
  <c r="B21" i="2"/>
  <c r="B19" i="2"/>
  <c r="E18" i="2"/>
  <c r="F14" i="2"/>
  <c r="B32" i="2"/>
  <c r="B31" i="2"/>
  <c r="B29" i="2"/>
  <c r="B28" i="2"/>
  <c r="D17" i="2"/>
  <c r="B16" i="2"/>
  <c r="F15" i="2"/>
  <c r="D18" i="2"/>
  <c r="E27" i="2"/>
  <c r="C18" i="2"/>
  <c r="F30" i="2"/>
  <c r="F19" i="2"/>
  <c r="B18" i="2"/>
  <c r="E19" i="2"/>
  <c r="B33" i="2"/>
  <c r="F29" i="2"/>
  <c r="E16" i="2"/>
  <c r="D15" i="2"/>
  <c r="B14" i="2"/>
  <c r="D16" i="2"/>
  <c r="E29" i="2"/>
  <c r="F21" i="2"/>
  <c r="F17" i="2"/>
  <c r="C15" i="2"/>
  <c r="F28" i="2"/>
  <c r="O35" i="5"/>
  <c r="P34" i="5"/>
  <c r="B34" i="5"/>
  <c r="C33" i="5"/>
  <c r="D32" i="5"/>
  <c r="E31" i="5"/>
  <c r="F30" i="5"/>
  <c r="G29" i="5"/>
  <c r="H28" i="5"/>
  <c r="J22" i="5"/>
  <c r="K21" i="5"/>
  <c r="L20" i="5"/>
  <c r="M19" i="5"/>
  <c r="N18" i="5"/>
  <c r="O17" i="5"/>
  <c r="P16" i="5"/>
  <c r="B16" i="5"/>
  <c r="C15" i="5"/>
  <c r="D14" i="5"/>
  <c r="J35" i="5"/>
  <c r="K34" i="5"/>
  <c r="L33" i="5"/>
  <c r="M32" i="5"/>
  <c r="N31" i="5"/>
  <c r="O30" i="5"/>
  <c r="P29" i="5"/>
  <c r="B29" i="5"/>
  <c r="C28" i="5"/>
  <c r="E22" i="5"/>
  <c r="F21" i="5"/>
  <c r="G20" i="5"/>
  <c r="H19" i="5"/>
  <c r="I18" i="5"/>
  <c r="J17" i="5"/>
  <c r="K16" i="5"/>
  <c r="L15" i="5"/>
  <c r="M14" i="5"/>
  <c r="G35" i="5"/>
  <c r="F34" i="5"/>
  <c r="E33" i="5"/>
  <c r="C32" i="5"/>
  <c r="B31" i="5"/>
  <c r="O29" i="5"/>
  <c r="N28" i="5"/>
  <c r="N22" i="5"/>
  <c r="M21" i="5"/>
  <c r="K20" i="5"/>
  <c r="J19" i="5"/>
  <c r="H18" i="5"/>
  <c r="G17" i="5"/>
  <c r="F16" i="5"/>
  <c r="E15" i="5"/>
  <c r="C14" i="5"/>
  <c r="F35" i="5"/>
  <c r="E34" i="5"/>
  <c r="D33" i="5"/>
  <c r="B32" i="5"/>
  <c r="P30" i="5"/>
  <c r="N29" i="5"/>
  <c r="M28" i="5"/>
  <c r="M22" i="5"/>
  <c r="L21" i="5"/>
  <c r="J20" i="5"/>
  <c r="I19" i="5"/>
  <c r="G18" i="5"/>
  <c r="F17" i="5"/>
  <c r="E16" i="5"/>
  <c r="D15" i="5"/>
  <c r="B14" i="5"/>
  <c r="B35" i="5"/>
  <c r="O33" i="5"/>
  <c r="N32" i="5"/>
  <c r="L31" i="5"/>
  <c r="K30" i="5"/>
  <c r="J29" i="5"/>
  <c r="I28" i="5"/>
  <c r="H22" i="5"/>
  <c r="G21" i="5"/>
  <c r="E20" i="5"/>
  <c r="D19" i="5"/>
  <c r="C18" i="5"/>
  <c r="B17" i="5"/>
  <c r="O15" i="5"/>
  <c r="N14" i="5"/>
  <c r="L35" i="5"/>
  <c r="J34" i="5"/>
  <c r="I33" i="5"/>
  <c r="H32" i="5"/>
  <c r="G31" i="5"/>
  <c r="E30" i="5"/>
  <c r="D29" i="5"/>
  <c r="B28" i="5"/>
  <c r="B22" i="5"/>
  <c r="P20" i="5"/>
  <c r="O19" i="5"/>
  <c r="M18" i="5"/>
  <c r="L17" i="5"/>
  <c r="J16" i="5"/>
  <c r="I15" i="5"/>
  <c r="H14" i="5"/>
  <c r="N34" i="5"/>
  <c r="G33" i="5"/>
  <c r="M31" i="5"/>
  <c r="G30" i="5"/>
  <c r="L28" i="5"/>
  <c r="F22" i="5"/>
  <c r="N20" i="5"/>
  <c r="E19" i="5"/>
  <c r="M17" i="5"/>
  <c r="D16" i="5"/>
  <c r="K14" i="5"/>
  <c r="M34" i="5"/>
  <c r="F33" i="5"/>
  <c r="K31" i="5"/>
  <c r="D30" i="5"/>
  <c r="K28" i="5"/>
  <c r="D22" i="5"/>
  <c r="M20" i="5"/>
  <c r="C19" i="5"/>
  <c r="K17" i="5"/>
  <c r="C16" i="5"/>
  <c r="J14" i="5"/>
  <c r="N35" i="5"/>
  <c r="G34" i="5"/>
  <c r="L32" i="5"/>
  <c r="F31" i="5"/>
  <c r="L29" i="5"/>
  <c r="E28" i="5"/>
  <c r="N21" i="5"/>
  <c r="D20" i="5"/>
  <c r="L18" i="5"/>
  <c r="D17" i="5"/>
  <c r="K15" i="5"/>
  <c r="E14" i="5"/>
  <c r="E35" i="5"/>
  <c r="M33" i="5"/>
  <c r="F32" i="5"/>
  <c r="L30" i="5"/>
  <c r="E29" i="5"/>
  <c r="L22" i="5"/>
  <c r="D21" i="5"/>
  <c r="L19" i="5"/>
  <c r="D18" i="5"/>
  <c r="L16" i="5"/>
  <c r="B15" i="5"/>
  <c r="H34" i="5"/>
  <c r="G32" i="5"/>
  <c r="C30" i="5"/>
  <c r="B21" i="5"/>
  <c r="O18" i="5"/>
  <c r="M16" i="5"/>
  <c r="I14" i="5"/>
  <c r="D34" i="5"/>
  <c r="E32" i="5"/>
  <c r="B30" i="5"/>
  <c r="P22" i="5"/>
  <c r="O20" i="5"/>
  <c r="K18" i="5"/>
  <c r="I16" i="5"/>
  <c r="G14" i="5"/>
  <c r="C34" i="5"/>
  <c r="P31" i="5"/>
  <c r="M29" i="5"/>
  <c r="O22" i="5"/>
  <c r="I20" i="5"/>
  <c r="J18" i="5"/>
  <c r="H16" i="5"/>
  <c r="F14" i="5"/>
  <c r="M35" i="5"/>
  <c r="K33" i="5"/>
  <c r="I31" i="5"/>
  <c r="H29" i="5"/>
  <c r="G22" i="5"/>
  <c r="C20" i="5"/>
  <c r="B18" i="5"/>
  <c r="N15" i="5"/>
  <c r="C35" i="5"/>
  <c r="O32" i="5"/>
  <c r="M30" i="5"/>
  <c r="J28" i="5"/>
  <c r="I21" i="5"/>
  <c r="G19" i="5"/>
  <c r="E17" i="5"/>
  <c r="F15" i="5"/>
  <c r="O34" i="5"/>
  <c r="H31" i="5"/>
  <c r="F28" i="5"/>
  <c r="B20" i="5"/>
  <c r="O16" i="5"/>
  <c r="P15" i="5"/>
  <c r="L34" i="5"/>
  <c r="D31" i="5"/>
  <c r="D28" i="5"/>
  <c r="P19" i="5"/>
  <c r="N16" i="5"/>
  <c r="I34" i="5"/>
  <c r="C31" i="5"/>
  <c r="N19" i="5"/>
  <c r="G16" i="5"/>
  <c r="P33" i="5"/>
  <c r="N30" i="5"/>
  <c r="K22" i="5"/>
  <c r="K19" i="5"/>
  <c r="N33" i="5"/>
  <c r="J30" i="5"/>
  <c r="J33" i="5"/>
  <c r="I30" i="5"/>
  <c r="C22" i="5"/>
  <c r="B19" i="5"/>
  <c r="J15" i="5"/>
  <c r="H33" i="5"/>
  <c r="H30" i="5"/>
  <c r="P21" i="5"/>
  <c r="P18" i="5"/>
  <c r="H15" i="5"/>
  <c r="K35" i="5"/>
  <c r="J32" i="5"/>
  <c r="C29" i="5"/>
  <c r="E21" i="5"/>
  <c r="N17" i="5"/>
  <c r="L14" i="5"/>
  <c r="I35" i="5"/>
  <c r="I32" i="5"/>
  <c r="P28" i="5"/>
  <c r="C21" i="5"/>
  <c r="I17" i="5"/>
  <c r="H21" i="5"/>
  <c r="B33" i="5"/>
  <c r="D19" i="6"/>
  <c r="I33" i="6"/>
  <c r="N33" i="6" s="1"/>
  <c r="J21" i="5"/>
  <c r="D35" i="5"/>
  <c r="I34" i="6"/>
  <c r="N34" i="6" s="1"/>
  <c r="J33" i="6"/>
  <c r="O33" i="6" s="1"/>
  <c r="K32" i="6"/>
  <c r="P32" i="6" s="1"/>
  <c r="B27" i="6"/>
  <c r="D21" i="6"/>
  <c r="E20" i="6"/>
  <c r="F19" i="6"/>
  <c r="G18" i="6"/>
  <c r="H17" i="6"/>
  <c r="I16" i="6"/>
  <c r="J15" i="6"/>
  <c r="K14" i="6"/>
  <c r="D34" i="6"/>
  <c r="E33" i="6"/>
  <c r="F32" i="6"/>
  <c r="G31" i="6"/>
  <c r="L31" i="6" s="1"/>
  <c r="H30" i="6"/>
  <c r="M30" i="6" s="1"/>
  <c r="I29" i="6"/>
  <c r="N29" i="6" s="1"/>
  <c r="J28" i="6"/>
  <c r="O28" i="6" s="1"/>
  <c r="K27" i="6"/>
  <c r="P27" i="6" s="1"/>
  <c r="M21" i="6"/>
  <c r="N20" i="6"/>
  <c r="O19" i="6"/>
  <c r="P18" i="6"/>
  <c r="B18" i="6"/>
  <c r="C17" i="6"/>
  <c r="D16" i="6"/>
  <c r="E15" i="6"/>
  <c r="F14" i="6"/>
  <c r="H34" i="6"/>
  <c r="M34" i="6" s="1"/>
  <c r="G33" i="6"/>
  <c r="L33" i="6" s="1"/>
  <c r="E32" i="6"/>
  <c r="D31" i="6"/>
  <c r="C30" i="6"/>
  <c r="B29" i="6"/>
  <c r="O21" i="6"/>
  <c r="M20" i="6"/>
  <c r="L19" i="6"/>
  <c r="K18" i="6"/>
  <c r="J17" i="6"/>
  <c r="H16" i="6"/>
  <c r="G15" i="6"/>
  <c r="E14" i="6"/>
  <c r="G34" i="6"/>
  <c r="L34" i="6" s="1"/>
  <c r="F33" i="6"/>
  <c r="D32" i="6"/>
  <c r="C31" i="6"/>
  <c r="B30" i="6"/>
  <c r="N21" i="6"/>
  <c r="L20" i="6"/>
  <c r="K19" i="6"/>
  <c r="J18" i="6"/>
  <c r="I17" i="6"/>
  <c r="G16" i="6"/>
  <c r="F15" i="6"/>
  <c r="D14" i="6"/>
  <c r="B34" i="6"/>
  <c r="K28" i="6"/>
  <c r="P28" i="6" s="1"/>
  <c r="I27" i="6"/>
  <c r="N27" i="6" s="1"/>
  <c r="I21" i="6"/>
  <c r="H20" i="6"/>
  <c r="G19" i="6"/>
  <c r="E18" i="6"/>
  <c r="D17" i="6"/>
  <c r="B16" i="6"/>
  <c r="P14" i="6"/>
  <c r="J32" i="6"/>
  <c r="O32" i="6" s="1"/>
  <c r="I31" i="6"/>
  <c r="N31" i="6" s="1"/>
  <c r="G30" i="6"/>
  <c r="L30" i="6" s="1"/>
  <c r="F29" i="6"/>
  <c r="E28" i="6"/>
  <c r="D27" i="6"/>
  <c r="C21" i="6"/>
  <c r="B20" i="6"/>
  <c r="O18" i="6"/>
  <c r="N17" i="6"/>
  <c r="M16" i="6"/>
  <c r="L15" i="6"/>
  <c r="J14" i="6"/>
  <c r="E34" i="6"/>
  <c r="E31" i="6"/>
  <c r="K29" i="6"/>
  <c r="P29" i="6" s="1"/>
  <c r="D28" i="6"/>
  <c r="K21" i="6"/>
  <c r="D20" i="6"/>
  <c r="L18" i="6"/>
  <c r="B17" i="6"/>
  <c r="K15" i="6"/>
  <c r="B14" i="6"/>
  <c r="C34" i="6"/>
  <c r="B31" i="6"/>
  <c r="J29" i="6"/>
  <c r="O29" i="6" s="1"/>
  <c r="C28" i="6"/>
  <c r="J21" i="6"/>
  <c r="C20" i="6"/>
  <c r="I18" i="6"/>
  <c r="P16" i="6"/>
  <c r="I15" i="6"/>
  <c r="C32" i="6"/>
  <c r="K30" i="6"/>
  <c r="P30" i="6" s="1"/>
  <c r="D29" i="6"/>
  <c r="J27" i="6"/>
  <c r="O27" i="6" s="1"/>
  <c r="E21" i="6"/>
  <c r="J19" i="6"/>
  <c r="C18" i="6"/>
  <c r="K16" i="6"/>
  <c r="B15" i="6"/>
  <c r="C33" i="6"/>
  <c r="K31" i="6"/>
  <c r="P31" i="6" s="1"/>
  <c r="D30" i="6"/>
  <c r="I28" i="6"/>
  <c r="N28" i="6" s="1"/>
  <c r="C27" i="6"/>
  <c r="J20" i="6"/>
  <c r="C19" i="6"/>
  <c r="K17" i="6"/>
  <c r="P15" i="6"/>
  <c r="I14" i="6"/>
  <c r="H27" i="6"/>
  <c r="M27" i="6" s="1"/>
  <c r="I20" i="6"/>
  <c r="F18" i="6"/>
  <c r="E16" i="6"/>
  <c r="C14" i="6"/>
  <c r="H29" i="6"/>
  <c r="M29" i="6" s="1"/>
  <c r="G27" i="6"/>
  <c r="L27" i="6" s="1"/>
  <c r="G20" i="6"/>
  <c r="D18" i="6"/>
  <c r="C16" i="6"/>
  <c r="K33" i="6"/>
  <c r="P33" i="6" s="1"/>
  <c r="J31" i="6"/>
  <c r="O31" i="6" s="1"/>
  <c r="G29" i="6"/>
  <c r="L29" i="6" s="1"/>
  <c r="F27" i="6"/>
  <c r="F20" i="6"/>
  <c r="P17" i="6"/>
  <c r="O15" i="6"/>
  <c r="D33" i="6"/>
  <c r="P21" i="6"/>
  <c r="M19" i="6"/>
  <c r="L17" i="6"/>
  <c r="H15" i="6"/>
  <c r="K34" i="6"/>
  <c r="P34" i="6" s="1"/>
  <c r="H32" i="6"/>
  <c r="M32" i="6" s="1"/>
  <c r="F30" i="6"/>
  <c r="F28" i="6"/>
  <c r="B21" i="6"/>
  <c r="B19" i="6"/>
  <c r="N16" i="6"/>
  <c r="M14" i="6"/>
  <c r="H33" i="6"/>
  <c r="M33" i="6" s="1"/>
  <c r="E30" i="6"/>
  <c r="L21" i="6"/>
  <c r="M18" i="6"/>
  <c r="C15" i="6"/>
  <c r="B33" i="6"/>
  <c r="H21" i="6"/>
  <c r="H18" i="6"/>
  <c r="O14" i="6"/>
  <c r="G21" i="6"/>
  <c r="O17" i="6"/>
  <c r="N14" i="6"/>
  <c r="E29" i="6"/>
  <c r="F21" i="6"/>
  <c r="M17" i="6"/>
  <c r="L14" i="6"/>
  <c r="I32" i="6"/>
  <c r="N32" i="6" s="1"/>
  <c r="C29" i="6"/>
  <c r="P20" i="6"/>
  <c r="G17" i="6"/>
  <c r="G32" i="6"/>
  <c r="L32" i="6" s="1"/>
  <c r="O20" i="6"/>
  <c r="F17" i="6"/>
  <c r="G14" i="6"/>
  <c r="B32" i="6"/>
  <c r="K20" i="6"/>
  <c r="E17" i="6"/>
  <c r="J34" i="6"/>
  <c r="O34" i="6" s="1"/>
  <c r="H19" i="6"/>
  <c r="F16" i="6"/>
  <c r="F34" i="6"/>
  <c r="E19" i="6"/>
  <c r="N15" i="6"/>
  <c r="M15" i="5"/>
  <c r="G28" i="5"/>
  <c r="E27" i="6"/>
  <c r="S32" i="1"/>
  <c r="D32" i="1"/>
  <c r="I31" i="1"/>
  <c r="M30" i="1"/>
  <c r="R29" i="1"/>
  <c r="C29" i="1"/>
  <c r="H28" i="1"/>
  <c r="M27" i="1"/>
  <c r="S21" i="1"/>
  <c r="D21" i="1"/>
  <c r="I20" i="1"/>
  <c r="N19" i="1"/>
  <c r="S18" i="1"/>
  <c r="D18" i="1"/>
  <c r="I17" i="1"/>
  <c r="N16" i="1"/>
  <c r="R15" i="1"/>
  <c r="C15" i="1"/>
  <c r="H14" i="1"/>
  <c r="R32" i="1"/>
  <c r="C32" i="1"/>
  <c r="G31" i="1"/>
  <c r="L30" i="1"/>
  <c r="Q29" i="1"/>
  <c r="B29" i="1"/>
  <c r="G28" i="1"/>
  <c r="L27" i="1"/>
  <c r="R21" i="1"/>
  <c r="C21" i="1"/>
  <c r="H20" i="1"/>
  <c r="M19" i="1"/>
  <c r="R18" i="1"/>
  <c r="C18" i="1"/>
  <c r="H17" i="1"/>
  <c r="L16" i="1"/>
  <c r="Q15" i="1"/>
  <c r="B15" i="1"/>
  <c r="G14" i="1"/>
  <c r="H32" i="1"/>
  <c r="M31" i="1"/>
  <c r="R30" i="1"/>
  <c r="C30" i="1"/>
  <c r="H29" i="1"/>
  <c r="M28" i="1"/>
  <c r="Q27" i="1"/>
  <c r="B27" i="1"/>
  <c r="H21" i="1"/>
  <c r="M20" i="1"/>
  <c r="R19" i="1"/>
  <c r="C19" i="1"/>
  <c r="H18" i="1"/>
  <c r="M17" i="1"/>
  <c r="R16" i="1"/>
  <c r="G32" i="1"/>
  <c r="F31" i="1"/>
  <c r="H30" i="1"/>
  <c r="J29" i="1"/>
  <c r="J28" i="1"/>
  <c r="J27" i="1"/>
  <c r="M21" i="1"/>
  <c r="N20" i="1"/>
  <c r="O19" i="1"/>
  <c r="N18" i="1"/>
  <c r="P17" i="1"/>
  <c r="Q16" i="1"/>
  <c r="T15" i="1"/>
  <c r="T14" i="1"/>
  <c r="C14" i="1"/>
  <c r="D31" i="1"/>
  <c r="J19" i="1"/>
  <c r="F32" i="1"/>
  <c r="E31" i="1"/>
  <c r="G30" i="1"/>
  <c r="I29" i="1"/>
  <c r="I28" i="1"/>
  <c r="I27" i="1"/>
  <c r="L21" i="1"/>
  <c r="L20" i="1"/>
  <c r="L19" i="1"/>
  <c r="M18" i="1"/>
  <c r="O17" i="1"/>
  <c r="P16" i="1"/>
  <c r="P15" i="1"/>
  <c r="S14" i="1"/>
  <c r="B14" i="1"/>
  <c r="E32" i="1"/>
  <c r="F30" i="1"/>
  <c r="G29" i="1"/>
  <c r="F28" i="1"/>
  <c r="H27" i="1"/>
  <c r="J21" i="1"/>
  <c r="K20" i="1"/>
  <c r="K19" i="1"/>
  <c r="L18" i="1"/>
  <c r="N17" i="1"/>
  <c r="O16" i="1"/>
  <c r="O15" i="1"/>
  <c r="R14" i="1"/>
  <c r="U31" i="1"/>
  <c r="C31" i="1"/>
  <c r="E30" i="1"/>
  <c r="E29" i="1"/>
  <c r="E28" i="1"/>
  <c r="G27" i="1"/>
  <c r="I21" i="1"/>
  <c r="J20" i="1"/>
  <c r="K18" i="1"/>
  <c r="L17" i="1"/>
  <c r="K16" i="1"/>
  <c r="N15" i="1"/>
  <c r="Q14" i="1"/>
  <c r="T32" i="1"/>
  <c r="S31" i="1"/>
  <c r="U30" i="1"/>
  <c r="B30" i="1"/>
  <c r="U28" i="1"/>
  <c r="C28" i="1"/>
  <c r="E27" i="1"/>
  <c r="F21" i="1"/>
  <c r="F20" i="1"/>
  <c r="G19" i="1"/>
  <c r="I18" i="1"/>
  <c r="J17" i="1"/>
  <c r="I16" i="1"/>
  <c r="L15" i="1"/>
  <c r="O14" i="1"/>
  <c r="L32" i="1"/>
  <c r="N31" i="1"/>
  <c r="O30" i="1"/>
  <c r="N29" i="1"/>
  <c r="P28" i="1"/>
  <c r="P27" i="1"/>
  <c r="Q21" i="1"/>
  <c r="S20" i="1"/>
  <c r="T19" i="1"/>
  <c r="U18" i="1"/>
  <c r="T17" i="1"/>
  <c r="B17" i="1"/>
  <c r="D16" i="1"/>
  <c r="G15" i="1"/>
  <c r="I14" i="1"/>
  <c r="K32" i="1"/>
  <c r="K30" i="1"/>
  <c r="O28" i="1"/>
  <c r="P21" i="1"/>
  <c r="S19" i="1"/>
  <c r="S17" i="1"/>
  <c r="C16" i="1"/>
  <c r="F14" i="1"/>
  <c r="L31" i="1"/>
  <c r="M29" i="1"/>
  <c r="O27" i="1"/>
  <c r="R20" i="1"/>
  <c r="T18" i="1"/>
  <c r="U16" i="1"/>
  <c r="F15" i="1"/>
  <c r="B15" i="7"/>
  <c r="C17" i="7"/>
  <c r="E19" i="7"/>
  <c r="I21" i="7"/>
  <c r="H28" i="7"/>
  <c r="M28" i="7" s="1"/>
  <c r="J30" i="7"/>
  <c r="O30" i="7" s="1"/>
  <c r="L14" i="1"/>
  <c r="F16" i="1"/>
  <c r="E18" i="1"/>
  <c r="B20" i="1"/>
  <c r="U21" i="1"/>
  <c r="R28" i="1"/>
  <c r="Q30" i="1"/>
  <c r="N32" i="1"/>
  <c r="C17" i="5"/>
  <c r="O28" i="5"/>
  <c r="B28" i="6"/>
  <c r="E14" i="2"/>
  <c r="F29" i="5"/>
  <c r="N14" i="1"/>
  <c r="H16" i="1"/>
  <c r="G18" i="1"/>
  <c r="E20" i="1"/>
  <c r="C27" i="1"/>
  <c r="T28" i="1"/>
  <c r="T30" i="1"/>
  <c r="Q32" i="1"/>
  <c r="C17" i="2"/>
  <c r="D33" i="2"/>
  <c r="P17" i="5"/>
  <c r="I29" i="5"/>
  <c r="D15" i="6"/>
  <c r="H28" i="6"/>
  <c r="M28" i="6" s="1"/>
  <c r="L15" i="7"/>
  <c r="N17" i="7"/>
  <c r="P19" i="7"/>
  <c r="C29" i="7"/>
  <c r="E31" i="7"/>
  <c r="I33" i="7"/>
  <c r="N33" i="7" s="1"/>
  <c r="P14" i="1"/>
  <c r="J16" i="1"/>
  <c r="J18" i="1"/>
  <c r="G20" i="1"/>
  <c r="F27" i="1"/>
  <c r="D29" i="1"/>
  <c r="B31" i="1"/>
  <c r="U32" i="1"/>
  <c r="E17" i="2"/>
  <c r="E18" i="5"/>
  <c r="K29" i="5"/>
  <c r="M15" i="6"/>
  <c r="I30" i="6"/>
  <c r="N30" i="6" s="1"/>
  <c r="C33" i="7"/>
  <c r="D32" i="7"/>
  <c r="B29" i="7"/>
  <c r="C28" i="7"/>
  <c r="D27" i="7"/>
  <c r="F21" i="7"/>
  <c r="G20" i="7"/>
  <c r="H19" i="7"/>
  <c r="I18" i="7"/>
  <c r="J17" i="7"/>
  <c r="K16" i="7"/>
  <c r="B28" i="7"/>
  <c r="C27" i="7"/>
  <c r="E21" i="7"/>
  <c r="F20" i="7"/>
  <c r="G19" i="7"/>
  <c r="H18" i="7"/>
  <c r="I17" i="7"/>
  <c r="J16" i="7"/>
  <c r="K15" i="7"/>
  <c r="L14" i="7"/>
  <c r="G33" i="7"/>
  <c r="L33" i="7" s="1"/>
  <c r="E32" i="7"/>
  <c r="C31" i="7"/>
  <c r="B30" i="7"/>
  <c r="M21" i="7"/>
  <c r="L20" i="7"/>
  <c r="K19" i="7"/>
  <c r="J18" i="7"/>
  <c r="G17" i="7"/>
  <c r="F16" i="7"/>
  <c r="F15" i="7"/>
  <c r="F14" i="7"/>
  <c r="E33" i="7"/>
  <c r="B32" i="7"/>
  <c r="K27" i="7"/>
  <c r="P27" i="7" s="1"/>
  <c r="K21" i="7"/>
  <c r="J20" i="7"/>
  <c r="I19" i="7"/>
  <c r="F18" i="7"/>
  <c r="E17" i="7"/>
  <c r="D16" i="7"/>
  <c r="D15" i="7"/>
  <c r="F33" i="7"/>
  <c r="C32" i="7"/>
  <c r="B31" i="7"/>
  <c r="L21" i="7"/>
  <c r="K20" i="7"/>
  <c r="J19" i="7"/>
  <c r="G18" i="7"/>
  <c r="F17" i="7"/>
  <c r="E16" i="7"/>
  <c r="E15" i="7"/>
  <c r="E14" i="7"/>
  <c r="D14" i="7"/>
  <c r="D33" i="7"/>
  <c r="K28" i="7"/>
  <c r="P28" i="7" s="1"/>
  <c r="J27" i="7"/>
  <c r="O27" i="7" s="1"/>
  <c r="J21" i="7"/>
  <c r="I20" i="7"/>
  <c r="F19" i="7"/>
  <c r="E18" i="7"/>
  <c r="D17" i="7"/>
  <c r="C16" i="7"/>
  <c r="C15" i="7"/>
  <c r="C14" i="7"/>
  <c r="K30" i="7"/>
  <c r="P30" i="7" s="1"/>
  <c r="J29" i="7"/>
  <c r="O29" i="7" s="1"/>
  <c r="I28" i="7"/>
  <c r="N28" i="7" s="1"/>
  <c r="H27" i="7"/>
  <c r="M27" i="7" s="1"/>
  <c r="H21" i="7"/>
  <c r="E20" i="7"/>
  <c r="D19" i="7"/>
  <c r="C18" i="7"/>
  <c r="B17" i="7"/>
  <c r="P15" i="7"/>
  <c r="P14" i="7"/>
  <c r="K33" i="7"/>
  <c r="P33" i="7" s="1"/>
  <c r="I32" i="7"/>
  <c r="N32" i="7" s="1"/>
  <c r="G31" i="7"/>
  <c r="L31" i="7" s="1"/>
  <c r="F30" i="7"/>
  <c r="E29" i="7"/>
  <c r="D28" i="7"/>
  <c r="P20" i="7"/>
  <c r="O19" i="7"/>
  <c r="N18" i="7"/>
  <c r="M17" i="7"/>
  <c r="L16" i="7"/>
  <c r="J15" i="7"/>
  <c r="J14" i="7"/>
  <c r="H32" i="7"/>
  <c r="M32" i="7" s="1"/>
  <c r="E30" i="7"/>
  <c r="O20" i="7"/>
  <c r="M18" i="7"/>
  <c r="I16" i="7"/>
  <c r="I14" i="7"/>
  <c r="J33" i="7"/>
  <c r="O33" i="7" s="1"/>
  <c r="F31" i="7"/>
  <c r="D29" i="7"/>
  <c r="P21" i="7"/>
  <c r="N19" i="7"/>
  <c r="L17" i="7"/>
  <c r="I15" i="7"/>
  <c r="M15" i="7"/>
  <c r="O17" i="7"/>
  <c r="B20" i="7"/>
  <c r="B27" i="7"/>
  <c r="F29" i="7"/>
  <c r="H31" i="7"/>
  <c r="M31" i="7" s="1"/>
  <c r="U14" i="1"/>
  <c r="S16" i="1"/>
  <c r="P18" i="1"/>
  <c r="O20" i="1"/>
  <c r="K27" i="1"/>
  <c r="K29" i="1"/>
  <c r="J31" i="1"/>
  <c r="E15" i="2"/>
  <c r="F18" i="5"/>
  <c r="J31" i="5"/>
  <c r="J16" i="6"/>
  <c r="J30" i="6"/>
  <c r="O30" i="6" s="1"/>
  <c r="H17" i="5"/>
  <c r="H14" i="6"/>
  <c r="G28" i="6"/>
  <c r="L28" i="6" s="1"/>
  <c r="N15" i="7"/>
  <c r="P17" i="7"/>
  <c r="C20" i="7"/>
  <c r="E27" i="7"/>
  <c r="G29" i="7"/>
  <c r="L29" i="7" s="1"/>
  <c r="D15" i="1"/>
  <c r="T16" i="1"/>
  <c r="Q18" i="1"/>
  <c r="P20" i="1"/>
  <c r="N27" i="1"/>
  <c r="L29" i="1"/>
  <c r="K31" i="1"/>
  <c r="F19" i="5"/>
  <c r="O31" i="5"/>
  <c r="L16" i="6"/>
  <c r="F31" i="6"/>
  <c r="F10" i="3"/>
  <c r="J13" i="3"/>
  <c r="C22" i="3"/>
  <c r="F33" i="3"/>
  <c r="I36" i="3"/>
  <c r="C25" i="3"/>
  <c r="H10" i="3"/>
  <c r="K13" i="3"/>
  <c r="D22" i="3"/>
  <c r="G25" i="3"/>
  <c r="G33" i="3"/>
  <c r="K36" i="3"/>
  <c r="N15" i="4"/>
  <c r="Q17" i="4"/>
  <c r="R19" i="4"/>
  <c r="G27" i="4"/>
  <c r="R29" i="4"/>
  <c r="E32" i="4"/>
  <c r="F8" i="3"/>
  <c r="I11" i="3"/>
  <c r="D23" i="3"/>
  <c r="B27" i="3"/>
  <c r="J34" i="3"/>
  <c r="G14" i="4"/>
  <c r="M16" i="4"/>
  <c r="K18" i="4"/>
  <c r="Q20" i="4"/>
  <c r="H28" i="4"/>
  <c r="N30" i="4"/>
  <c r="F33" i="4"/>
  <c r="K39" i="3"/>
  <c r="G38" i="3"/>
  <c r="C37" i="3"/>
  <c r="I35" i="3"/>
  <c r="E34" i="3"/>
  <c r="I26" i="3"/>
  <c r="E25" i="3"/>
  <c r="K23" i="3"/>
  <c r="G22" i="3"/>
  <c r="C21" i="3"/>
  <c r="K14" i="3"/>
  <c r="G13" i="3"/>
  <c r="C12" i="3"/>
  <c r="I10" i="3"/>
  <c r="E9" i="3"/>
  <c r="I38" i="3"/>
  <c r="D37" i="3"/>
  <c r="H35" i="3"/>
  <c r="C34" i="3"/>
  <c r="K27" i="3"/>
  <c r="F26" i="3"/>
  <c r="K24" i="3"/>
  <c r="F23" i="3"/>
  <c r="K21" i="3"/>
  <c r="F20" i="3"/>
  <c r="C14" i="3"/>
  <c r="H12" i="3"/>
  <c r="C11" i="3"/>
  <c r="H9" i="3"/>
  <c r="C8" i="3"/>
  <c r="H39" i="3"/>
  <c r="C38" i="3"/>
  <c r="H36" i="3"/>
  <c r="C35" i="3"/>
  <c r="H33" i="3"/>
  <c r="F27" i="3"/>
  <c r="K25" i="3"/>
  <c r="F24" i="3"/>
  <c r="K22" i="3"/>
  <c r="F21" i="3"/>
  <c r="H13" i="3"/>
  <c r="B12" i="3"/>
  <c r="G10" i="3"/>
  <c r="B9" i="3"/>
  <c r="C39" i="3"/>
  <c r="H37" i="3"/>
  <c r="C36" i="3"/>
  <c r="H34" i="3"/>
  <c r="C33" i="3"/>
  <c r="K26" i="3"/>
  <c r="F25" i="3"/>
  <c r="J23" i="3"/>
  <c r="E22" i="3"/>
  <c r="J20" i="3"/>
  <c r="G14" i="3"/>
  <c r="B13" i="3"/>
  <c r="G11" i="3"/>
  <c r="B10" i="3"/>
  <c r="G8" i="3"/>
  <c r="D38" i="3"/>
  <c r="E36" i="3"/>
  <c r="F34" i="3"/>
  <c r="I27" i="3"/>
  <c r="J25" i="3"/>
  <c r="B24" i="3"/>
  <c r="B22" i="3"/>
  <c r="C20" i="3"/>
  <c r="F13" i="3"/>
  <c r="H11" i="3"/>
  <c r="I9" i="3"/>
  <c r="B38" i="3"/>
  <c r="D36" i="3"/>
  <c r="D34" i="3"/>
  <c r="H27" i="3"/>
  <c r="I25" i="3"/>
  <c r="I23" i="3"/>
  <c r="J21" i="3"/>
  <c r="B20" i="3"/>
  <c r="E13" i="3"/>
  <c r="F11" i="3"/>
  <c r="G9" i="3"/>
  <c r="I39" i="3"/>
  <c r="G37" i="3"/>
  <c r="E35" i="3"/>
  <c r="D33" i="3"/>
  <c r="D26" i="3"/>
  <c r="C24" i="3"/>
  <c r="H21" i="3"/>
  <c r="I14" i="3"/>
  <c r="G12" i="3"/>
  <c r="E10" i="3"/>
  <c r="D8" i="3"/>
  <c r="G39" i="3"/>
  <c r="F37" i="3"/>
  <c r="D35" i="3"/>
  <c r="B33" i="3"/>
  <c r="C26" i="3"/>
  <c r="H23" i="3"/>
  <c r="G21" i="3"/>
  <c r="H14" i="3"/>
  <c r="F12" i="3"/>
  <c r="D10" i="3"/>
  <c r="B8" i="3"/>
  <c r="F39" i="3"/>
  <c r="E37" i="3"/>
  <c r="B35" i="3"/>
  <c r="B26" i="3"/>
  <c r="G23" i="3"/>
  <c r="E21" i="3"/>
  <c r="F14" i="3"/>
  <c r="E12" i="3"/>
  <c r="C10" i="3"/>
  <c r="B39" i="3"/>
  <c r="J36" i="3"/>
  <c r="I34" i="3"/>
  <c r="G27" i="3"/>
  <c r="D25" i="3"/>
  <c r="C23" i="3"/>
  <c r="K20" i="3"/>
  <c r="B14" i="3"/>
  <c r="J11" i="3"/>
  <c r="F9" i="3"/>
  <c r="E38" i="3"/>
  <c r="K35" i="3"/>
  <c r="I33" i="3"/>
  <c r="J26" i="3"/>
  <c r="H24" i="3"/>
  <c r="F22" i="3"/>
  <c r="D20" i="3"/>
  <c r="C13" i="3"/>
  <c r="K10" i="3"/>
  <c r="I8" i="3"/>
  <c r="J8" i="3"/>
  <c r="D12" i="3"/>
  <c r="G20" i="3"/>
  <c r="D24" i="3"/>
  <c r="D27" i="3"/>
  <c r="F35" i="3"/>
  <c r="J38" i="3"/>
  <c r="K8" i="3"/>
  <c r="I12" i="3"/>
  <c r="H20" i="3"/>
  <c r="E24" i="3"/>
  <c r="E27" i="3"/>
  <c r="G35" i="3"/>
  <c r="K38" i="3"/>
  <c r="U14" i="4"/>
  <c r="P16" i="4"/>
  <c r="B19" i="4"/>
  <c r="F21" i="4"/>
  <c r="Q28" i="4"/>
  <c r="C31" i="4"/>
  <c r="Q33" i="4"/>
  <c r="C9" i="3"/>
  <c r="J12" i="3"/>
  <c r="I20" i="3"/>
  <c r="G24" i="3"/>
  <c r="J27" i="3"/>
  <c r="J35" i="3"/>
  <c r="D39" i="3"/>
  <c r="B15" i="4"/>
  <c r="T16" i="4"/>
  <c r="D19" i="4"/>
  <c r="G21" i="4"/>
  <c r="S28" i="4"/>
  <c r="K31" i="4"/>
  <c r="R33" i="4"/>
  <c r="D9" i="3"/>
  <c r="K12" i="3"/>
  <c r="B21" i="3"/>
  <c r="I24" i="3"/>
  <c r="B36" i="3"/>
  <c r="E39" i="3"/>
  <c r="F15" i="4"/>
  <c r="U16" i="4"/>
  <c r="E19" i="4"/>
  <c r="R21" i="4"/>
  <c r="B29" i="4"/>
  <c r="O31" i="4"/>
  <c r="N33" i="4"/>
  <c r="T32" i="4"/>
  <c r="F32" i="4"/>
  <c r="L31" i="4"/>
  <c r="R30" i="4"/>
  <c r="D30" i="4"/>
  <c r="J29" i="4"/>
  <c r="P28" i="4"/>
  <c r="B28" i="4"/>
  <c r="H27" i="4"/>
  <c r="O21" i="4"/>
  <c r="U20" i="4"/>
  <c r="G20" i="4"/>
  <c r="M19" i="4"/>
  <c r="S18" i="4"/>
  <c r="E18" i="4"/>
  <c r="K17" i="4"/>
  <c r="Q16" i="4"/>
  <c r="C16" i="4"/>
  <c r="I15" i="4"/>
  <c r="O14" i="4"/>
  <c r="I33" i="4"/>
  <c r="O32" i="4"/>
  <c r="U31" i="4"/>
  <c r="G31" i="4"/>
  <c r="M30" i="4"/>
  <c r="S29" i="4"/>
  <c r="E29" i="4"/>
  <c r="K28" i="4"/>
  <c r="Q27" i="4"/>
  <c r="C27" i="4"/>
  <c r="J21" i="4"/>
  <c r="P20" i="4"/>
  <c r="B20" i="4"/>
  <c r="H19" i="4"/>
  <c r="N18" i="4"/>
  <c r="T17" i="4"/>
  <c r="F17" i="4"/>
  <c r="L16" i="4"/>
  <c r="R15" i="4"/>
  <c r="D15" i="4"/>
  <c r="J14" i="4"/>
  <c r="K33" i="4"/>
  <c r="N32" i="4"/>
  <c r="R31" i="4"/>
  <c r="B31" i="4"/>
  <c r="F30" i="4"/>
  <c r="I29" i="4"/>
  <c r="M28" i="4"/>
  <c r="P27" i="4"/>
  <c r="U21" i="4"/>
  <c r="E21" i="4"/>
  <c r="I20" i="4"/>
  <c r="L19" i="4"/>
  <c r="P18" i="4"/>
  <c r="S17" i="4"/>
  <c r="C17" i="4"/>
  <c r="G16" i="4"/>
  <c r="K15" i="4"/>
  <c r="N14" i="4"/>
  <c r="J33" i="4"/>
  <c r="M32" i="4"/>
  <c r="Q31" i="4"/>
  <c r="U30" i="4"/>
  <c r="E30" i="4"/>
  <c r="H29" i="4"/>
  <c r="L28" i="4"/>
  <c r="O27" i="4"/>
  <c r="T21" i="4"/>
  <c r="D21" i="4"/>
  <c r="H20" i="4"/>
  <c r="K19" i="4"/>
  <c r="O18" i="4"/>
  <c r="R17" i="4"/>
  <c r="B17" i="4"/>
  <c r="F16" i="4"/>
  <c r="J15" i="4"/>
  <c r="M14" i="4"/>
  <c r="U33" i="4"/>
  <c r="E33" i="4"/>
  <c r="I32" i="4"/>
  <c r="M31" i="4"/>
  <c r="P30" i="4"/>
  <c r="T29" i="4"/>
  <c r="C29" i="4"/>
  <c r="G28" i="4"/>
  <c r="K27" i="4"/>
  <c r="P21" i="4"/>
  <c r="S20" i="4"/>
  <c r="C20" i="4"/>
  <c r="F19" i="4"/>
  <c r="J18" i="4"/>
  <c r="N17" i="4"/>
  <c r="R16" i="4"/>
  <c r="U15" i="4"/>
  <c r="E15" i="4"/>
  <c r="H14" i="4"/>
  <c r="P33" i="4"/>
  <c r="S32" i="4"/>
  <c r="C32" i="4"/>
  <c r="F31" i="4"/>
  <c r="J30" i="4"/>
  <c r="N29" i="4"/>
  <c r="R28" i="4"/>
  <c r="U27" i="4"/>
  <c r="E27" i="4"/>
  <c r="I21" i="4"/>
  <c r="M20" i="4"/>
  <c r="Q19" i="4"/>
  <c r="U18" i="4"/>
  <c r="D18" i="4"/>
  <c r="H17" i="4"/>
  <c r="K16" i="4"/>
  <c r="O15" i="4"/>
  <c r="S14" i="4"/>
  <c r="C14" i="4"/>
  <c r="M33" i="4"/>
  <c r="J32" i="4"/>
  <c r="H31" i="4"/>
  <c r="C30" i="4"/>
  <c r="U28" i="4"/>
  <c r="S27" i="4"/>
  <c r="Q21" i="4"/>
  <c r="N20" i="4"/>
  <c r="J19" i="4"/>
  <c r="H18" i="4"/>
  <c r="E17" i="4"/>
  <c r="B16" i="4"/>
  <c r="T14" i="4"/>
  <c r="L33" i="4"/>
  <c r="H32" i="4"/>
  <c r="E31" i="4"/>
  <c r="B30" i="4"/>
  <c r="T28" i="4"/>
  <c r="R27" i="4"/>
  <c r="N21" i="4"/>
  <c r="L20" i="4"/>
  <c r="I19" i="4"/>
  <c r="G18" i="4"/>
  <c r="D17" i="4"/>
  <c r="T15" i="4"/>
  <c r="R14" i="4"/>
  <c r="D33" i="4"/>
  <c r="B32" i="4"/>
  <c r="S30" i="4"/>
  <c r="P29" i="4"/>
  <c r="N28" i="4"/>
  <c r="J27" i="4"/>
  <c r="H21" i="4"/>
  <c r="E20" i="4"/>
  <c r="S33" i="4"/>
  <c r="Q32" i="4"/>
  <c r="N31" i="4"/>
  <c r="K30" i="4"/>
  <c r="G29" i="4"/>
  <c r="E28" i="4"/>
  <c r="B27" i="4"/>
  <c r="T20" i="4"/>
  <c r="C15" i="4"/>
  <c r="J16" i="4"/>
  <c r="P17" i="4"/>
  <c r="C19" i="4"/>
  <c r="K20" i="4"/>
  <c r="D27" i="4"/>
  <c r="O28" i="4"/>
  <c r="H30" i="4"/>
  <c r="S31" i="4"/>
  <c r="H33" i="4"/>
  <c r="F14" i="4"/>
  <c r="M15" i="4"/>
  <c r="S16" i="4"/>
  <c r="F18" i="4"/>
  <c r="O19" i="4"/>
  <c r="C21" i="4"/>
  <c r="M27" i="4"/>
  <c r="F29" i="4"/>
  <c r="Q30" i="4"/>
  <c r="K32" i="4"/>
  <c r="K14" i="4"/>
  <c r="Q15" i="4"/>
  <c r="G17" i="4"/>
  <c r="L18" i="4"/>
  <c r="S19" i="4"/>
  <c r="K21" i="4"/>
  <c r="C28" i="4"/>
  <c r="M29" i="4"/>
  <c r="D31" i="4"/>
  <c r="R32" i="4"/>
  <c r="L14" i="4"/>
  <c r="S15" i="4"/>
  <c r="I17" i="4"/>
  <c r="M18" i="4"/>
  <c r="T19" i="4"/>
  <c r="L21" i="4"/>
  <c r="D28" i="4"/>
  <c r="O29" i="4"/>
  <c r="I31" i="4"/>
  <c r="U32" i="4"/>
  <c r="P14" i="4"/>
  <c r="D16" i="4"/>
  <c r="J17" i="4"/>
  <c r="Q18" i="4"/>
  <c r="U19" i="4"/>
  <c r="M21" i="4"/>
  <c r="F28" i="4"/>
  <c r="Q29" i="4"/>
  <c r="J31" i="4"/>
  <c r="B33" i="4"/>
  <c r="K14" i="1"/>
  <c r="E15" i="1"/>
  <c r="S15" i="1"/>
  <c r="M16" i="1"/>
  <c r="G17" i="1"/>
  <c r="U17" i="1"/>
  <c r="O18" i="1"/>
  <c r="I19" i="1"/>
  <c r="C20" i="1"/>
  <c r="Q20" i="1"/>
  <c r="K21" i="1"/>
  <c r="D27" i="1"/>
  <c r="R27" i="1"/>
  <c r="L28" i="1"/>
  <c r="F29" i="1"/>
  <c r="T29" i="1"/>
  <c r="N30" i="1"/>
  <c r="H31" i="1"/>
  <c r="B32" i="1"/>
  <c r="U28" i="2" l="1"/>
  <c r="M16" i="2"/>
  <c r="U33" i="2"/>
  <c r="P18" i="2"/>
  <c r="I21" i="2"/>
  <c r="L31" i="2"/>
  <c r="J15" i="2"/>
  <c r="K15" i="2"/>
  <c r="O29" i="2"/>
  <c r="U29" i="2"/>
  <c r="N16" i="2"/>
  <c r="R28" i="2"/>
  <c r="J30" i="2"/>
  <c r="O30" i="2"/>
  <c r="G31" i="2"/>
  <c r="O33" i="2"/>
  <c r="K21" i="2"/>
  <c r="K32" i="2"/>
  <c r="R14" i="2"/>
  <c r="Q33" i="2"/>
  <c r="R31" i="2"/>
  <c r="J14" i="2"/>
  <c r="G20" i="2"/>
  <c r="O21" i="2"/>
  <c r="N32" i="2"/>
  <c r="T19" i="2"/>
  <c r="S16" i="2"/>
  <c r="H16" i="2"/>
  <c r="J18" i="2"/>
  <c r="P30" i="2"/>
  <c r="K17" i="2"/>
  <c r="M14" i="2"/>
  <c r="P31" i="2"/>
  <c r="K14" i="2"/>
  <c r="H17" i="2"/>
  <c r="I17" i="2"/>
  <c r="R30" i="2"/>
  <c r="M32" i="2"/>
  <c r="I27" i="2"/>
  <c r="G16" i="2"/>
  <c r="I31" i="2"/>
  <c r="N15" i="2"/>
  <c r="M33" i="2"/>
  <c r="T17" i="2"/>
  <c r="U16" i="2"/>
  <c r="U21" i="2"/>
  <c r="M31" i="2"/>
  <c r="H33" i="2"/>
  <c r="N19" i="2"/>
  <c r="N17" i="2"/>
  <c r="P32" i="2"/>
  <c r="Q16" i="2"/>
  <c r="S28" i="2"/>
  <c r="O17" i="2"/>
  <c r="G32" i="2"/>
  <c r="H32" i="2"/>
  <c r="K27" i="2"/>
  <c r="K20" i="2"/>
  <c r="O20" i="2"/>
  <c r="R29" i="2"/>
  <c r="L18" i="2"/>
  <c r="T14" i="2"/>
  <c r="M27" i="2"/>
  <c r="H19" i="2"/>
  <c r="Q18" i="2"/>
  <c r="M28" i="2"/>
  <c r="S31" i="2"/>
  <c r="I16" i="2"/>
  <c r="T27" i="2"/>
  <c r="T30" i="2"/>
  <c r="T32" i="2"/>
  <c r="K16" i="2"/>
  <c r="N18" i="2"/>
  <c r="Q30" i="2"/>
  <c r="S21" i="2"/>
  <c r="G30" i="2"/>
  <c r="K19" i="2"/>
  <c r="U32" i="2"/>
  <c r="O18" i="2"/>
  <c r="N28" i="2"/>
  <c r="I15" i="2"/>
  <c r="K29" i="2"/>
  <c r="G21" i="2"/>
  <c r="S17" i="2"/>
  <c r="R16" i="2"/>
  <c r="U19" i="2"/>
  <c r="S19" i="2"/>
  <c r="L21" i="2"/>
  <c r="M17" i="2"/>
  <c r="S30" i="2"/>
  <c r="O15" i="2"/>
  <c r="R33" i="2"/>
  <c r="J17" i="2"/>
  <c r="L20" i="2"/>
  <c r="K18" i="2"/>
  <c r="U17" i="2"/>
  <c r="N27" i="2"/>
  <c r="I29" i="2"/>
  <c r="Q32" i="2"/>
  <c r="H14" i="2"/>
  <c r="L32" i="2"/>
  <c r="P15" i="2"/>
  <c r="Q31" i="2"/>
  <c r="L30" i="2"/>
  <c r="L29" i="2"/>
  <c r="P17" i="2"/>
  <c r="H29" i="2"/>
  <c r="G15" i="2"/>
  <c r="J16" i="2"/>
  <c r="S18" i="2"/>
  <c r="O16" i="2"/>
  <c r="T15" i="2"/>
  <c r="P33" i="2"/>
  <c r="J33" i="2"/>
  <c r="R19" i="2"/>
  <c r="M29" i="2"/>
  <c r="J31" i="2"/>
  <c r="I18" i="2"/>
  <c r="Q17" i="2"/>
  <c r="N20" i="2"/>
  <c r="P14" i="2"/>
  <c r="H30" i="2"/>
  <c r="R21" i="2"/>
  <c r="J32" i="2"/>
  <c r="L27" i="2"/>
  <c r="K31" i="2"/>
  <c r="K28" i="2"/>
  <c r="T31" i="2"/>
  <c r="L15" i="2"/>
  <c r="R15" i="2"/>
  <c r="Q14" i="2"/>
  <c r="J19" i="2"/>
  <c r="G29" i="2"/>
  <c r="R32" i="2"/>
  <c r="P29" i="2"/>
  <c r="U30" i="2"/>
  <c r="G17" i="2"/>
  <c r="P21" i="2"/>
  <c r="O31" i="2"/>
  <c r="T16" i="2"/>
  <c r="G27" i="2"/>
  <c r="J27" i="2"/>
  <c r="T21" i="2"/>
  <c r="N29" i="2"/>
  <c r="R20" i="2"/>
  <c r="H15" i="2"/>
  <c r="U31" i="2"/>
  <c r="G28" i="2"/>
  <c r="Q28" i="2"/>
  <c r="Q21" i="2"/>
  <c r="U14" i="2"/>
  <c r="I33" i="2"/>
  <c r="P27" i="2"/>
  <c r="K30" i="2"/>
  <c r="N21" i="2"/>
  <c r="S20" i="2"/>
  <c r="S27" i="2"/>
  <c r="S29" i="2"/>
  <c r="L16" i="2"/>
  <c r="N31" i="2"/>
  <c r="R17" i="2"/>
  <c r="T18" i="2"/>
  <c r="J28" i="2"/>
  <c r="O14" i="2"/>
  <c r="L19" i="2"/>
  <c r="J20" i="2"/>
  <c r="R18" i="2"/>
  <c r="R27" i="2"/>
  <c r="M20" i="2"/>
  <c r="I19" i="2"/>
  <c r="S32" i="2"/>
  <c r="L33" i="2"/>
  <c r="L17" i="2"/>
  <c r="M19" i="2"/>
  <c r="U18" i="2"/>
  <c r="T28" i="2"/>
  <c r="I14" i="2"/>
  <c r="H28" i="2"/>
  <c r="M15" i="2"/>
  <c r="I20" i="2"/>
  <c r="T29" i="2"/>
  <c r="S15" i="2"/>
  <c r="Q20" i="2"/>
  <c r="J21" i="2"/>
  <c r="P19" i="2"/>
  <c r="G33" i="2"/>
  <c r="P28" i="2"/>
  <c r="H21" i="2"/>
  <c r="N33" i="2"/>
  <c r="P16" i="2"/>
  <c r="U20" i="2"/>
  <c r="T20" i="2"/>
  <c r="P20" i="2"/>
  <c r="T33" i="2"/>
  <c r="S33" i="2"/>
  <c r="S14" i="2"/>
  <c r="L14" i="2"/>
  <c r="H18" i="2"/>
  <c r="G18" i="2"/>
  <c r="M18" i="2"/>
  <c r="K33" i="2"/>
  <c r="I28" i="2"/>
  <c r="Q27" i="2"/>
  <c r="N30" i="2"/>
  <c r="M30" i="2"/>
  <c r="O32" i="2"/>
  <c r="H20" i="2"/>
  <c r="U15" i="2"/>
  <c r="O19" i="2"/>
  <c r="Q19" i="2"/>
  <c r="Q29" i="2"/>
  <c r="N14" i="2"/>
  <c r="G19" i="2"/>
  <c r="I30" i="2"/>
  <c r="J29" i="2"/>
  <c r="O27" i="2"/>
  <c r="Q15" i="2"/>
  <c r="G14" i="2"/>
  <c r="I32" i="2"/>
  <c r="O28" i="2"/>
  <c r="H31" i="2"/>
  <c r="L28" i="2"/>
  <c r="H27" i="2"/>
  <c r="M21" i="2"/>
</calcChain>
</file>

<file path=xl/sharedStrings.xml><?xml version="1.0" encoding="utf-8"?>
<sst xmlns="http://schemas.openxmlformats.org/spreadsheetml/2006/main" count="964" uniqueCount="188">
  <si>
    <t>Michael Oak Advisors — Contact Us</t>
  </si>
  <si>
    <t>StratMult</t>
  </si>
  <si>
    <t>AskOak — Hedge Fund Compensation Model</t>
  </si>
  <si>
    <t>AgingMult</t>
  </si>
  <si>
    <t>Directional estimate only. AskOak Pay Predictors are derived from statistical models of publicly available data and are intended for general reference purposes only. They are not a substitute for professionally administered industry compensation surveys. No client data was used in their development or validation.</t>
  </si>
  <si>
    <t>Strategy (1-5)</t>
  </si>
  <si>
    <t>Pool Adj (%)</t>
  </si>
  <si>
    <t>1 = least complex, 3 = average complexity, 5 = most complex</t>
  </si>
  <si>
    <t>Change to incentive pool</t>
  </si>
  <si>
    <t>Base Salary Only</t>
  </si>
  <si>
    <t>Base + Cash Bonus</t>
  </si>
  <si>
    <t>Base + Cash + LTI</t>
  </si>
  <si>
    <t>Level</t>
  </si>
  <si>
    <t>P10</t>
  </si>
  <si>
    <t>P25</t>
  </si>
  <si>
    <t>P50</t>
  </si>
  <si>
    <t>P75</t>
  </si>
  <si>
    <t>P90</t>
  </si>
  <si>
    <t>Analyst</t>
  </si>
  <si>
    <t>Sr. Analyst</t>
  </si>
  <si>
    <t>Associate</t>
  </si>
  <si>
    <t>VP / Sr. Associate</t>
  </si>
  <si>
    <t>Director / Sector Head</t>
  </si>
  <si>
    <t>Portfolio Manager</t>
  </si>
  <si>
    <t>Sr. PM / Partner</t>
  </si>
  <si>
    <t>CIO / Founding Partner</t>
  </si>
  <si>
    <t>Note: Excludes the value of carried interest and partnership profit sharing.</t>
  </si>
  <si>
    <t>Ops Analyst</t>
  </si>
  <si>
    <t>Ops Sr. Analyst</t>
  </si>
  <si>
    <t>Ops Associate</t>
  </si>
  <si>
    <t>Ops VP</t>
  </si>
  <si>
    <t>Ops Director</t>
  </si>
  <si>
    <t>Ops Sr. Director</t>
  </si>
  <si>
    <t>COO / CFO</t>
  </si>
  <si>
    <t>© 2026 Michael Oak Advisors, LLC --- www.michaeloak.com</t>
  </si>
  <si>
    <t>GeoMult</t>
  </si>
  <si>
    <t>AskOak — Predictive Pay Intelligence</t>
  </si>
  <si>
    <t>AUM ($B)</t>
  </si>
  <si>
    <t>Market Location</t>
  </si>
  <si>
    <t>Complexity (1-5)</t>
  </si>
  <si>
    <t>CompMult</t>
  </si>
  <si>
    <t>San Francisco</t>
  </si>
  <si>
    <t>1B to 50B</t>
  </si>
  <si>
    <t>National Average Recommended - similar to Chicago</t>
  </si>
  <si>
    <t>Base + Earned Incentive</t>
  </si>
  <si>
    <t>Base + Target Incentive</t>
  </si>
  <si>
    <t>Base + Maximum Incentive</t>
  </si>
  <si>
    <t>Sr. Assoc / Manager</t>
  </si>
  <si>
    <t>Director / Sr. Mgr</t>
  </si>
  <si>
    <t>MD</t>
  </si>
  <si>
    <t>Sr. MD / Deputy CIO</t>
  </si>
  <si>
    <t>CIO</t>
  </si>
  <si>
    <t>Ops Sr. Assoc / Manager</t>
  </si>
  <si>
    <t>Ops Director / Sr. Mgr</t>
  </si>
  <si>
    <t>COO</t>
  </si>
  <si>
    <t>AskOak — Public Funds Compensation Model</t>
  </si>
  <si>
    <t>BaseAdj</t>
  </si>
  <si>
    <t>MaxAdj</t>
  </si>
  <si>
    <t>National Average</t>
  </si>
  <si>
    <t>10B to 500B</t>
  </si>
  <si>
    <t>National Average Recommended</t>
  </si>
  <si>
    <t>CIO_Base_C3_K</t>
  </si>
  <si>
    <t>CIO_Max%_C3</t>
  </si>
  <si>
    <t>CIO_Base_$</t>
  </si>
  <si>
    <t>CIO_Max%_adj</t>
  </si>
  <si>
    <t>Managing Director</t>
  </si>
  <si>
    <t>Deputy CIO</t>
  </si>
  <si>
    <t>Ops Sr. Associate</t>
  </si>
  <si>
    <t>Ops Manager</t>
  </si>
  <si>
    <t>Ops Sr. Manager</t>
  </si>
  <si>
    <t>Currency</t>
  </si>
  <si>
    <t>USD</t>
  </si>
  <si>
    <t>Named Executive Officers (NEO)</t>
  </si>
  <si>
    <t>Role</t>
  </si>
  <si>
    <t>CEO</t>
  </si>
  <si>
    <t>CFO</t>
  </si>
  <si>
    <t>General Counsel</t>
  </si>
  <si>
    <t>Head of Public Markets</t>
  </si>
  <si>
    <t>Head of Private Markets</t>
  </si>
  <si>
    <t>Investment Professionals</t>
  </si>
  <si>
    <t>Associate / Sr. Associate</t>
  </si>
  <si>
    <t>Vice President</t>
  </si>
  <si>
    <t>Director / Principal</t>
  </si>
  <si>
    <t>Asset Class Head</t>
  </si>
  <si>
    <t>Investment Operations</t>
  </si>
  <si>
    <t>AskOak — Family Office Compensation Model</t>
  </si>
  <si>
    <t>1B to 10B</t>
  </si>
  <si>
    <t>C1=Single-Family Passive, C5=Multi-Family Institutional</t>
  </si>
  <si>
    <t>AskOak — Traditional Asset Manager Compensation Model</t>
  </si>
  <si>
    <t>50B to 500B</t>
  </si>
  <si>
    <t>Sr. PM / Asset Class Head</t>
  </si>
  <si>
    <t>Head of Ops</t>
  </si>
  <si>
    <t>https://www.michaeloak.com/</t>
  </si>
  <si>
    <t>AskOak — Private Equity Compensation Model</t>
  </si>
  <si>
    <t>Fund Size Complexity (1-5)</t>
  </si>
  <si>
    <t>Senior Associate</t>
  </si>
  <si>
    <t>Principal / Director</t>
  </si>
  <si>
    <t>Partner / MD</t>
  </si>
  <si>
    <t>Senior Partner</t>
  </si>
  <si>
    <t>Managing Partner</t>
  </si>
  <si>
    <t>Sr. Associate</t>
  </si>
  <si>
    <t>Sr. Director</t>
  </si>
  <si>
    <t>Head of Area</t>
  </si>
  <si>
    <t>COO / CFO / CLO</t>
  </si>
  <si>
    <t>LOCATION DATA</t>
  </si>
  <si>
    <t>Location</t>
  </si>
  <si>
    <t>Multiplier</t>
  </si>
  <si>
    <t>New York City</t>
  </si>
  <si>
    <t>Boston</t>
  </si>
  <si>
    <t>Washington DC</t>
  </si>
  <si>
    <t>Dallas/Atlanta</t>
  </si>
  <si>
    <t>LEVEL PARAMETERS</t>
  </si>
  <si>
    <t>Title</t>
  </si>
  <si>
    <t>b1</t>
  </si>
  <si>
    <t>b50</t>
  </si>
  <si>
    <t>Slope</t>
  </si>
  <si>
    <t>Const</t>
  </si>
  <si>
    <t>BaseOpsMult</t>
  </si>
  <si>
    <t>IncOpsMult</t>
  </si>
  <si>
    <t>L1</t>
  </si>
  <si>
    <t>L2</t>
  </si>
  <si>
    <t>L3</t>
  </si>
  <si>
    <t>L4</t>
  </si>
  <si>
    <t>L5</t>
  </si>
  <si>
    <t>L6</t>
  </si>
  <si>
    <t>L7</t>
  </si>
  <si>
    <t>L8</t>
  </si>
  <si>
    <t>N/A</t>
  </si>
  <si>
    <t>CONSTANTS</t>
  </si>
  <si>
    <t>Aging Multiplier</t>
  </si>
  <si>
    <t>Spread Factor</t>
  </si>
  <si>
    <t>Z-SCORES</t>
  </si>
  <si>
    <t>INCENTIVE POOL SENIORITY WEIGHTS</t>
  </si>
  <si>
    <t>E&amp;F COMPLEXITY MULTIPLIERS</t>
  </si>
  <si>
    <t>Complexity</t>
  </si>
  <si>
    <t>COMPLEXITY DAMPENING WEIGHTS</t>
  </si>
  <si>
    <t>CIO BASE ANCHORS (C3)</t>
  </si>
  <si>
    <t>CIO MAX INCENTIVE ANCHORS (C3)</t>
  </si>
  <si>
    <t>Base ($K)</t>
  </si>
  <si>
    <t>Max % of Base</t>
  </si>
  <si>
    <t>COMPLEXITY ADJUSTMENTS</t>
  </si>
  <si>
    <t>Base Adj</t>
  </si>
  <si>
    <t>Max Adj</t>
  </si>
  <si>
    <t>Name</t>
  </si>
  <si>
    <t>Scale</t>
  </si>
  <si>
    <t>Ops Name</t>
  </si>
  <si>
    <t>EARNED SHARE BY PERCENTILE</t>
  </si>
  <si>
    <t>Percentile</t>
  </si>
  <si>
    <t>Earned/Max</t>
  </si>
  <si>
    <t>AGING</t>
  </si>
  <si>
    <t>NEO DATA (CAD$)</t>
  </si>
  <si>
    <t>Base P10</t>
  </si>
  <si>
    <t>Base P25</t>
  </si>
  <si>
    <t>Base P50</t>
  </si>
  <si>
    <t>Base P75</t>
  </si>
  <si>
    <t>Base P90</t>
  </si>
  <si>
    <t>Earned P10</t>
  </si>
  <si>
    <t>Earned P25</t>
  </si>
  <si>
    <t>Earned P50</t>
  </si>
  <si>
    <t>Earned P75</t>
  </si>
  <si>
    <t>Earned P90</t>
  </si>
  <si>
    <t>Obs</t>
  </si>
  <si>
    <t>INVESTMENT DATA (CAD$)</t>
  </si>
  <si>
    <t>OPS MULTIPLIERS</t>
  </si>
  <si>
    <t>BaseMult</t>
  </si>
  <si>
    <t>IncMult</t>
  </si>
  <si>
    <t>LEVEL PARAMETERS (same as EFS)</t>
  </si>
  <si>
    <t>COMPLEXITY MULTIPLIER</t>
  </si>
  <si>
    <t>b_slope</t>
  </si>
  <si>
    <t>b_const</t>
  </si>
  <si>
    <t>tc_slope</t>
  </si>
  <si>
    <t>tc_const</t>
  </si>
  <si>
    <t>td_slope</t>
  </si>
  <si>
    <t>td_const</t>
  </si>
  <si>
    <t>OpsBaseMult</t>
  </si>
  <si>
    <t>OpsIncMult</t>
  </si>
  <si>
    <t>Sr. PM / ACH</t>
  </si>
  <si>
    <t>L9</t>
  </si>
  <si>
    <t>INVESTMENT DATA ($000s)</t>
  </si>
  <si>
    <t>Cash P10</t>
  </si>
  <si>
    <t>Cash P25</t>
  </si>
  <si>
    <t>Cash P50</t>
  </si>
  <si>
    <t>Cash P75</t>
  </si>
  <si>
    <t>Cash P90</t>
  </si>
  <si>
    <t>LTI Mult</t>
  </si>
  <si>
    <t>OPS DATA ($000s)</t>
  </si>
  <si>
    <t>STRATEGY MULTIPLIER</t>
  </si>
  <si>
    <t>Strategy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</si>
</sst>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99999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name val="Calibri"/>
    </font>
    <font>
      <b/>
      <sz val="10"/>
      <color rgb="FF1B3050"/>
      <name val="Calibri"/>
    </font>
    <font>
      <b/>
      <sz val="10"/>
      <color rgb="FFD4AF37"/>
      <name val="Calibri"/>
    </font>
    <font>
      <sz val="7.5"/>
      <color rgb="FF6E7C8C"/>
      <name val="Calibri"/>
    </font>
    <font>
      <b/>
      <sz val="10"/>
      <color rgb="FF3B5181"/>
      <name val="Calibri"/>
    </font>
    <font>
      <b/>
      <sz val="10"/>
      <color rgb="FF0B2662"/>
      <name val="Calibri"/>
    </font>
    <font>
      <sz val="8.5"/>
      <color rgb="FF6E7C8C"/>
      <name val="Calibri"/>
    </font>
    <font>
      <b/>
      <sz val="10.5"/>
      <color rgb="FF0B2662"/>
      <name val="Calibri"/>
    </font>
    <font>
      <b/>
      <sz val="9.5"/>
      <color rgb="FFFFFFFF"/>
      <name val="Calibri"/>
    </font>
    <font>
      <b/>
      <sz val="10"/>
      <color rgb="FFFFFFFF"/>
      <name val="Calibri"/>
    </font>
    <font>
      <sz val="10"/>
      <color rgb="FF333333"/>
      <name val="Calibri"/>
    </font>
    <font>
      <b/>
      <sz val="10"/>
      <color rgb="FF333333"/>
      <name val="Calibri"/>
    </font>
    <font>
      <sz val="9.5"/>
      <color rgb="FF0B2662"/>
      <name val="Calibri"/>
    </font>
    <font>
      <sz val="9.5"/>
      <color rgb="FF333333"/>
      <name val="Calibri"/>
    </font>
    <font>
      <b/>
      <sz val="9.5"/>
      <color rgb="FFFFFFFF"/>
      <name val="Calibri"/>
    </font>
    <font>
      <b/>
      <sz val="10"/>
      <color rgb="FFFFFFFF"/>
      <name val="Calibri"/>
    </font>
    <font>
      <b/>
      <u/>
      <sz val="11"/>
      <color rgb="FFFFFFFF"/>
      <name val="Calibri"/>
    </font>
    <font>
      <sz val="8"/>
      <color rgb="FF8B96A3"/>
      <name val="Calibri"/>
    </font>
    <font>
      <b/>
      <sz val="10"/>
      <color rgb="FFFFFFFF"/>
      <name val="Calibri"/>
    </font>
    <font>
      <i/>
      <u/>
      <sz val="8"/>
      <color rgb="FF3B5181"/>
      <name val="Calibri"/>
    </font>
    <font>
      <i/>
      <sz val="8.5"/>
      <color rgb="FF0B2662"/>
      <name val="Calibri"/>
    </font>
    <font>
      <b/>
      <sz val="9.5"/>
      <color rgb="FFFFFFFF"/>
      <name val="Calibri"/>
    </font>
    <font>
      <b/>
      <u/>
      <sz val="11"/>
      <color rgb="FFFFFFFF"/>
      <name val="Calibri"/>
    </font>
    <font>
      <b/>
      <sz val="10"/>
      <color rgb="FFD4AF37"/>
      <name val="Calibri"/>
    </font>
    <font>
      <b/>
      <sz val="10"/>
      <color rgb="FF3B5181"/>
      <name val="Calibri"/>
    </font>
    <font>
      <b/>
      <sz val="10"/>
      <color rgb="FF0B2662"/>
      <name val="Calibri"/>
    </font>
    <font>
      <sz val="8"/>
      <color rgb="FF8B96A3"/>
      <name val="Calibri"/>
    </font>
    <font>
      <sz val="1"/>
      <color rgb="FFFFFFFF"/>
      <name val="Calibri"/>
    </font>
    <font>
      <i/>
      <sz val="8"/>
      <color rgb="FF6E7C8C"/>
      <name val="Calibri"/>
    </font>
    <font>
      <b/>
      <sz val="9.5"/>
      <color rgb="FFFFFFFF"/>
      <name val="Calibri"/>
    </font>
    <font>
      <b/>
      <sz val="10"/>
      <color rgb="FFFFFFFF"/>
      <name val="Calibri"/>
    </font>
    <font>
      <sz val="10"/>
      <color rgb="FF333333"/>
      <name val="Calibri"/>
    </font>
    <font>
      <b/>
      <sz val="10"/>
      <color rgb="FF333333"/>
      <name val="Calibri"/>
    </font>
    <font>
      <b/>
      <sz val="10.5"/>
      <color rgb="FF0B2662"/>
      <name val="Calibri"/>
    </font>
    <font>
      <b/>
      <sz val="9"/>
      <color rgb="FF333333"/>
      <name val="Calibri"/>
    </font>
    <font>
      <sz val="9"/>
      <color rgb="FF333333"/>
      <name val="Calibri"/>
    </font>
    <font>
      <b/>
      <sz val="10"/>
      <color rgb="FF3B5181"/>
      <name val="Calibri"/>
    </font>
    <font>
      <b/>
      <sz val="10"/>
      <color rgb="FF0B2662"/>
      <name val="Calibri"/>
    </font>
    <font>
      <sz val="8.5"/>
      <color rgb="FF6E7C8C"/>
      <name val="Calibri"/>
    </font>
    <font>
      <sz val="9.5"/>
      <color rgb="FF333333"/>
      <name val="Calibri"/>
    </font>
    <font>
      <sz val="10"/>
      <color rgb="FF333333"/>
      <name val="Calibri"/>
    </font>
    <font>
      <b/>
      <sz val="10"/>
      <color rgb="FF333333"/>
      <name val="Calibri"/>
    </font>
  </fonts>
  <fills count="32">
    <fill>
      <patternFill patternType="none"/>
    </fill>
    <fill>
      <patternFill patternType="gray125"/>
    </fill>
    <fill>
      <patternFill patternType="solid">
        <fgColor rgb="FFF8FAFC"/>
      </patternFill>
    </fill>
    <fill>
      <patternFill patternType="solid">
        <fgColor rgb="FFF9F5EC"/>
      </patternFill>
    </fill>
    <fill>
      <patternFill patternType="solid">
        <fgColor rgb="FF0B2662"/>
      </patternFill>
    </fill>
    <fill>
      <patternFill patternType="solid">
        <fgColor rgb="FFFFFFFF"/>
      </patternFill>
    </fill>
    <fill>
      <patternFill patternType="solid">
        <fgColor rgb="FFFFFFF5"/>
      </patternFill>
    </fill>
    <fill>
      <patternFill patternType="solid">
        <fgColor rgb="FFEEF0F4"/>
      </patternFill>
    </fill>
    <fill>
      <patternFill patternType="solid">
        <fgColor rgb="FF3B5181"/>
      </patternFill>
    </fill>
    <fill>
      <patternFill patternType="solid">
        <fgColor rgb="FF6C7CA0"/>
      </patternFill>
    </fill>
    <fill>
      <patternFill patternType="solid">
        <fgColor rgb="FFF7F8FA"/>
      </patternFill>
    </fill>
    <fill>
      <patternFill patternType="solid">
        <fgColor rgb="FFF5F3ED"/>
      </patternFill>
    </fill>
    <fill>
      <patternFill patternType="solid">
        <fgColor rgb="FF3B5181"/>
      </patternFill>
    </fill>
    <fill>
      <patternFill patternType="solid">
        <fgColor rgb="FF6C7CA0"/>
      </patternFill>
    </fill>
    <fill>
      <patternFill patternType="solid">
        <fgColor rgb="FF0B2662"/>
      </patternFill>
    </fill>
    <fill>
      <patternFill patternType="solid">
        <fgColor rgb="FF0B2662"/>
      </patternFill>
    </fill>
    <fill>
      <patternFill patternType="solid">
        <fgColor rgb="FFFFFFFF"/>
      </patternFill>
    </fill>
    <fill>
      <patternFill patternType="solid">
        <fgColor rgb="FF3B5181"/>
      </patternFill>
    </fill>
    <fill>
      <patternFill patternType="solid">
        <fgColor rgb="FF0B2662"/>
      </patternFill>
    </fill>
    <fill>
      <patternFill patternType="solid">
        <fgColor rgb="FFD4AF37"/>
      </patternFill>
    </fill>
    <fill>
      <patternFill patternType="solid">
        <fgColor rgb="FFFFFFFF"/>
      </patternFill>
    </fill>
    <fill>
      <patternFill patternType="solid">
        <fgColor rgb="FFEEF0F4"/>
      </patternFill>
    </fill>
    <fill>
      <patternFill patternType="solid">
        <fgColor rgb="FFFFFFFF"/>
      </patternFill>
    </fill>
    <fill>
      <patternFill patternType="solid">
        <fgColor rgb="FFFFFFF5"/>
      </patternFill>
    </fill>
    <fill>
      <patternFill patternType="solid">
        <fgColor rgb="FF3B5181"/>
      </patternFill>
    </fill>
    <fill>
      <patternFill patternType="solid">
        <fgColor rgb="FF0B2662"/>
      </patternFill>
    </fill>
    <fill>
      <patternFill patternType="solid">
        <fgColor rgb="FFF7F8FA"/>
      </patternFill>
    </fill>
    <fill>
      <patternFill patternType="solid">
        <fgColor rgb="FFF5F3ED"/>
      </patternFill>
    </fill>
    <fill>
      <patternFill patternType="solid">
        <fgColor rgb="FFFFFFFF"/>
      </patternFill>
    </fill>
    <fill>
      <patternFill patternType="solid">
        <fgColor rgb="FFFFFFF5"/>
      </patternFill>
    </fill>
    <fill>
      <patternFill patternType="solid">
        <fgColor rgb="FFEEF0F4"/>
      </patternFill>
    </fill>
    <fill>
      <patternFill patternType="solid">
        <fgColor rgb="FFF5F3ED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B8964C"/>
      </bottom>
      <diagonal/>
    </border>
    <border>
      <left/>
      <right/>
      <top/>
      <bottom style="thin">
        <color rgb="FFE2E8F0"/>
      </bottom>
      <diagonal/>
    </border>
    <border>
      <left/>
      <right/>
      <top/>
      <bottom/>
      <diagonal/>
    </border>
    <border>
      <left/>
      <right/>
      <top/>
      <bottom style="thin">
        <color rgb="FFD4AF37"/>
      </bottom>
      <diagonal/>
    </border>
    <border>
      <left style="thin">
        <color rgb="FFC0C6CF"/>
      </left>
      <right style="thin">
        <color rgb="FFC0C6CF"/>
      </right>
      <top style="thin">
        <color rgb="FFC0C6CF"/>
      </top>
      <bottom style="thin">
        <color rgb="FFC0C6CF"/>
      </bottom>
      <diagonal/>
    </border>
    <border>
      <left style="medium">
        <color rgb="FFFFFFFF"/>
      </left>
      <right/>
      <top/>
      <bottom/>
      <diagonal/>
    </border>
    <border>
      <left/>
      <right/>
      <top/>
      <bottom style="thin">
        <color rgb="FFD4AF37"/>
      </bottom>
      <diagonal/>
    </border>
    <border>
      <left style="medium">
        <color rgb="FFFFFFFF"/>
      </left>
      <right/>
      <top/>
      <bottom style="thin">
        <color rgb="FFD4AF37"/>
      </bottom>
      <diagonal/>
    </border>
    <border>
      <left style="thin">
        <color rgb="FFFFFFFF"/>
      </left>
      <right/>
      <top/>
      <bottom style="thin">
        <color rgb="FFD4AF37"/>
      </bottom>
      <diagonal/>
    </border>
    <border>
      <left/>
      <right/>
      <top/>
      <bottom style="hair">
        <color rgb="FFC0C6CF"/>
      </bottom>
      <diagonal/>
    </border>
    <border>
      <left style="thin">
        <color rgb="FFC0C6CF"/>
      </left>
      <right/>
      <top/>
      <bottom style="hair">
        <color rgb="FFC0C6CF"/>
      </bottom>
      <diagonal/>
    </border>
    <border>
      <left/>
      <right/>
      <top style="thin">
        <color rgb="FFC0C6CF"/>
      </top>
      <bottom/>
      <diagonal/>
    </border>
    <border>
      <left style="thin">
        <color rgb="FFC0C6CF"/>
      </left>
      <right/>
      <top style="thin">
        <color rgb="FFC0C6CF"/>
      </top>
      <bottom/>
      <diagonal/>
    </border>
    <border>
      <left/>
      <right/>
      <top/>
      <bottom style="hair">
        <color rgb="FFC0C6C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medium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D4AF37"/>
      </bottom>
      <diagonal/>
    </border>
    <border>
      <left style="medium">
        <color rgb="FFFFFFFF"/>
      </left>
      <right/>
      <top/>
      <bottom style="thin">
        <color rgb="FFD4AF37"/>
      </bottom>
      <diagonal/>
    </border>
    <border>
      <left style="thin">
        <color rgb="FFFFFFFF"/>
      </left>
      <right/>
      <top/>
      <bottom style="thin">
        <color rgb="FFD4AF37"/>
      </bottom>
      <diagonal/>
    </border>
    <border>
      <left/>
      <right/>
      <top style="thin">
        <color rgb="FFC0C6CF"/>
      </top>
      <bottom style="thin">
        <color rgb="FFC0C6CF"/>
      </bottom>
      <diagonal/>
    </border>
    <border>
      <left/>
      <right style="thin">
        <color rgb="FFC0C6CF"/>
      </right>
      <top style="thin">
        <color rgb="FFC0C6CF"/>
      </top>
      <bottom style="thin">
        <color rgb="FFC0C6CF"/>
      </bottom>
      <diagonal/>
    </border>
    <border>
      <left/>
      <right/>
      <top/>
      <bottom/>
      <diagonal/>
    </border>
    <border>
      <left style="thin">
        <color rgb="FFC0C6CF"/>
      </left>
      <right style="thin">
        <color rgb="FFC0C6CF"/>
      </right>
      <top style="thin">
        <color rgb="FFC0C6CF"/>
      </top>
      <bottom style="thin">
        <color rgb="FFC0C6CF"/>
      </bottom>
      <diagonal/>
    </border>
    <border>
      <left/>
      <right/>
      <top/>
      <bottom style="thin">
        <color rgb="FFD4AF37"/>
      </bottom>
      <diagonal/>
    </border>
    <border>
      <left style="thin">
        <color rgb="FFFFFFFF"/>
      </left>
      <right/>
      <top/>
      <bottom style="thin">
        <color rgb="FFD4AF37"/>
      </bottom>
      <diagonal/>
    </border>
    <border>
      <left/>
      <right/>
      <top/>
      <bottom style="hair">
        <color rgb="FFC0C6CF"/>
      </bottom>
      <diagonal/>
    </border>
    <border>
      <left style="thin">
        <color rgb="FFC0C6CF"/>
      </left>
      <right style="thin">
        <color rgb="FFC0C6CF"/>
      </right>
      <top style="thin">
        <color rgb="FFC0C6CF"/>
      </top>
      <bottom style="thin">
        <color rgb="FFC0C6CF"/>
      </bottom>
      <diagonal/>
    </border>
    <border>
      <left/>
      <right/>
      <top style="thin">
        <color rgb="FFC0C6CF"/>
      </top>
      <bottom/>
      <diagonal/>
    </border>
  </borders>
  <cellStyleXfs count="1">
    <xf numFmtId="0" fontId="0" fillId="0" borderId="23"/>
  </cellStyleXfs>
  <cellXfs count="120"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0" fillId="0" borderId="0" xfId="0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2" fillId="5" borderId="3" xfId="0" applyFont="1" applyFill="1" applyBorder="1" applyProtection="1">
      <protection locked="0"/>
    </xf>
    <xf numFmtId="0" fontId="6" fillId="5" borderId="3" xfId="0" applyFont="1" applyFill="1" applyBorder="1" applyAlignment="1" applyProtection="1">
      <alignment horizontal="right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Protection="1">
      <protection locked="0"/>
    </xf>
    <xf numFmtId="0" fontId="4" fillId="5" borderId="3" xfId="0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0" fontId="20" fillId="12" borderId="15" xfId="0" applyFont="1" applyFill="1" applyBorder="1" applyAlignment="1" applyProtection="1">
      <alignment horizontal="center" vertical="center"/>
      <protection locked="0"/>
    </xf>
    <xf numFmtId="0" fontId="21" fillId="14" borderId="18" xfId="0" applyFont="1" applyFill="1" applyBorder="1" applyAlignment="1" applyProtection="1">
      <alignment horizontal="left" vertical="center"/>
      <protection locked="0"/>
    </xf>
    <xf numFmtId="0" fontId="21" fillId="14" borderId="19" xfId="0" applyFont="1" applyFill="1" applyBorder="1" applyAlignment="1" applyProtection="1">
      <alignment horizontal="center" vertical="center"/>
      <protection locked="0"/>
    </xf>
    <xf numFmtId="0" fontId="21" fillId="14" borderId="20" xfId="0" applyFont="1" applyFill="1" applyBorder="1" applyAlignment="1" applyProtection="1">
      <alignment horizontal="center" vertical="center"/>
      <protection locked="0"/>
    </xf>
    <xf numFmtId="0" fontId="11" fillId="10" borderId="10" xfId="0" applyFont="1" applyFill="1" applyBorder="1" applyAlignment="1" applyProtection="1">
      <alignment horizontal="left" vertical="center"/>
      <protection locked="0"/>
    </xf>
    <xf numFmtId="3" fontId="16" fillId="10" borderId="11" xfId="0" applyNumberFormat="1" applyFont="1" applyFill="1" applyBorder="1" applyAlignment="1" applyProtection="1">
      <alignment horizontal="right" vertical="center"/>
      <protection locked="0"/>
    </xf>
    <xf numFmtId="3" fontId="16" fillId="10" borderId="10" xfId="0" applyNumberFormat="1" applyFont="1" applyFill="1" applyBorder="1" applyAlignment="1" applyProtection="1">
      <alignment horizontal="right" vertical="center"/>
      <protection locked="0"/>
    </xf>
    <xf numFmtId="3" fontId="17" fillId="11" borderId="10" xfId="0" applyNumberFormat="1" applyFont="1" applyFill="1" applyBorder="1" applyAlignment="1" applyProtection="1">
      <alignment horizontal="right" vertical="center"/>
      <protection locked="0"/>
    </xf>
    <xf numFmtId="0" fontId="11" fillId="5" borderId="10" xfId="0" applyFont="1" applyFill="1" applyBorder="1" applyAlignment="1" applyProtection="1">
      <alignment horizontal="left" vertical="center"/>
      <protection locked="0"/>
    </xf>
    <xf numFmtId="3" fontId="16" fillId="5" borderId="11" xfId="0" applyNumberFormat="1" applyFont="1" applyFill="1" applyBorder="1" applyAlignment="1" applyProtection="1">
      <alignment horizontal="right" vertical="center"/>
      <protection locked="0"/>
    </xf>
    <xf numFmtId="3" fontId="16" fillId="5" borderId="10" xfId="0" applyNumberFormat="1" applyFont="1" applyFill="1" applyBorder="1" applyAlignment="1" applyProtection="1">
      <alignment horizontal="right" vertical="center"/>
      <protection locked="0"/>
    </xf>
    <xf numFmtId="0" fontId="11" fillId="5" borderId="12" xfId="0" applyFont="1" applyFill="1" applyBorder="1" applyAlignment="1" applyProtection="1">
      <alignment horizontal="left" vertical="center"/>
      <protection locked="0"/>
    </xf>
    <xf numFmtId="3" fontId="16" fillId="5" borderId="13" xfId="0" applyNumberFormat="1" applyFont="1" applyFill="1" applyBorder="1" applyAlignment="1" applyProtection="1">
      <alignment horizontal="right" vertical="center"/>
      <protection locked="0"/>
    </xf>
    <xf numFmtId="3" fontId="16" fillId="5" borderId="12" xfId="0" applyNumberFormat="1" applyFont="1" applyFill="1" applyBorder="1" applyAlignment="1" applyProtection="1">
      <alignment horizontal="right" vertical="center"/>
      <protection locked="0"/>
    </xf>
    <xf numFmtId="3" fontId="17" fillId="11" borderId="12" xfId="0" applyNumberFormat="1" applyFont="1" applyFill="1" applyBorder="1" applyAlignment="1" applyProtection="1">
      <alignment horizontal="right" vertical="center"/>
      <protection locked="0"/>
    </xf>
    <xf numFmtId="0" fontId="0" fillId="5" borderId="3" xfId="0" applyFill="1" applyBorder="1" applyProtection="1">
      <protection locked="0"/>
    </xf>
    <xf numFmtId="0" fontId="11" fillId="10" borderId="12" xfId="0" applyFont="1" applyFill="1" applyBorder="1" applyAlignment="1" applyProtection="1">
      <alignment horizontal="left" vertical="center"/>
      <protection locked="0"/>
    </xf>
    <xf numFmtId="0" fontId="6" fillId="5" borderId="0" xfId="0" applyFont="1" applyFill="1" applyBorder="1" applyAlignment="1" applyProtection="1">
      <alignment horizontal="right" vertical="center"/>
      <protection locked="0"/>
    </xf>
    <xf numFmtId="0" fontId="14" fillId="8" borderId="3" xfId="0" applyFont="1" applyFill="1" applyBorder="1" applyAlignment="1" applyProtection="1">
      <alignment horizontal="left" vertical="center"/>
      <protection locked="0"/>
    </xf>
    <xf numFmtId="0" fontId="15" fillId="4" borderId="7" xfId="0" applyFont="1" applyFill="1" applyBorder="1" applyAlignment="1" applyProtection="1">
      <alignment horizontal="left" vertical="center"/>
      <protection locked="0"/>
    </xf>
    <xf numFmtId="0" fontId="15" fillId="4" borderId="8" xfId="0" applyFont="1" applyFill="1" applyBorder="1" applyAlignment="1" applyProtection="1">
      <alignment horizontal="center" vertical="center"/>
      <protection locked="0"/>
    </xf>
    <xf numFmtId="0" fontId="15" fillId="4" borderId="9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Protection="1">
      <protection locked="0"/>
    </xf>
    <xf numFmtId="0" fontId="13" fillId="7" borderId="3" xfId="0" applyFont="1" applyFill="1" applyBorder="1" applyAlignment="1" applyProtection="1">
      <alignment horizontal="left" vertical="center"/>
      <protection locked="0"/>
    </xf>
    <xf numFmtId="0" fontId="15" fillId="8" borderId="4" xfId="0" applyFont="1" applyFill="1" applyBorder="1" applyAlignment="1" applyProtection="1">
      <alignment horizontal="left" vertical="center"/>
      <protection locked="0"/>
    </xf>
    <xf numFmtId="0" fontId="15" fillId="8" borderId="4" xfId="0" applyFont="1" applyFill="1" applyBorder="1" applyAlignment="1" applyProtection="1">
      <alignment horizontal="center" vertical="center"/>
      <protection locked="0"/>
    </xf>
    <xf numFmtId="0" fontId="18" fillId="5" borderId="14" xfId="0" applyFont="1" applyFill="1" applyBorder="1" applyAlignment="1" applyProtection="1">
      <alignment horizontal="left" vertical="center"/>
      <protection locked="0"/>
    </xf>
    <xf numFmtId="2" fontId="19" fillId="5" borderId="14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19" fillId="5" borderId="14" xfId="0" applyFont="1" applyFill="1" applyBorder="1" applyAlignment="1" applyProtection="1">
      <alignment horizontal="right" vertical="center"/>
      <protection locked="0"/>
    </xf>
    <xf numFmtId="1" fontId="11" fillId="6" borderId="5" xfId="0" applyNumberFormat="1" applyFont="1" applyFill="1" applyBorder="1" applyAlignment="1" applyProtection="1">
      <alignment horizontal="center" vertical="center"/>
      <protection locked="0"/>
    </xf>
    <xf numFmtId="3" fontId="16" fillId="10" borderId="13" xfId="0" applyNumberFormat="1" applyFont="1" applyFill="1" applyBorder="1" applyAlignment="1" applyProtection="1">
      <alignment horizontal="right" vertical="center"/>
      <protection locked="0"/>
    </xf>
    <xf numFmtId="3" fontId="16" fillId="10" borderId="12" xfId="0" applyNumberFormat="1" applyFont="1" applyFill="1" applyBorder="1" applyAlignment="1" applyProtection="1">
      <alignment horizontal="right" vertical="center"/>
      <protection locked="0"/>
    </xf>
    <xf numFmtId="3" fontId="6" fillId="0" borderId="2" xfId="0" applyNumberFormat="1" applyFont="1" applyBorder="1" applyAlignment="1" applyProtection="1">
      <alignment horizontal="right" vertical="center"/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Protection="1">
      <protection locked="0"/>
    </xf>
    <xf numFmtId="0" fontId="0" fillId="16" borderId="23" xfId="0" applyFill="1"/>
    <xf numFmtId="0" fontId="0" fillId="16" borderId="23" xfId="0" applyFill="1" applyProtection="1">
      <protection locked="0"/>
    </xf>
    <xf numFmtId="0" fontId="6" fillId="16" borderId="23" xfId="0" applyFont="1" applyFill="1" applyAlignment="1" applyProtection="1">
      <alignment horizontal="right" vertical="center"/>
      <protection locked="0"/>
    </xf>
    <xf numFmtId="0" fontId="20" fillId="16" borderId="23" xfId="0" applyFont="1" applyFill="1" applyAlignment="1" applyProtection="1">
      <alignment horizontal="center" vertical="center"/>
      <protection locked="0"/>
    </xf>
    <xf numFmtId="0" fontId="21" fillId="16" borderId="23" xfId="0" applyFont="1" applyFill="1" applyAlignment="1" applyProtection="1">
      <alignment horizontal="center" vertical="center"/>
      <protection locked="0"/>
    </xf>
    <xf numFmtId="3" fontId="16" fillId="16" borderId="23" xfId="0" applyNumberFormat="1" applyFont="1" applyFill="1" applyAlignment="1" applyProtection="1">
      <alignment horizontal="right" vertical="center"/>
      <protection locked="0"/>
    </xf>
    <xf numFmtId="0" fontId="26" fillId="16" borderId="0" xfId="0" applyFont="1" applyFill="1" applyBorder="1" applyAlignment="1" applyProtection="1">
      <alignment horizontal="left" vertical="center"/>
      <protection locked="0"/>
    </xf>
    <xf numFmtId="0" fontId="24" fillId="15" borderId="20" xfId="0" applyFont="1" applyFill="1" applyBorder="1" applyAlignment="1" applyProtection="1">
      <alignment horizontal="center" vertical="center"/>
      <protection locked="0"/>
    </xf>
    <xf numFmtId="0" fontId="2" fillId="19" borderId="3" xfId="0" applyFont="1" applyFill="1" applyBorder="1" applyProtection="1">
      <protection locked="0"/>
    </xf>
    <xf numFmtId="0" fontId="0" fillId="19" borderId="3" xfId="0" applyFill="1" applyBorder="1" applyProtection="1">
      <protection locked="0"/>
    </xf>
    <xf numFmtId="0" fontId="0" fillId="20" borderId="3" xfId="0" applyFill="1" applyBorder="1" applyProtection="1">
      <protection locked="0"/>
    </xf>
    <xf numFmtId="0" fontId="33" fillId="0" borderId="0" xfId="0" applyFont="1" applyBorder="1" applyProtection="1">
      <protection locked="0"/>
    </xf>
    <xf numFmtId="0" fontId="30" fillId="22" borderId="0" xfId="0" applyFont="1" applyFill="1" applyBorder="1" applyAlignment="1" applyProtection="1">
      <alignment horizontal="left" vertical="center"/>
      <protection locked="0"/>
    </xf>
    <xf numFmtId="0" fontId="31" fillId="23" borderId="24" xfId="0" applyFont="1" applyFill="1" applyBorder="1" applyAlignment="1" applyProtection="1">
      <alignment horizontal="center" vertical="center"/>
      <protection locked="0"/>
    </xf>
    <xf numFmtId="0" fontId="32" fillId="0" borderId="0" xfId="0" applyFont="1" applyBorder="1" applyProtection="1"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6" fillId="25" borderId="25" xfId="0" applyFont="1" applyFill="1" applyBorder="1" applyAlignment="1" applyProtection="1">
      <alignment horizontal="center" vertical="center"/>
      <protection locked="0"/>
    </xf>
    <xf numFmtId="0" fontId="36" fillId="25" borderId="26" xfId="0" applyFont="1" applyFill="1" applyBorder="1" applyAlignment="1" applyProtection="1">
      <alignment horizontal="center" vertical="center"/>
      <protection locked="0"/>
    </xf>
    <xf numFmtId="3" fontId="37" fillId="26" borderId="27" xfId="0" applyNumberFormat="1" applyFont="1" applyFill="1" applyBorder="1" applyAlignment="1" applyProtection="1">
      <alignment horizontal="right" vertical="center"/>
      <protection locked="0"/>
    </xf>
    <xf numFmtId="3" fontId="38" fillId="27" borderId="27" xfId="0" applyNumberFormat="1" applyFont="1" applyFill="1" applyBorder="1" applyAlignment="1" applyProtection="1">
      <alignment horizontal="right" vertical="center"/>
      <protection locked="0"/>
    </xf>
    <xf numFmtId="3" fontId="37" fillId="22" borderId="27" xfId="0" applyNumberFormat="1" applyFont="1" applyFill="1" applyBorder="1" applyAlignment="1" applyProtection="1">
      <alignment horizontal="right" vertical="center"/>
      <protection locked="0"/>
    </xf>
    <xf numFmtId="0" fontId="13" fillId="21" borderId="23" xfId="0" applyFont="1" applyFill="1" applyAlignment="1" applyProtection="1">
      <alignment horizontal="left" vertical="center"/>
      <protection locked="0"/>
    </xf>
    <xf numFmtId="0" fontId="20" fillId="12" borderId="1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20" fillId="12" borderId="16" xfId="0" applyFont="1" applyFill="1" applyBorder="1" applyAlignment="1" applyProtection="1">
      <alignment horizontal="center" vertical="center"/>
      <protection locked="0"/>
    </xf>
    <xf numFmtId="0" fontId="25" fillId="5" borderId="23" xfId="0" applyFont="1" applyFill="1" applyAlignment="1" applyProtection="1">
      <alignment horizontal="left" vertical="center"/>
      <protection locked="0"/>
    </xf>
    <xf numFmtId="0" fontId="20" fillId="13" borderId="17" xfId="0" applyFont="1" applyFill="1" applyBorder="1" applyAlignment="1" applyProtection="1">
      <alignment horizontal="center" vertical="center"/>
      <protection locked="0"/>
    </xf>
    <xf numFmtId="0" fontId="42" fillId="28" borderId="3" xfId="0" applyFont="1" applyFill="1" applyBorder="1" applyAlignment="1" applyProtection="1">
      <alignment horizontal="center" vertical="center"/>
      <protection locked="0"/>
    </xf>
    <xf numFmtId="1" fontId="43" fillId="29" borderId="28" xfId="0" applyNumberFormat="1" applyFont="1" applyFill="1" applyBorder="1" applyAlignment="1" applyProtection="1">
      <alignment horizontal="center" vertical="center"/>
      <protection locked="0"/>
    </xf>
    <xf numFmtId="0" fontId="44" fillId="28" borderId="3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/>
    <xf numFmtId="0" fontId="40" fillId="0" borderId="0" xfId="0" applyFont="1" applyBorder="1"/>
    <xf numFmtId="2" fontId="41" fillId="0" borderId="0" xfId="0" applyNumberFormat="1" applyFont="1" applyBorder="1"/>
    <xf numFmtId="0" fontId="44" fillId="5" borderId="3" xfId="0" applyFont="1" applyFill="1" applyBorder="1" applyAlignment="1" applyProtection="1">
      <alignment horizontal="left" vertical="center"/>
      <protection locked="0"/>
    </xf>
    <xf numFmtId="0" fontId="43" fillId="28" borderId="0" xfId="0" applyFont="1" applyFill="1" applyBorder="1" applyAlignment="1">
      <alignment horizontal="left" vertical="center"/>
    </xf>
    <xf numFmtId="3" fontId="46" fillId="28" borderId="29" xfId="0" applyNumberFormat="1" applyFont="1" applyFill="1" applyBorder="1" applyAlignment="1">
      <alignment horizontal="right" vertical="center"/>
    </xf>
    <xf numFmtId="3" fontId="47" fillId="31" borderId="29" xfId="0" applyNumberFormat="1" applyFont="1" applyFill="1" applyBorder="1" applyAlignment="1">
      <alignment horizontal="right" vertical="center"/>
    </xf>
    <xf numFmtId="0" fontId="39" fillId="30" borderId="0" xfId="0" applyFont="1" applyFill="1" applyBorder="1"/>
    <xf numFmtId="2" fontId="0" fillId="0" borderId="0" xfId="0" applyNumberFormat="1" applyBorder="1"/>
    <xf numFmtId="0" fontId="45" fillId="0" borderId="0" xfId="0" applyFont="1" applyBorder="1" applyProtection="1">
      <protection locked="0"/>
    </xf>
    <xf numFmtId="0" fontId="22" fillId="18" borderId="23" xfId="0" applyFont="1" applyFill="1" applyAlignment="1" applyProtection="1">
      <alignment horizontal="left" vertical="center"/>
      <protection locked="0"/>
    </xf>
    <xf numFmtId="0" fontId="0" fillId="0" borderId="0" xfId="0" applyBorder="1" applyProtection="1">
      <protection locked="0"/>
    </xf>
    <xf numFmtId="0" fontId="8" fillId="18" borderId="25" xfId="0" applyFont="1" applyFill="1" applyBorder="1" applyAlignment="1" applyProtection="1">
      <alignment horizontal="left" vertical="center"/>
      <protection locked="0"/>
    </xf>
    <xf numFmtId="0" fontId="0" fillId="0" borderId="25" xfId="0" applyBorder="1" applyProtection="1">
      <protection locked="0"/>
    </xf>
    <xf numFmtId="0" fontId="11" fillId="6" borderId="28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20" fillId="12" borderId="16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20" fillId="12" borderId="17" xfId="0" applyFont="1" applyFill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20" fillId="13" borderId="17" xfId="0" applyFont="1" applyFill="1" applyBorder="1" applyAlignment="1" applyProtection="1">
      <alignment horizontal="center" vertical="center"/>
      <protection locked="0"/>
    </xf>
    <xf numFmtId="0" fontId="9" fillId="5" borderId="23" xfId="0" applyFont="1" applyFill="1" applyAlignment="1" applyProtection="1">
      <alignment horizontal="left" vertical="top" wrapText="1"/>
      <protection locked="0"/>
    </xf>
    <xf numFmtId="0" fontId="12" fillId="5" borderId="23" xfId="0" applyFont="1" applyFill="1" applyAlignment="1" applyProtection="1">
      <alignment horizontal="left" vertical="center"/>
      <protection locked="0"/>
    </xf>
    <xf numFmtId="0" fontId="10" fillId="5" borderId="23" xfId="0" applyFont="1" applyFill="1" applyAlignment="1" applyProtection="1">
      <alignment horizontal="center" vertical="center"/>
      <protection locked="0"/>
    </xf>
    <xf numFmtId="0" fontId="25" fillId="5" borderId="23" xfId="0" applyFont="1" applyFill="1" applyAlignment="1" applyProtection="1">
      <alignment horizontal="left" vertical="center"/>
      <protection locked="0"/>
    </xf>
    <xf numFmtId="0" fontId="13" fillId="7" borderId="23" xfId="0" applyFont="1" applyFill="1" applyAlignment="1" applyProtection="1">
      <alignment horizontal="left" vertical="center"/>
      <protection locked="0"/>
    </xf>
    <xf numFmtId="0" fontId="14" fillId="8" borderId="23" xfId="0" applyFont="1" applyFill="1" applyAlignment="1" applyProtection="1">
      <alignment horizontal="center" vertical="center"/>
      <protection locked="0"/>
    </xf>
    <xf numFmtId="0" fontId="14" fillId="9" borderId="6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left" vertical="center"/>
      <protection locked="0"/>
    </xf>
    <xf numFmtId="0" fontId="22" fillId="4" borderId="23" xfId="0" applyFont="1" applyFill="1" applyAlignment="1" applyProtection="1">
      <alignment horizontal="left" vertical="center"/>
      <protection locked="0"/>
    </xf>
    <xf numFmtId="0" fontId="28" fillId="18" borderId="23" xfId="0" applyFont="1" applyFill="1" applyAlignment="1" applyProtection="1">
      <alignment horizontal="left" vertical="center"/>
      <protection locked="0"/>
    </xf>
    <xf numFmtId="0" fontId="0" fillId="0" borderId="23" xfId="0" applyProtection="1">
      <protection locked="0"/>
    </xf>
    <xf numFmtId="0" fontId="0" fillId="5" borderId="23" xfId="0" applyFill="1" applyProtection="1">
      <protection locked="0"/>
    </xf>
    <xf numFmtId="0" fontId="29" fillId="18" borderId="25" xfId="0" applyFont="1" applyFill="1" applyBorder="1" applyAlignment="1" applyProtection="1">
      <alignment horizontal="left" vertical="center"/>
      <protection locked="0"/>
    </xf>
    <xf numFmtId="0" fontId="13" fillId="21" borderId="23" xfId="0" applyFont="1" applyFill="1" applyAlignment="1" applyProtection="1">
      <alignment horizontal="left" vertical="center"/>
      <protection locked="0"/>
    </xf>
    <xf numFmtId="0" fontId="9" fillId="20" borderId="23" xfId="0" applyFont="1" applyFill="1" applyAlignment="1" applyProtection="1">
      <alignment horizontal="left" vertical="top" wrapTex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27" fillId="17" borderId="1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Michael Oak">
      <a:dk1>
        <a:sysClr val="windowText" lastClr="000000"/>
      </a:dk1>
      <a:lt1>
        <a:sysClr val="window" lastClr="FFFFFF"/>
      </a:lt1>
      <a:dk2>
        <a:srgbClr val="6E7C8C"/>
      </a:dk2>
      <a:lt2>
        <a:srgbClr val="A8B0BA"/>
      </a:lt2>
      <a:accent1>
        <a:srgbClr val="0B2662"/>
      </a:accent1>
      <a:accent2>
        <a:srgbClr val="D4AF37"/>
      </a:accent2>
      <a:accent3>
        <a:srgbClr val="1C5253"/>
      </a:accent3>
      <a:accent4>
        <a:srgbClr val="3B5181"/>
      </a:accent4>
      <a:accent5>
        <a:srgbClr val="DCB55F"/>
      </a:accent5>
      <a:accent6>
        <a:srgbClr val="497475"/>
      </a:accent6>
      <a:hlink>
        <a:srgbClr val="0B2662"/>
      </a:hlink>
      <a:folHlink>
        <a:srgbClr val="6C7CA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ichaeloak.com/" TargetMode="External"/><Relationship Id="rId1" Type="http://schemas.openxmlformats.org/officeDocument/2006/relationships/hyperlink" Target="mailto:mike@michaeloak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ichaeloak.com/" TargetMode="External"/><Relationship Id="rId1" Type="http://schemas.openxmlformats.org/officeDocument/2006/relationships/hyperlink" Target="mailto:mike@michaeloak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ichaeloak.com/" TargetMode="External"/><Relationship Id="rId1" Type="http://schemas.openxmlformats.org/officeDocument/2006/relationships/hyperlink" Target="mailto:mike@michaeloak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ichaeloak.com/" TargetMode="External"/><Relationship Id="rId1" Type="http://schemas.openxmlformats.org/officeDocument/2006/relationships/hyperlink" Target="mailto:mike@michaeloak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ichaeloak.com/" TargetMode="External"/><Relationship Id="rId1" Type="http://schemas.openxmlformats.org/officeDocument/2006/relationships/hyperlink" Target="mailto:mike@michaeloak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ichaeloak.com/" TargetMode="External"/><Relationship Id="rId1" Type="http://schemas.openxmlformats.org/officeDocument/2006/relationships/hyperlink" Target="mailto:mike@michaeloak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ichaeloak.com/" TargetMode="External"/><Relationship Id="rId1" Type="http://schemas.openxmlformats.org/officeDocument/2006/relationships/hyperlink" Target="mailto:mike@michaeloa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34"/>
  <sheetViews>
    <sheetView showGridLines="0" tabSelected="1" zoomScaleNormal="100" workbookViewId="0">
      <selection activeCell="D8" sqref="D8:F8"/>
    </sheetView>
  </sheetViews>
  <sheetFormatPr defaultColWidth="8.88671875" defaultRowHeight="14.4" x14ac:dyDescent="0.3"/>
  <cols>
    <col min="1" max="1" width="22" style="1" customWidth="1"/>
    <col min="2" max="2" width="13" style="1" customWidth="1"/>
    <col min="3" max="21" width="13" customWidth="1"/>
    <col min="22" max="22" width="8.88671875" style="1" customWidth="1"/>
    <col min="23" max="23" width="13" style="1" hidden="1" customWidth="1"/>
    <col min="24" max="39" width="8.88671875" style="1" customWidth="1"/>
    <col min="40" max="16384" width="8.88671875" style="1"/>
  </cols>
  <sheetData>
    <row r="1" spans="1:23" ht="28.05" customHeight="1" x14ac:dyDescent="0.3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5"/>
      <c r="W1" s="6" t="s">
        <v>35</v>
      </c>
    </row>
    <row r="2" spans="1:23" ht="22.05" customHeight="1" x14ac:dyDescent="0.3">
      <c r="A2" s="92" t="s">
        <v>36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5"/>
      <c r="W2" s="6">
        <f>VLOOKUP(D8,EFS_Params!A3:B8,2,FALSE)</f>
        <v>1</v>
      </c>
    </row>
    <row r="3" spans="1:23" ht="3" customHeight="1" x14ac:dyDescent="0.3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"/>
      <c r="W3" s="6" t="s">
        <v>3</v>
      </c>
    </row>
    <row r="4" spans="1:23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/>
      <c r="V4" s="5"/>
      <c r="W4" s="6">
        <f>EFS_Params!B24</f>
        <v>1.019803902718557</v>
      </c>
    </row>
    <row r="5" spans="1:23" ht="37.950000000000003" customHeight="1" x14ac:dyDescent="0.3">
      <c r="A5" s="103" t="s">
        <v>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5"/>
      <c r="W5" s="6"/>
    </row>
    <row r="6" spans="1:23" ht="6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5"/>
      <c r="W6" s="49">
        <f>EFS_Params!B26</f>
        <v>0</v>
      </c>
    </row>
    <row r="7" spans="1:23" ht="18" customHeight="1" thickBot="1" x14ac:dyDescent="0.35">
      <c r="A7" s="9" t="s">
        <v>37</v>
      </c>
      <c r="B7" s="10"/>
      <c r="C7" s="10"/>
      <c r="D7" s="105" t="s">
        <v>38</v>
      </c>
      <c r="E7" s="91"/>
      <c r="F7" s="91"/>
      <c r="G7" s="77" t="s">
        <v>39</v>
      </c>
      <c r="H7" s="7"/>
      <c r="I7" s="77" t="s">
        <v>6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5"/>
      <c r="W7" s="5" t="s">
        <v>40</v>
      </c>
    </row>
    <row r="8" spans="1:23" ht="18" customHeight="1" thickBot="1" x14ac:dyDescent="0.35">
      <c r="A8" s="44">
        <v>5</v>
      </c>
      <c r="B8" s="10"/>
      <c r="C8" s="10"/>
      <c r="D8" s="94" t="s">
        <v>58</v>
      </c>
      <c r="E8" s="95"/>
      <c r="F8" s="96"/>
      <c r="G8" s="78">
        <v>3</v>
      </c>
      <c r="H8" s="7"/>
      <c r="I8" s="78">
        <v>4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5"/>
      <c r="W8" s="5">
        <f>VLOOKUP(G8,EFS_Params!A36:B40,2,FALSE)</f>
        <v>1</v>
      </c>
    </row>
    <row r="9" spans="1:23" s="3" customFormat="1" ht="13.95" customHeight="1" x14ac:dyDescent="0.3">
      <c r="A9" s="35" t="s">
        <v>42</v>
      </c>
      <c r="B9" s="11"/>
      <c r="C9" s="11"/>
      <c r="D9" s="104" t="s">
        <v>43</v>
      </c>
      <c r="E9" s="91"/>
      <c r="F9" s="91"/>
      <c r="G9" s="83" t="s">
        <v>7</v>
      </c>
      <c r="H9" s="11"/>
      <c r="I9" s="79" t="s">
        <v>8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2"/>
      <c r="W9" s="12"/>
    </row>
    <row r="10" spans="1:23" ht="6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22.05" customHeight="1" x14ac:dyDescent="0.3">
      <c r="A11" s="100" t="str">
        <f>"Investment Professionals ("&amp;TEXT(A8,"$#.0")&amp;"B AUM)"</f>
        <v>Investment Professionals ($5.0B AUM)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5"/>
      <c r="W11" s="5"/>
    </row>
    <row r="12" spans="1:23" ht="19.95" customHeight="1" x14ac:dyDescent="0.3">
      <c r="A12" s="13"/>
      <c r="B12" s="97" t="s">
        <v>9</v>
      </c>
      <c r="C12" s="98"/>
      <c r="D12" s="98"/>
      <c r="E12" s="98"/>
      <c r="F12" s="98"/>
      <c r="G12" s="102" t="s">
        <v>44</v>
      </c>
      <c r="H12" s="98"/>
      <c r="I12" s="98"/>
      <c r="J12" s="98"/>
      <c r="K12" s="98"/>
      <c r="L12" s="99" t="s">
        <v>45</v>
      </c>
      <c r="M12" s="98"/>
      <c r="N12" s="98"/>
      <c r="O12" s="98"/>
      <c r="P12" s="98"/>
      <c r="Q12" s="102" t="s">
        <v>46</v>
      </c>
      <c r="R12" s="98"/>
      <c r="S12" s="98"/>
      <c r="T12" s="98"/>
      <c r="U12" s="98"/>
      <c r="V12" s="5"/>
      <c r="W12" s="5"/>
    </row>
    <row r="13" spans="1:23" ht="19.95" customHeight="1" x14ac:dyDescent="0.3">
      <c r="A13" s="14" t="s">
        <v>12</v>
      </c>
      <c r="B13" s="15" t="s">
        <v>13</v>
      </c>
      <c r="C13" s="16" t="s">
        <v>14</v>
      </c>
      <c r="D13" s="16" t="s">
        <v>15</v>
      </c>
      <c r="E13" s="16" t="s">
        <v>16</v>
      </c>
      <c r="F13" s="16" t="s">
        <v>17</v>
      </c>
      <c r="G13" s="15" t="s">
        <v>13</v>
      </c>
      <c r="H13" s="16" t="s">
        <v>14</v>
      </c>
      <c r="I13" s="16" t="s">
        <v>15</v>
      </c>
      <c r="J13" s="16" t="s">
        <v>16</v>
      </c>
      <c r="K13" s="16" t="s">
        <v>17</v>
      </c>
      <c r="L13" s="15" t="s">
        <v>13</v>
      </c>
      <c r="M13" s="16" t="s">
        <v>14</v>
      </c>
      <c r="N13" s="16" t="s">
        <v>15</v>
      </c>
      <c r="O13" s="16" t="s">
        <v>16</v>
      </c>
      <c r="P13" s="16" t="s">
        <v>17</v>
      </c>
      <c r="Q13" s="15" t="s">
        <v>13</v>
      </c>
      <c r="R13" s="16" t="s">
        <v>14</v>
      </c>
      <c r="S13" s="16" t="s">
        <v>15</v>
      </c>
      <c r="T13" s="16" t="s">
        <v>16</v>
      </c>
      <c r="U13" s="16" t="s">
        <v>17</v>
      </c>
      <c r="V13" s="5"/>
      <c r="W13" s="5"/>
    </row>
    <row r="14" spans="1:23" ht="18" customHeight="1" x14ac:dyDescent="0.3">
      <c r="A14" s="17" t="s">
        <v>18</v>
      </c>
      <c r="B14" s="18">
        <f>ROUND(IF($A$8&lt;=1,EFS_Params!C13*1000,EFS_Params!C13*POWER($A$8,LN(EFS_Params!D13/EFS_Params!C13)/LN(50))*1000)*$W$2*$W$4*(1+EFS_Params!A29*EFS_Params!$B$25)*(1+($W$8-1)*0.3),0)</f>
        <v>65981</v>
      </c>
      <c r="C14" s="19">
        <f>ROUND(IF($A$8&lt;=1,EFS_Params!C13*1000,EFS_Params!C13*POWER($A$8,LN(EFS_Params!D13/EFS_Params!C13)/LN(50))*1000)*$W$2*$W$4*(1+EFS_Params!B29*EFS_Params!$B$25)*(1+($W$8-1)*0.3),0)</f>
        <v>80740</v>
      </c>
      <c r="D14" s="20">
        <f>ROUND(IF($A$8&lt;=1,EFS_Params!C13*1000,EFS_Params!C13*POWER($A$8,LN(EFS_Params!D13/EFS_Params!C13)/LN(50))*1000)*$W$2*$W$4*(1+EFS_Params!C29*EFS_Params!$B$25)*(1+($W$8-1)*0.3),0)</f>
        <v>97102</v>
      </c>
      <c r="E14" s="19">
        <f>ROUND(IF($A$8&lt;=1,EFS_Params!C13*1000,EFS_Params!C13*POWER($A$8,LN(EFS_Params!D13/EFS_Params!C13)/LN(50))*1000)*$W$2*$W$4*(1+EFS_Params!D29*EFS_Params!$B$25)*(1+($W$8-1)*0.3),0)</f>
        <v>113464</v>
      </c>
      <c r="F14" s="19">
        <f>ROUND(IF($A$8&lt;=1,EFS_Params!C13*1000,EFS_Params!C13*POWER($A$8,LN(EFS_Params!D13/EFS_Params!C13)/LN(50))*1000)*$W$2*$W$4*(1+EFS_Params!E29*EFS_Params!$B$25)*(1+($W$8-1)*0.3),0)</f>
        <v>128223</v>
      </c>
      <c r="G14" s="18">
        <f>ROUND(POWER(10,EFS_Params!F13+EFS_Params!E13*LOG10($A$8))*1000000*$W$2*$W$4*(1+EFS_Params!A29*EFS_Params!$B$25)*(1+$I$8/100*EFS_Params!A32)*(1+($W$8-1)*0.3),0)</f>
        <v>69451</v>
      </c>
      <c r="H14" s="19">
        <f>ROUND(POWER(10,EFS_Params!F13+EFS_Params!E13*LOG10($A$8))*1000000*$W$2*$W$4*(1+EFS_Params!B29*EFS_Params!$B$25)*(1+$I$8/100*EFS_Params!A32)*(1+($W$8-1)*0.3),0)</f>
        <v>84987</v>
      </c>
      <c r="I14" s="20">
        <f>ROUND(POWER(10,EFS_Params!F13+EFS_Params!E13*LOG10($A$8))*1000000*$W$2*$W$4*(1+EFS_Params!C29*EFS_Params!$B$25)*(1+$I$8/100*EFS_Params!A32)*(1+($W$8-1)*0.3),0)</f>
        <v>102209</v>
      </c>
      <c r="J14" s="19">
        <f>ROUND(POWER(10,EFS_Params!F13+EFS_Params!E13*LOG10($A$8))*1000000*$W$2*$W$4*(1+EFS_Params!D29*EFS_Params!$B$25)*(1+$I$8/100*EFS_Params!A32)*(1+($W$8-1)*0.3),0)</f>
        <v>119431</v>
      </c>
      <c r="K14" s="19">
        <f>ROUND(POWER(10,EFS_Params!F13+EFS_Params!E13*LOG10($A$8))*1000000*$W$2*$W$4*(1+EFS_Params!E29*EFS_Params!$B$25)*(1+$I$8/100*EFS_Params!A32)*(1+($W$8-1)*0.3),0)</f>
        <v>134967</v>
      </c>
      <c r="L14" s="18">
        <f>ROUND(IF($A$8&lt;=1,EFS_Params!C13*1000,EFS_Params!C13*POWER($A$8,LN(EFS_Params!D13/EFS_Params!C13)/LN(50))*1000)+(POWER(10,EFS_Params!F13+EFS_Params!E13*LOG10($A$8))*1000000-IF($A$8&lt;=1,EFS_Params!C13*1000,EFS_Params!C13*POWER($A$8,LN(EFS_Params!D13/EFS_Params!C13)/LN(50))*1000))/1.2*$W$2*$W$4*(1+EFS_Params!A29*EFS_Params!$B$25)*(1+$I$8/100*EFS_Params!A32)*(1+($W$8-1)*0.3),0)</f>
        <v>98108</v>
      </c>
      <c r="M14" s="19">
        <f>ROUND(IF($A$8&lt;=1,EFS_Params!C13*1000,EFS_Params!C13*POWER($A$8,LN(EFS_Params!D13/EFS_Params!C13)/LN(50))*1000)+(POWER(10,EFS_Params!F13+EFS_Params!E13*LOG10($A$8))*1000000-IF($A$8&lt;=1,EFS_Params!C13*1000,EFS_Params!C13*POWER($A$8,LN(EFS_Params!D13/EFS_Params!C13)/LN(50))*1000))/1.2*$W$2*$W$4*(1+EFS_Params!B29*EFS_Params!$B$25)*(1+$I$8/100*EFS_Params!A32)*(1+($W$8-1)*0.3),0)</f>
        <v>98755</v>
      </c>
      <c r="N14" s="20">
        <f>ROUND(IF($A$8&lt;=1,EFS_Params!C13*1000,EFS_Params!C13*POWER($A$8,LN(EFS_Params!D13/EFS_Params!C13)/LN(50))*1000)+(POWER(10,EFS_Params!F13+EFS_Params!E13*LOG10($A$8))*1000000-IF($A$8&lt;=1,EFS_Params!C13*1000,EFS_Params!C13*POWER($A$8,LN(EFS_Params!D13/EFS_Params!C13)/LN(50))*1000))/1.2*$W$2*$W$4*(1+EFS_Params!C29*EFS_Params!$B$25)*(1+$I$8/100*EFS_Params!A32)*(1+($W$8-1)*0.3),0)</f>
        <v>99472</v>
      </c>
      <c r="O14" s="19">
        <f>ROUND(IF($A$8&lt;=1,EFS_Params!C13*1000,EFS_Params!C13*POWER($A$8,LN(EFS_Params!D13/EFS_Params!C13)/LN(50))*1000)+(POWER(10,EFS_Params!F13+EFS_Params!E13*LOG10($A$8))*1000000-IF($A$8&lt;=1,EFS_Params!C13*1000,EFS_Params!C13*POWER($A$8,LN(EFS_Params!D13/EFS_Params!C13)/LN(50))*1000))/1.2*$W$2*$W$4*(1+EFS_Params!D29*EFS_Params!$B$25)*(1+$I$8/100*EFS_Params!A32)*(1+($W$8-1)*0.3),0)</f>
        <v>100189</v>
      </c>
      <c r="P14" s="19">
        <f>ROUND(IF($A$8&lt;=1,EFS_Params!C13*1000,EFS_Params!C13*POWER($A$8,LN(EFS_Params!D13/EFS_Params!C13)/LN(50))*1000)+(POWER(10,EFS_Params!F13+EFS_Params!E13*LOG10($A$8))*1000000-IF($A$8&lt;=1,EFS_Params!C13*1000,EFS_Params!C13*POWER($A$8,LN(EFS_Params!D13/EFS_Params!C13)/LN(50))*1000))/1.2*$W$2*$W$4*(1+EFS_Params!E29*EFS_Params!$B$25)*(1+$I$8/100*EFS_Params!A32)*(1+($W$8-1)*0.3),0)</f>
        <v>100836</v>
      </c>
      <c r="Q14" s="18">
        <f>ROUND(IF($A$8&lt;=1,EFS_Params!C13*1000,EFS_Params!C13*POWER($A$8,LN(EFS_Params!D13/EFS_Params!C13)/LN(50))*1000)+2*(POWER(10,EFS_Params!F13+EFS_Params!E13*LOG10($A$8))*1000000-IF($A$8&lt;=1,EFS_Params!C13*1000,EFS_Params!C13*POWER($A$8,LN(EFS_Params!D13/EFS_Params!C13)/LN(50))*1000))/1.2*$W$2*$W$4*(1+EFS_Params!A29*EFS_Params!$B$25)*(1+$I$8/100*EFS_Params!A32)*(1+($W$8-1)*0.3),0)</f>
        <v>101000</v>
      </c>
      <c r="R14" s="19">
        <f>ROUND(IF($A$8&lt;=1,EFS_Params!C13*1000,EFS_Params!C13*POWER($A$8,LN(EFS_Params!D13/EFS_Params!C13)/LN(50))*1000)+2*(POWER(10,EFS_Params!F13+EFS_Params!E13*LOG10($A$8))*1000000-IF($A$8&lt;=1,EFS_Params!C13*1000,EFS_Params!C13*POWER($A$8,LN(EFS_Params!D13/EFS_Params!C13)/LN(50))*1000))/1.2*$W$2*$W$4*(1+EFS_Params!B29*EFS_Params!$B$25)*(1+$I$8/100*EFS_Params!A32)*(1+($W$8-1)*0.3),0)</f>
        <v>102294</v>
      </c>
      <c r="S14" s="20">
        <f>ROUND(IF($A$8&lt;=1,EFS_Params!C13*1000,EFS_Params!C13*POWER($A$8,LN(EFS_Params!D13/EFS_Params!C13)/LN(50))*1000)+2*(POWER(10,EFS_Params!F13+EFS_Params!E13*LOG10($A$8))*1000000-IF($A$8&lt;=1,EFS_Params!C13*1000,EFS_Params!C13*POWER($A$8,LN(EFS_Params!D13/EFS_Params!C13)/LN(50))*1000))/1.2*$W$2*$W$4*(1+EFS_Params!C29*EFS_Params!$B$25)*(1+$I$8/100*EFS_Params!A32)*(1+($W$8-1)*0.3),0)</f>
        <v>103728</v>
      </c>
      <c r="T14" s="19">
        <f>ROUND(IF($A$8&lt;=1,EFS_Params!C13*1000,EFS_Params!C13*POWER($A$8,LN(EFS_Params!D13/EFS_Params!C13)/LN(50))*1000)+2*(POWER(10,EFS_Params!F13+EFS_Params!E13*LOG10($A$8))*1000000-IF($A$8&lt;=1,EFS_Params!C13*1000,EFS_Params!C13*POWER($A$8,LN(EFS_Params!D13/EFS_Params!C13)/LN(50))*1000))/1.2*$W$2*$W$4*(1+EFS_Params!D29*EFS_Params!$B$25)*(1+$I$8/100*EFS_Params!A32)*(1+($W$8-1)*0.3),0)</f>
        <v>105163</v>
      </c>
      <c r="U14" s="19">
        <f>ROUND(IF($A$8&lt;=1,EFS_Params!C13*1000,EFS_Params!C13*POWER($A$8,LN(EFS_Params!D13/EFS_Params!C13)/LN(50))*1000)+2*(POWER(10,EFS_Params!F13+EFS_Params!E13*LOG10($A$8))*1000000-IF($A$8&lt;=1,EFS_Params!C13*1000,EFS_Params!C13*POWER($A$8,LN(EFS_Params!D13/EFS_Params!C13)/LN(50))*1000))/1.2*$W$2*$W$4*(1+EFS_Params!E29*EFS_Params!$B$25)*(1+$I$8/100*EFS_Params!A32)*(1+($W$8-1)*0.3),0)</f>
        <v>106457</v>
      </c>
      <c r="V14" s="5"/>
      <c r="W14" s="5"/>
    </row>
    <row r="15" spans="1:23" ht="18" customHeight="1" x14ac:dyDescent="0.3">
      <c r="A15" s="21" t="s">
        <v>19</v>
      </c>
      <c r="B15" s="22">
        <f>ROUND(IF($A$8&lt;=1,EFS_Params!C14*1000,EFS_Params!C14*POWER($A$8,LN(EFS_Params!D14/EFS_Params!C14)/LN(50))*1000)*$W$2*$W$4*(1+EFS_Params!A29*EFS_Params!$B$25)*(1+($W$8-1)*0.4),0)</f>
        <v>98588</v>
      </c>
      <c r="C15" s="23">
        <f>ROUND(IF($A$8&lt;=1,EFS_Params!C14*1000,EFS_Params!C14*POWER($A$8,LN(EFS_Params!D14/EFS_Params!C14)/LN(50))*1000)*$W$2*$W$4*(1+EFS_Params!B29*EFS_Params!$B$25)*(1+($W$8-1)*0.4),0)</f>
        <v>120641</v>
      </c>
      <c r="D15" s="20">
        <f>ROUND(IF($A$8&lt;=1,EFS_Params!C14*1000,EFS_Params!C14*POWER($A$8,LN(EFS_Params!D14/EFS_Params!C14)/LN(50))*1000)*$W$2*$W$4*(1+EFS_Params!C29*EFS_Params!$B$25)*(1+($W$8-1)*0.4),0)</f>
        <v>145089</v>
      </c>
      <c r="E15" s="23">
        <f>ROUND(IF($A$8&lt;=1,EFS_Params!C14*1000,EFS_Params!C14*POWER($A$8,LN(EFS_Params!D14/EFS_Params!C14)/LN(50))*1000)*$W$2*$W$4*(1+EFS_Params!D29*EFS_Params!$B$25)*(1+($W$8-1)*0.4),0)</f>
        <v>169536</v>
      </c>
      <c r="F15" s="23">
        <f>ROUND(IF($A$8&lt;=1,EFS_Params!C14*1000,EFS_Params!C14*POWER($A$8,LN(EFS_Params!D14/EFS_Params!C14)/LN(50))*1000)*$W$2*$W$4*(1+EFS_Params!E29*EFS_Params!$B$25)*(1+($W$8-1)*0.4),0)</f>
        <v>191590</v>
      </c>
      <c r="G15" s="22">
        <f>ROUND(POWER(10,EFS_Params!F14+EFS_Params!E14*LOG10($A$8))*1000000*$W$2*$W$4*(1+EFS_Params!A29*EFS_Params!$B$25)*(1+$I$8/100*EFS_Params!B32)*(1+($W$8-1)*0.4),0)</f>
        <v>110917</v>
      </c>
      <c r="H15" s="23">
        <f>ROUND(POWER(10,EFS_Params!F14+EFS_Params!E14*LOG10($A$8))*1000000*$W$2*$W$4*(1+EFS_Params!B29*EFS_Params!$B$25)*(1+$I$8/100*EFS_Params!B32)*(1+($W$8-1)*0.4),0)</f>
        <v>135728</v>
      </c>
      <c r="I15" s="20">
        <f>ROUND(POWER(10,EFS_Params!F14+EFS_Params!E14*LOG10($A$8))*1000000*$W$2*$W$4*(1+EFS_Params!C29*EFS_Params!$B$25)*(1+$I$8/100*EFS_Params!B32)*(1+($W$8-1)*0.4),0)</f>
        <v>163233</v>
      </c>
      <c r="J15" s="23">
        <f>ROUND(POWER(10,EFS_Params!F14+EFS_Params!E14*LOG10($A$8))*1000000*$W$2*$W$4*(1+EFS_Params!D29*EFS_Params!$B$25)*(1+$I$8/100*EFS_Params!B32)*(1+($W$8-1)*0.4),0)</f>
        <v>190737</v>
      </c>
      <c r="K15" s="23">
        <f>ROUND(POWER(10,EFS_Params!F14+EFS_Params!E14*LOG10($A$8))*1000000*$W$2*$W$4*(1+EFS_Params!E29*EFS_Params!$B$25)*(1+$I$8/100*EFS_Params!B32)*(1+($W$8-1)*0.4),0)</f>
        <v>215549</v>
      </c>
      <c r="L15" s="22">
        <f>ROUND(IF($A$8&lt;=1,EFS_Params!C14*1000,EFS_Params!C14*POWER($A$8,LN(EFS_Params!D14/EFS_Params!C14)/LN(50))*1000)+(POWER(10,EFS_Params!F14+EFS_Params!E14*LOG10($A$8))*1000000-IF($A$8&lt;=1,EFS_Params!C14*1000,EFS_Params!C14*POWER($A$8,LN(EFS_Params!D14/EFS_Params!C14)/LN(50))*1000))/1.2*$W$2*$W$4*(1+EFS_Params!A29*EFS_Params!$B$25)*(1+$I$8/100*EFS_Params!B32)*(1+($W$8-1)*0.4),0)</f>
        <v>152381</v>
      </c>
      <c r="M15" s="23">
        <f>ROUND(IF($A$8&lt;=1,EFS_Params!C14*1000,EFS_Params!C14*POWER($A$8,LN(EFS_Params!D14/EFS_Params!C14)/LN(50))*1000)+(POWER(10,EFS_Params!F14+EFS_Params!E14*LOG10($A$8))*1000000-IF($A$8&lt;=1,EFS_Params!C14*1000,EFS_Params!C14*POWER($A$8,LN(EFS_Params!D14/EFS_Params!C14)/LN(50))*1000))/1.2*$W$2*$W$4*(1+EFS_Params!B29*EFS_Params!$B$25)*(1+$I$8/100*EFS_Params!B32)*(1+($W$8-1)*0.4),0)</f>
        <v>154642</v>
      </c>
      <c r="N15" s="20">
        <f>ROUND(IF($A$8&lt;=1,EFS_Params!C14*1000,EFS_Params!C14*POWER($A$8,LN(EFS_Params!D14/EFS_Params!C14)/LN(50))*1000)+(POWER(10,EFS_Params!F14+EFS_Params!E14*LOG10($A$8))*1000000-IF($A$8&lt;=1,EFS_Params!C14*1000,EFS_Params!C14*POWER($A$8,LN(EFS_Params!D14/EFS_Params!C14)/LN(50))*1000))/1.2*$W$2*$W$4*(1+EFS_Params!C29*EFS_Params!$B$25)*(1+$I$8/100*EFS_Params!B32)*(1+($W$8-1)*0.4),0)</f>
        <v>157149</v>
      </c>
      <c r="O15" s="23">
        <f>ROUND(IF($A$8&lt;=1,EFS_Params!C14*1000,EFS_Params!C14*POWER($A$8,LN(EFS_Params!D14/EFS_Params!C14)/LN(50))*1000)+(POWER(10,EFS_Params!F14+EFS_Params!E14*LOG10($A$8))*1000000-IF($A$8&lt;=1,EFS_Params!C14*1000,EFS_Params!C14*POWER($A$8,LN(EFS_Params!D14/EFS_Params!C14)/LN(50))*1000))/1.2*$W$2*$W$4*(1+EFS_Params!D29*EFS_Params!$B$25)*(1+$I$8/100*EFS_Params!B32)*(1+($W$8-1)*0.4),0)</f>
        <v>159656</v>
      </c>
      <c r="P15" s="23">
        <f>ROUND(IF($A$8&lt;=1,EFS_Params!C14*1000,EFS_Params!C14*POWER($A$8,LN(EFS_Params!D14/EFS_Params!C14)/LN(50))*1000)+(POWER(10,EFS_Params!F14+EFS_Params!E14*LOG10($A$8))*1000000-IF($A$8&lt;=1,EFS_Params!C14*1000,EFS_Params!C14*POWER($A$8,LN(EFS_Params!D14/EFS_Params!C14)/LN(50))*1000))/1.2*$W$2*$W$4*(1+EFS_Params!E29*EFS_Params!$B$25)*(1+$I$8/100*EFS_Params!B32)*(1+($W$8-1)*0.4),0)</f>
        <v>161918</v>
      </c>
      <c r="Q15" s="22">
        <f>ROUND(IF($A$8&lt;=1,EFS_Params!C14*1000,EFS_Params!C14*POWER($A$8,LN(EFS_Params!D14/EFS_Params!C14)/LN(50))*1000)+2*(POWER(10,EFS_Params!F14+EFS_Params!E14*LOG10($A$8))*1000000-IF($A$8&lt;=1,EFS_Params!C14*1000,EFS_Params!C14*POWER($A$8,LN(EFS_Params!D14/EFS_Params!C14)/LN(50))*1000))/1.2*$W$2*$W$4*(1+EFS_Params!A29*EFS_Params!$B$25)*(1+$I$8/100*EFS_Params!B32)*(1+($W$8-1)*0.4),0)</f>
        <v>162491</v>
      </c>
      <c r="R15" s="23">
        <f>ROUND(IF($A$8&lt;=1,EFS_Params!C14*1000,EFS_Params!C14*POWER($A$8,LN(EFS_Params!D14/EFS_Params!C14)/LN(50))*1000)+2*(POWER(10,EFS_Params!F14+EFS_Params!E14*LOG10($A$8))*1000000-IF($A$8&lt;=1,EFS_Params!C14*1000,EFS_Params!C14*POWER($A$8,LN(EFS_Params!D14/EFS_Params!C14)/LN(50))*1000))/1.2*$W$2*$W$4*(1+EFS_Params!B29*EFS_Params!$B$25)*(1+$I$8/100*EFS_Params!B32)*(1+($W$8-1)*0.4),0)</f>
        <v>167014</v>
      </c>
      <c r="S15" s="20">
        <f>ROUND(IF($A$8&lt;=1,EFS_Params!C14*1000,EFS_Params!C14*POWER($A$8,LN(EFS_Params!D14/EFS_Params!C14)/LN(50))*1000)+2*(POWER(10,EFS_Params!F14+EFS_Params!E14*LOG10($A$8))*1000000-IF($A$8&lt;=1,EFS_Params!C14*1000,EFS_Params!C14*POWER($A$8,LN(EFS_Params!D14/EFS_Params!C14)/LN(50))*1000))/1.2*$W$2*$W$4*(1+EFS_Params!C29*EFS_Params!$B$25)*(1+$I$8/100*EFS_Params!B32)*(1+($W$8-1)*0.4),0)</f>
        <v>172028</v>
      </c>
      <c r="T15" s="23">
        <f>ROUND(IF($A$8&lt;=1,EFS_Params!C14*1000,EFS_Params!C14*POWER($A$8,LN(EFS_Params!D14/EFS_Params!C14)/LN(50))*1000)+2*(POWER(10,EFS_Params!F14+EFS_Params!E14*LOG10($A$8))*1000000-IF($A$8&lt;=1,EFS_Params!C14*1000,EFS_Params!C14*POWER($A$8,LN(EFS_Params!D14/EFS_Params!C14)/LN(50))*1000))/1.2*$W$2*$W$4*(1+EFS_Params!D29*EFS_Params!$B$25)*(1+$I$8/100*EFS_Params!B32)*(1+($W$8-1)*0.4),0)</f>
        <v>177041</v>
      </c>
      <c r="U15" s="23">
        <f>ROUND(IF($A$8&lt;=1,EFS_Params!C14*1000,EFS_Params!C14*POWER($A$8,LN(EFS_Params!D14/EFS_Params!C14)/LN(50))*1000)+2*(POWER(10,EFS_Params!F14+EFS_Params!E14*LOG10($A$8))*1000000-IF($A$8&lt;=1,EFS_Params!C14*1000,EFS_Params!C14*POWER($A$8,LN(EFS_Params!D14/EFS_Params!C14)/LN(50))*1000))/1.2*$W$2*$W$4*(1+EFS_Params!E29*EFS_Params!$B$25)*(1+$I$8/100*EFS_Params!B32)*(1+($W$8-1)*0.4),0)</f>
        <v>181564</v>
      </c>
      <c r="V15" s="5"/>
      <c r="W15" s="5"/>
    </row>
    <row r="16" spans="1:23" ht="18" customHeight="1" x14ac:dyDescent="0.3">
      <c r="A16" s="17" t="s">
        <v>20</v>
      </c>
      <c r="B16" s="18">
        <f>ROUND(IF($A$8&lt;=1,EFS_Params!C15*1000,EFS_Params!C15*POWER($A$8,LN(EFS_Params!D15/EFS_Params!C15)/LN(50))*1000)*$W$2*$W$4*(1+EFS_Params!A29*EFS_Params!$B$25)*(1+($W$8-1)*0.5),0)</f>
        <v>141817</v>
      </c>
      <c r="C16" s="19">
        <f>ROUND(IF($A$8&lt;=1,EFS_Params!C15*1000,EFS_Params!C15*POWER($A$8,LN(EFS_Params!D15/EFS_Params!C15)/LN(50))*1000)*$W$2*$W$4*(1+EFS_Params!B29*EFS_Params!$B$25)*(1+($W$8-1)*0.5),0)</f>
        <v>173541</v>
      </c>
      <c r="D16" s="20">
        <f>ROUND(IF($A$8&lt;=1,EFS_Params!C15*1000,EFS_Params!C15*POWER($A$8,LN(EFS_Params!D15/EFS_Params!C15)/LN(50))*1000)*$W$2*$W$4*(1+EFS_Params!C29*EFS_Params!$B$25)*(1+($W$8-1)*0.5),0)</f>
        <v>208708</v>
      </c>
      <c r="E16" s="19">
        <f>ROUND(IF($A$8&lt;=1,EFS_Params!C15*1000,EFS_Params!C15*POWER($A$8,LN(EFS_Params!D15/EFS_Params!C15)/LN(50))*1000)*$W$2*$W$4*(1+EFS_Params!D29*EFS_Params!$B$25)*(1+($W$8-1)*0.5),0)</f>
        <v>243875</v>
      </c>
      <c r="F16" s="19">
        <f>ROUND(IF($A$8&lt;=1,EFS_Params!C15*1000,EFS_Params!C15*POWER($A$8,LN(EFS_Params!D15/EFS_Params!C15)/LN(50))*1000)*$W$2*$W$4*(1+EFS_Params!E29*EFS_Params!$B$25)*(1+($W$8-1)*0.5),0)</f>
        <v>275599</v>
      </c>
      <c r="G16" s="18">
        <f>ROUND(POWER(10,EFS_Params!F15+EFS_Params!E15*LOG10($A$8))*1000000*$W$2*$W$4*(1+EFS_Params!A29*EFS_Params!$B$25)*(1+$I$8/100*EFS_Params!C32)*(1+($W$8-1)*0.5),0)</f>
        <v>174491</v>
      </c>
      <c r="H16" s="19">
        <f>ROUND(POWER(10,EFS_Params!F15+EFS_Params!E15*LOG10($A$8))*1000000*$W$2*$W$4*(1+EFS_Params!B29*EFS_Params!$B$25)*(1+$I$8/100*EFS_Params!C32)*(1+($W$8-1)*0.5),0)</f>
        <v>213523</v>
      </c>
      <c r="I16" s="20">
        <f>ROUND(POWER(10,EFS_Params!F15+EFS_Params!E15*LOG10($A$8))*1000000*$W$2*$W$4*(1+EFS_Params!C29*EFS_Params!$B$25)*(1+$I$8/100*EFS_Params!C32)*(1+($W$8-1)*0.5),0)</f>
        <v>256793</v>
      </c>
      <c r="J16" s="19">
        <f>ROUND(POWER(10,EFS_Params!F15+EFS_Params!E15*LOG10($A$8))*1000000*$W$2*$W$4*(1+EFS_Params!D29*EFS_Params!$B$25)*(1+$I$8/100*EFS_Params!C32)*(1+($W$8-1)*0.5),0)</f>
        <v>300062</v>
      </c>
      <c r="K16" s="19">
        <f>ROUND(POWER(10,EFS_Params!F15+EFS_Params!E15*LOG10($A$8))*1000000*$W$2*$W$4*(1+EFS_Params!E29*EFS_Params!$B$25)*(1+$I$8/100*EFS_Params!C32)*(1+($W$8-1)*0.5),0)</f>
        <v>339095</v>
      </c>
      <c r="L16" s="18">
        <f>ROUND(IF($A$8&lt;=1,EFS_Params!C15*1000,EFS_Params!C15*POWER($A$8,LN(EFS_Params!D15/EFS_Params!C15)/LN(50))*1000)+(POWER(10,EFS_Params!F15+EFS_Params!E15*LOG10($A$8))*1000000-IF($A$8&lt;=1,EFS_Params!C15*1000,EFS_Params!C15*POWER($A$8,LN(EFS_Params!D15/EFS_Params!C15)/LN(50))*1000))/1.2*$W$2*$W$4*(1+EFS_Params!A29*EFS_Params!$B$25)*(1+$I$8/100*EFS_Params!C32)*(1+($W$8-1)*0.5),0)</f>
        <v>231174</v>
      </c>
      <c r="M16" s="19">
        <f>ROUND(IF($A$8&lt;=1,EFS_Params!C15*1000,EFS_Params!C15*POWER($A$8,LN(EFS_Params!D15/EFS_Params!C15)/LN(50))*1000)+(POWER(10,EFS_Params!F15+EFS_Params!E15*LOG10($A$8))*1000000-IF($A$8&lt;=1,EFS_Params!C15*1000,EFS_Params!C15*POWER($A$8,LN(EFS_Params!D15/EFS_Params!C15)/LN(50))*1000))/1.2*$W$2*$W$4*(1+EFS_Params!B29*EFS_Params!$B$25)*(1+$I$8/100*EFS_Params!C32)*(1+($W$8-1)*0.5),0)</f>
        <v>237106</v>
      </c>
      <c r="N16" s="20">
        <f>ROUND(IF($A$8&lt;=1,EFS_Params!C15*1000,EFS_Params!C15*POWER($A$8,LN(EFS_Params!D15/EFS_Params!C15)/LN(50))*1000)+(POWER(10,EFS_Params!F15+EFS_Params!E15*LOG10($A$8))*1000000-IF($A$8&lt;=1,EFS_Params!C15*1000,EFS_Params!C15*POWER($A$8,LN(EFS_Params!D15/EFS_Params!C15)/LN(50))*1000))/1.2*$W$2*$W$4*(1+EFS_Params!C29*EFS_Params!$B$25)*(1+$I$8/100*EFS_Params!C32)*(1+($W$8-1)*0.5),0)</f>
        <v>243682</v>
      </c>
      <c r="O16" s="19">
        <f>ROUND(IF($A$8&lt;=1,EFS_Params!C15*1000,EFS_Params!C15*POWER($A$8,LN(EFS_Params!D15/EFS_Params!C15)/LN(50))*1000)+(POWER(10,EFS_Params!F15+EFS_Params!E15*LOG10($A$8))*1000000-IF($A$8&lt;=1,EFS_Params!C15*1000,EFS_Params!C15*POWER($A$8,LN(EFS_Params!D15/EFS_Params!C15)/LN(50))*1000))/1.2*$W$2*$W$4*(1+EFS_Params!D29*EFS_Params!$B$25)*(1+$I$8/100*EFS_Params!C32)*(1+($W$8-1)*0.5),0)</f>
        <v>250258</v>
      </c>
      <c r="P16" s="19">
        <f>ROUND(IF($A$8&lt;=1,EFS_Params!C15*1000,EFS_Params!C15*POWER($A$8,LN(EFS_Params!D15/EFS_Params!C15)/LN(50))*1000)+(POWER(10,EFS_Params!F15+EFS_Params!E15*LOG10($A$8))*1000000-IF($A$8&lt;=1,EFS_Params!C15*1000,EFS_Params!C15*POWER($A$8,LN(EFS_Params!D15/EFS_Params!C15)/LN(50))*1000))/1.2*$W$2*$W$4*(1+EFS_Params!E29*EFS_Params!$B$25)*(1+$I$8/100*EFS_Params!C32)*(1+($W$8-1)*0.5),0)</f>
        <v>256190</v>
      </c>
      <c r="Q16" s="18">
        <f>ROUND(IF($A$8&lt;=1,EFS_Params!C15*1000,EFS_Params!C15*POWER($A$8,LN(EFS_Params!D15/EFS_Params!C15)/LN(50))*1000)+2*(POWER(10,EFS_Params!F15+EFS_Params!E15*LOG10($A$8))*1000000-IF($A$8&lt;=1,EFS_Params!C15*1000,EFS_Params!C15*POWER($A$8,LN(EFS_Params!D15/EFS_Params!C15)/LN(50))*1000))/1.2*$W$2*$W$4*(1+EFS_Params!A29*EFS_Params!$B$25)*(1+$I$8/100*EFS_Params!C32)*(1+($W$8-1)*0.5),0)</f>
        <v>257693</v>
      </c>
      <c r="R16" s="19">
        <f>ROUND(IF($A$8&lt;=1,EFS_Params!C15*1000,EFS_Params!C15*POWER($A$8,LN(EFS_Params!D15/EFS_Params!C15)/LN(50))*1000)+2*(POWER(10,EFS_Params!F15+EFS_Params!E15*LOG10($A$8))*1000000-IF($A$8&lt;=1,EFS_Params!C15*1000,EFS_Params!C15*POWER($A$8,LN(EFS_Params!D15/EFS_Params!C15)/LN(50))*1000))/1.2*$W$2*$W$4*(1+EFS_Params!B29*EFS_Params!$B$25)*(1+$I$8/100*EFS_Params!C32)*(1+($W$8-1)*0.5),0)</f>
        <v>269557</v>
      </c>
      <c r="S16" s="20">
        <f>ROUND(IF($A$8&lt;=1,EFS_Params!C15*1000,EFS_Params!C15*POWER($A$8,LN(EFS_Params!D15/EFS_Params!C15)/LN(50))*1000)+2*(POWER(10,EFS_Params!F15+EFS_Params!E15*LOG10($A$8))*1000000-IF($A$8&lt;=1,EFS_Params!C15*1000,EFS_Params!C15*POWER($A$8,LN(EFS_Params!D15/EFS_Params!C15)/LN(50))*1000))/1.2*$W$2*$W$4*(1+EFS_Params!C29*EFS_Params!$B$25)*(1+$I$8/100*EFS_Params!C32)*(1+($W$8-1)*0.5),0)</f>
        <v>282709</v>
      </c>
      <c r="T16" s="19">
        <f>ROUND(IF($A$8&lt;=1,EFS_Params!C15*1000,EFS_Params!C15*POWER($A$8,LN(EFS_Params!D15/EFS_Params!C15)/LN(50))*1000)+2*(POWER(10,EFS_Params!F15+EFS_Params!E15*LOG10($A$8))*1000000-IF($A$8&lt;=1,EFS_Params!C15*1000,EFS_Params!C15*POWER($A$8,LN(EFS_Params!D15/EFS_Params!C15)/LN(50))*1000))/1.2*$W$2*$W$4*(1+EFS_Params!D29*EFS_Params!$B$25)*(1+$I$8/100*EFS_Params!C32)*(1+($W$8-1)*0.5),0)</f>
        <v>295861</v>
      </c>
      <c r="U16" s="19">
        <f>ROUND(IF($A$8&lt;=1,EFS_Params!C15*1000,EFS_Params!C15*POWER($A$8,LN(EFS_Params!D15/EFS_Params!C15)/LN(50))*1000)+2*(POWER(10,EFS_Params!F15+EFS_Params!E15*LOG10($A$8))*1000000-IF($A$8&lt;=1,EFS_Params!C15*1000,EFS_Params!C15*POWER($A$8,LN(EFS_Params!D15/EFS_Params!C15)/LN(50))*1000))/1.2*$W$2*$W$4*(1+EFS_Params!E29*EFS_Params!$B$25)*(1+$I$8/100*EFS_Params!C32)*(1+($W$8-1)*0.5),0)</f>
        <v>307726</v>
      </c>
      <c r="V16" s="5"/>
      <c r="W16" s="5"/>
    </row>
    <row r="17" spans="1:23" ht="18" customHeight="1" x14ac:dyDescent="0.3">
      <c r="A17" s="21" t="s">
        <v>47</v>
      </c>
      <c r="B17" s="22">
        <f>ROUND(IF($A$8&lt;=1,EFS_Params!C16*1000,EFS_Params!C16*POWER($A$8,LN(EFS_Params!D16/EFS_Params!C16)/LN(50))*1000)*$W$2*$W$4*(1+EFS_Params!A29*EFS_Params!$B$25)*(1+($W$8-1)*0.6),0)</f>
        <v>193938</v>
      </c>
      <c r="C17" s="23">
        <f>ROUND(IF($A$8&lt;=1,EFS_Params!C16*1000,EFS_Params!C16*POWER($A$8,LN(EFS_Params!D16/EFS_Params!C16)/LN(50))*1000)*$W$2*$W$4*(1+EFS_Params!B29*EFS_Params!$B$25)*(1+($W$8-1)*0.6),0)</f>
        <v>237320</v>
      </c>
      <c r="D17" s="20">
        <f>ROUND(IF($A$8&lt;=1,EFS_Params!C16*1000,EFS_Params!C16*POWER($A$8,LN(EFS_Params!D16/EFS_Params!C16)/LN(50))*1000)*$W$2*$W$4*(1+EFS_Params!C29*EFS_Params!$B$25)*(1+($W$8-1)*0.6),0)</f>
        <v>285412</v>
      </c>
      <c r="E17" s="23">
        <f>ROUND(IF($A$8&lt;=1,EFS_Params!C16*1000,EFS_Params!C16*POWER($A$8,LN(EFS_Params!D16/EFS_Params!C16)/LN(50))*1000)*$W$2*$W$4*(1+EFS_Params!D29*EFS_Params!$B$25)*(1+($W$8-1)*0.6),0)</f>
        <v>333504</v>
      </c>
      <c r="F17" s="23">
        <f>ROUND(IF($A$8&lt;=1,EFS_Params!C16*1000,EFS_Params!C16*POWER($A$8,LN(EFS_Params!D16/EFS_Params!C16)/LN(50))*1000)*$W$2*$W$4*(1+EFS_Params!E29*EFS_Params!$B$25)*(1+($W$8-1)*0.6),0)</f>
        <v>376887</v>
      </c>
      <c r="G17" s="22">
        <f>ROUND(POWER(10,EFS_Params!F16+EFS_Params!E16*LOG10($A$8))*1000000*$W$2*$W$4*(1+EFS_Params!A29*EFS_Params!$B$25)*(1+$I$8/100*EFS_Params!D32)*(1+($W$8-1)*0.6),0)</f>
        <v>257409</v>
      </c>
      <c r="H17" s="23">
        <f>ROUND(POWER(10,EFS_Params!F16+EFS_Params!E16*LOG10($A$8))*1000000*$W$2*$W$4*(1+EFS_Params!B29*EFS_Params!$B$25)*(1+$I$8/100*EFS_Params!D32)*(1+($W$8-1)*0.6),0)</f>
        <v>314990</v>
      </c>
      <c r="I17" s="20">
        <f>ROUND(POWER(10,EFS_Params!F16+EFS_Params!E16*LOG10($A$8))*1000000*$W$2*$W$4*(1+EFS_Params!C29*EFS_Params!$B$25)*(1+$I$8/100*EFS_Params!D32)*(1+($W$8-1)*0.6),0)</f>
        <v>378821</v>
      </c>
      <c r="J17" s="23">
        <f>ROUND(POWER(10,EFS_Params!F16+EFS_Params!E16*LOG10($A$8))*1000000*$W$2*$W$4*(1+EFS_Params!D29*EFS_Params!$B$25)*(1+$I$8/100*EFS_Params!D32)*(1+($W$8-1)*0.6),0)</f>
        <v>442652</v>
      </c>
      <c r="K17" s="23">
        <f>ROUND(POWER(10,EFS_Params!F16+EFS_Params!E16*LOG10($A$8))*1000000*$W$2*$W$4*(1+EFS_Params!E29*EFS_Params!$B$25)*(1+$I$8/100*EFS_Params!D32)*(1+($W$8-1)*0.6),0)</f>
        <v>500233</v>
      </c>
      <c r="L17" s="22">
        <f>ROUND(IF($A$8&lt;=1,EFS_Params!C16*1000,EFS_Params!C16*POWER($A$8,LN(EFS_Params!D16/EFS_Params!C16)/LN(50))*1000)+(POWER(10,EFS_Params!F16+EFS_Params!E16*LOG10($A$8))*1000000-IF($A$8&lt;=1,EFS_Params!C16*1000,EFS_Params!C16*POWER($A$8,LN(EFS_Params!D16/EFS_Params!C16)/LN(50))*1000))/1.2*$W$2*$W$4*(1+EFS_Params!A29*EFS_Params!$B$25)*(1+$I$8/100*EFS_Params!D32)*(1+($W$8-1)*0.6),0)</f>
        <v>331146</v>
      </c>
      <c r="M17" s="23">
        <f>ROUND(IF($A$8&lt;=1,EFS_Params!C16*1000,EFS_Params!C16*POWER($A$8,LN(EFS_Params!D16/EFS_Params!C16)/LN(50))*1000)+(POWER(10,EFS_Params!F16+EFS_Params!E16*LOG10($A$8))*1000000-IF($A$8&lt;=1,EFS_Params!C16*1000,EFS_Params!C16*POWER($A$8,LN(EFS_Params!D16/EFS_Params!C16)/LN(50))*1000))/1.2*$W$2*$W$4*(1+EFS_Params!B29*EFS_Params!$B$25)*(1+$I$8/100*EFS_Params!D32)*(1+($W$8-1)*0.6),0)</f>
        <v>342617</v>
      </c>
      <c r="N17" s="20">
        <f>ROUND(IF($A$8&lt;=1,EFS_Params!C16*1000,EFS_Params!C16*POWER($A$8,LN(EFS_Params!D16/EFS_Params!C16)/LN(50))*1000)+(POWER(10,EFS_Params!F16+EFS_Params!E16*LOG10($A$8))*1000000-IF($A$8&lt;=1,EFS_Params!C16*1000,EFS_Params!C16*POWER($A$8,LN(EFS_Params!D16/EFS_Params!C16)/LN(50))*1000))/1.2*$W$2*$W$4*(1+EFS_Params!C29*EFS_Params!$B$25)*(1+$I$8/100*EFS_Params!D32)*(1+($W$8-1)*0.6),0)</f>
        <v>355332</v>
      </c>
      <c r="O17" s="23">
        <f>ROUND(IF($A$8&lt;=1,EFS_Params!C16*1000,EFS_Params!C16*POWER($A$8,LN(EFS_Params!D16/EFS_Params!C16)/LN(50))*1000)+(POWER(10,EFS_Params!F16+EFS_Params!E16*LOG10($A$8))*1000000-IF($A$8&lt;=1,EFS_Params!C16*1000,EFS_Params!C16*POWER($A$8,LN(EFS_Params!D16/EFS_Params!C16)/LN(50))*1000))/1.2*$W$2*$W$4*(1+EFS_Params!D29*EFS_Params!$B$25)*(1+$I$8/100*EFS_Params!D32)*(1+($W$8-1)*0.6),0)</f>
        <v>368047</v>
      </c>
      <c r="P17" s="23">
        <f>ROUND(IF($A$8&lt;=1,EFS_Params!C16*1000,EFS_Params!C16*POWER($A$8,LN(EFS_Params!D16/EFS_Params!C16)/LN(50))*1000)+(POWER(10,EFS_Params!F16+EFS_Params!E16*LOG10($A$8))*1000000-IF($A$8&lt;=1,EFS_Params!C16*1000,EFS_Params!C16*POWER($A$8,LN(EFS_Params!D16/EFS_Params!C16)/LN(50))*1000))/1.2*$W$2*$W$4*(1+EFS_Params!E29*EFS_Params!$B$25)*(1+$I$8/100*EFS_Params!D32)*(1+($W$8-1)*0.6),0)</f>
        <v>379518</v>
      </c>
      <c r="Q17" s="22">
        <f>ROUND(IF($A$8&lt;=1,EFS_Params!C16*1000,EFS_Params!C16*POWER($A$8,LN(EFS_Params!D16/EFS_Params!C16)/LN(50))*1000)+2*(POWER(10,EFS_Params!F16+EFS_Params!E16*LOG10($A$8))*1000000-IF($A$8&lt;=1,EFS_Params!C16*1000,EFS_Params!C16*POWER($A$8,LN(EFS_Params!D16/EFS_Params!C16)/LN(50))*1000))/1.2*$W$2*$W$4*(1+EFS_Params!A29*EFS_Params!$B$25)*(1+$I$8/100*EFS_Params!D32)*(1+($W$8-1)*0.6),0)</f>
        <v>382423</v>
      </c>
      <c r="R17" s="23">
        <f>ROUND(IF($A$8&lt;=1,EFS_Params!C16*1000,EFS_Params!C16*POWER($A$8,LN(EFS_Params!D16/EFS_Params!C16)/LN(50))*1000)+2*(POWER(10,EFS_Params!F16+EFS_Params!E16*LOG10($A$8))*1000000-IF($A$8&lt;=1,EFS_Params!C16*1000,EFS_Params!C16*POWER($A$8,LN(EFS_Params!D16/EFS_Params!C16)/LN(50))*1000))/1.2*$W$2*$W$4*(1+EFS_Params!B29*EFS_Params!$B$25)*(1+$I$8/100*EFS_Params!D32)*(1+($W$8-1)*0.6),0)</f>
        <v>405363</v>
      </c>
      <c r="S17" s="20">
        <f>ROUND(IF($A$8&lt;=1,EFS_Params!C16*1000,EFS_Params!C16*POWER($A$8,LN(EFS_Params!D16/EFS_Params!C16)/LN(50))*1000)+2*(POWER(10,EFS_Params!F16+EFS_Params!E16*LOG10($A$8))*1000000-IF($A$8&lt;=1,EFS_Params!C16*1000,EFS_Params!C16*POWER($A$8,LN(EFS_Params!D16/EFS_Params!C16)/LN(50))*1000))/1.2*$W$2*$W$4*(1+EFS_Params!C29*EFS_Params!$B$25)*(1+$I$8/100*EFS_Params!D32)*(1+($W$8-1)*0.6),0)</f>
        <v>430794</v>
      </c>
      <c r="T17" s="23">
        <f>ROUND(IF($A$8&lt;=1,EFS_Params!C16*1000,EFS_Params!C16*POWER($A$8,LN(EFS_Params!D16/EFS_Params!C16)/LN(50))*1000)+2*(POWER(10,EFS_Params!F16+EFS_Params!E16*LOG10($A$8))*1000000-IF($A$8&lt;=1,EFS_Params!C16*1000,EFS_Params!C16*POWER($A$8,LN(EFS_Params!D16/EFS_Params!C16)/LN(50))*1000))/1.2*$W$2*$W$4*(1+EFS_Params!D29*EFS_Params!$B$25)*(1+$I$8/100*EFS_Params!D32)*(1+($W$8-1)*0.6),0)</f>
        <v>456225</v>
      </c>
      <c r="U17" s="23">
        <f>ROUND(IF($A$8&lt;=1,EFS_Params!C16*1000,EFS_Params!C16*POWER($A$8,LN(EFS_Params!D16/EFS_Params!C16)/LN(50))*1000)+2*(POWER(10,EFS_Params!F16+EFS_Params!E16*LOG10($A$8))*1000000-IF($A$8&lt;=1,EFS_Params!C16*1000,EFS_Params!C16*POWER($A$8,LN(EFS_Params!D16/EFS_Params!C16)/LN(50))*1000))/1.2*$W$2*$W$4*(1+EFS_Params!E29*EFS_Params!$B$25)*(1+$I$8/100*EFS_Params!D32)*(1+($W$8-1)*0.6),0)</f>
        <v>479165</v>
      </c>
      <c r="V17" s="5"/>
      <c r="W17" s="5"/>
    </row>
    <row r="18" spans="1:23" ht="18" customHeight="1" x14ac:dyDescent="0.3">
      <c r="A18" s="17" t="s">
        <v>48</v>
      </c>
      <c r="B18" s="18">
        <f>ROUND(IF($A$8&lt;=1,EFS_Params!C17*1000,EFS_Params!C17*POWER($A$8,LN(EFS_Params!D17/EFS_Params!C17)/LN(50))*1000)*$W$2*$W$4*(1+EFS_Params!A29*EFS_Params!$B$25)*(1+($W$8-1)*0.7),0)</f>
        <v>239923</v>
      </c>
      <c r="C18" s="19">
        <f>ROUND(IF($A$8&lt;=1,EFS_Params!C17*1000,EFS_Params!C17*POWER($A$8,LN(EFS_Params!D17/EFS_Params!C17)/LN(50))*1000)*$W$2*$W$4*(1+EFS_Params!B29*EFS_Params!$B$25)*(1+($W$8-1)*0.7),0)</f>
        <v>293592</v>
      </c>
      <c r="D18" s="20">
        <f>ROUND(IF($A$8&lt;=1,EFS_Params!C17*1000,EFS_Params!C17*POWER($A$8,LN(EFS_Params!D17/EFS_Params!C17)/LN(50))*1000)*$W$2*$W$4*(1+EFS_Params!C29*EFS_Params!$B$25)*(1+($W$8-1)*0.7),0)</f>
        <v>353088</v>
      </c>
      <c r="E18" s="19">
        <f>ROUND(IF($A$8&lt;=1,EFS_Params!C17*1000,EFS_Params!C17*POWER($A$8,LN(EFS_Params!D17/EFS_Params!C17)/LN(50))*1000)*$W$2*$W$4*(1+EFS_Params!D29*EFS_Params!$B$25)*(1+($W$8-1)*0.7),0)</f>
        <v>412583</v>
      </c>
      <c r="F18" s="19">
        <f>ROUND(IF($A$8&lt;=1,EFS_Params!C17*1000,EFS_Params!C17*POWER($A$8,LN(EFS_Params!D17/EFS_Params!C17)/LN(50))*1000)*$W$2*$W$4*(1+EFS_Params!E29*EFS_Params!$B$25)*(1+($W$8-1)*0.7),0)</f>
        <v>466252</v>
      </c>
      <c r="G18" s="18">
        <f>ROUND(POWER(10,EFS_Params!F17+EFS_Params!E17*LOG10($A$8))*1000000*$W$2*$W$4*(1+EFS_Params!A29*EFS_Params!$B$25)*(1+$I$8/100*EFS_Params!E32)*(1+($W$8-1)*0.7),0)</f>
        <v>343631</v>
      </c>
      <c r="H18" s="19">
        <f>ROUND(POWER(10,EFS_Params!F17+EFS_Params!E17*LOG10($A$8))*1000000*$W$2*$W$4*(1+EFS_Params!B29*EFS_Params!$B$25)*(1+$I$8/100*EFS_Params!E32)*(1+($W$8-1)*0.7),0)</f>
        <v>420500</v>
      </c>
      <c r="I18" s="20">
        <f>ROUND(POWER(10,EFS_Params!F17+EFS_Params!E17*LOG10($A$8))*1000000*$W$2*$W$4*(1+EFS_Params!C29*EFS_Params!$B$25)*(1+$I$8/100*EFS_Params!E32)*(1+($W$8-1)*0.7),0)</f>
        <v>505712</v>
      </c>
      <c r="J18" s="19">
        <f>ROUND(POWER(10,EFS_Params!F17+EFS_Params!E17*LOG10($A$8))*1000000*$W$2*$W$4*(1+EFS_Params!D29*EFS_Params!$B$25)*(1+$I$8/100*EFS_Params!E32)*(1+($W$8-1)*0.7),0)</f>
        <v>590925</v>
      </c>
      <c r="K18" s="19">
        <f>ROUND(POWER(10,EFS_Params!F17+EFS_Params!E17*LOG10($A$8))*1000000*$W$2*$W$4*(1+EFS_Params!E29*EFS_Params!$B$25)*(1+$I$8/100*EFS_Params!E32)*(1+($W$8-1)*0.7),0)</f>
        <v>667793</v>
      </c>
      <c r="L18" s="18">
        <f>ROUND(IF($A$8&lt;=1,EFS_Params!C17*1000,EFS_Params!C17*POWER($A$8,LN(EFS_Params!D17/EFS_Params!C17)/LN(50))*1000)+(POWER(10,EFS_Params!F17+EFS_Params!E17*LOG10($A$8))*1000000-IF($A$8&lt;=1,EFS_Params!C17*1000,EFS_Params!C17*POWER($A$8,LN(EFS_Params!D17/EFS_Params!C17)/LN(50))*1000))/1.2*$W$2*$W$4*(1+EFS_Params!A29*EFS_Params!$B$25)*(1+$I$8/100*EFS_Params!E32)*(1+($W$8-1)*0.7),0)</f>
        <v>429456</v>
      </c>
      <c r="M18" s="19">
        <f>ROUND(IF($A$8&lt;=1,EFS_Params!C17*1000,EFS_Params!C17*POWER($A$8,LN(EFS_Params!D17/EFS_Params!C17)/LN(50))*1000)+(POWER(10,EFS_Params!F17+EFS_Params!E17*LOG10($A$8))*1000000-IF($A$8&lt;=1,EFS_Params!C17*1000,EFS_Params!C17*POWER($A$8,LN(EFS_Params!D17/EFS_Params!C17)/LN(50))*1000))/1.2*$W$2*$W$4*(1+EFS_Params!B29*EFS_Params!$B$25)*(1+$I$8/100*EFS_Params!E32)*(1+($W$8-1)*0.7),0)</f>
        <v>448072</v>
      </c>
      <c r="N18" s="20">
        <f>ROUND(IF($A$8&lt;=1,EFS_Params!C17*1000,EFS_Params!C17*POWER($A$8,LN(EFS_Params!D17/EFS_Params!C17)/LN(50))*1000)+(POWER(10,EFS_Params!F17+EFS_Params!E17*LOG10($A$8))*1000000-IF($A$8&lt;=1,EFS_Params!C17*1000,EFS_Params!C17*POWER($A$8,LN(EFS_Params!D17/EFS_Params!C17)/LN(50))*1000))/1.2*$W$2*$W$4*(1+EFS_Params!C29*EFS_Params!$B$25)*(1+$I$8/100*EFS_Params!E32)*(1+($W$8-1)*0.7),0)</f>
        <v>468710</v>
      </c>
      <c r="O18" s="19">
        <f>ROUND(IF($A$8&lt;=1,EFS_Params!C17*1000,EFS_Params!C17*POWER($A$8,LN(EFS_Params!D17/EFS_Params!C17)/LN(50))*1000)+(POWER(10,EFS_Params!F17+EFS_Params!E17*LOG10($A$8))*1000000-IF($A$8&lt;=1,EFS_Params!C17*1000,EFS_Params!C17*POWER($A$8,LN(EFS_Params!D17/EFS_Params!C17)/LN(50))*1000))/1.2*$W$2*$W$4*(1+EFS_Params!D29*EFS_Params!$B$25)*(1+$I$8/100*EFS_Params!E32)*(1+($W$8-1)*0.7),0)</f>
        <v>489348</v>
      </c>
      <c r="P18" s="19">
        <f>ROUND(IF($A$8&lt;=1,EFS_Params!C17*1000,EFS_Params!C17*POWER($A$8,LN(EFS_Params!D17/EFS_Params!C17)/LN(50))*1000)+(POWER(10,EFS_Params!F17+EFS_Params!E17*LOG10($A$8))*1000000-IF($A$8&lt;=1,EFS_Params!C17*1000,EFS_Params!C17*POWER($A$8,LN(EFS_Params!D17/EFS_Params!C17)/LN(50))*1000))/1.2*$W$2*$W$4*(1+EFS_Params!E29*EFS_Params!$B$25)*(1+$I$8/100*EFS_Params!E32)*(1+($W$8-1)*0.7),0)</f>
        <v>507965</v>
      </c>
      <c r="Q18" s="18">
        <f>ROUND(IF($A$8&lt;=1,EFS_Params!C17*1000,EFS_Params!C17*POWER($A$8,LN(EFS_Params!D17/EFS_Params!C17)/LN(50))*1000)+2*(POWER(10,EFS_Params!F17+EFS_Params!E17*LOG10($A$8))*1000000-IF($A$8&lt;=1,EFS_Params!C17*1000,EFS_Params!C17*POWER($A$8,LN(EFS_Params!D17/EFS_Params!C17)/LN(50))*1000))/1.2*$W$2*$W$4*(1+EFS_Params!A29*EFS_Params!$B$25)*(1+$I$8/100*EFS_Params!E32)*(1+($W$8-1)*0.7),0)</f>
        <v>512680</v>
      </c>
      <c r="R18" s="19">
        <f>ROUND(IF($A$8&lt;=1,EFS_Params!C17*1000,EFS_Params!C17*POWER($A$8,LN(EFS_Params!D17/EFS_Params!C17)/LN(50))*1000)+2*(POWER(10,EFS_Params!F17+EFS_Params!E17*LOG10($A$8))*1000000-IF($A$8&lt;=1,EFS_Params!C17*1000,EFS_Params!C17*POWER($A$8,LN(EFS_Params!D17/EFS_Params!C17)/LN(50))*1000))/1.2*$W$2*$W$4*(1+EFS_Params!B29*EFS_Params!$B$25)*(1+$I$8/100*EFS_Params!E32)*(1+($W$8-1)*0.7),0)</f>
        <v>549914</v>
      </c>
      <c r="S18" s="20">
        <f>ROUND(IF($A$8&lt;=1,EFS_Params!C17*1000,EFS_Params!C17*POWER($A$8,LN(EFS_Params!D17/EFS_Params!C17)/LN(50))*1000)+2*(POWER(10,EFS_Params!F17+EFS_Params!E17*LOG10($A$8))*1000000-IF($A$8&lt;=1,EFS_Params!C17*1000,EFS_Params!C17*POWER($A$8,LN(EFS_Params!D17/EFS_Params!C17)/LN(50))*1000))/1.2*$W$2*$W$4*(1+EFS_Params!C29*EFS_Params!$B$25)*(1+$I$8/100*EFS_Params!E32)*(1+($W$8-1)*0.7),0)</f>
        <v>591189</v>
      </c>
      <c r="T18" s="19">
        <f>ROUND(IF($A$8&lt;=1,EFS_Params!C17*1000,EFS_Params!C17*POWER($A$8,LN(EFS_Params!D17/EFS_Params!C17)/LN(50))*1000)+2*(POWER(10,EFS_Params!F17+EFS_Params!E17*LOG10($A$8))*1000000-IF($A$8&lt;=1,EFS_Params!C17*1000,EFS_Params!C17*POWER($A$8,LN(EFS_Params!D17/EFS_Params!C17)/LN(50))*1000))/1.2*$W$2*$W$4*(1+EFS_Params!D29*EFS_Params!$B$25)*(1+$I$8/100*EFS_Params!E32)*(1+($W$8-1)*0.7),0)</f>
        <v>632465</v>
      </c>
      <c r="U18" s="19">
        <f>ROUND(IF($A$8&lt;=1,EFS_Params!C17*1000,EFS_Params!C17*POWER($A$8,LN(EFS_Params!D17/EFS_Params!C17)/LN(50))*1000)+2*(POWER(10,EFS_Params!F17+EFS_Params!E17*LOG10($A$8))*1000000-IF($A$8&lt;=1,EFS_Params!C17*1000,EFS_Params!C17*POWER($A$8,LN(EFS_Params!D17/EFS_Params!C17)/LN(50))*1000))/1.2*$W$2*$W$4*(1+EFS_Params!E29*EFS_Params!$B$25)*(1+$I$8/100*EFS_Params!E32)*(1+($W$8-1)*0.7),0)</f>
        <v>669699</v>
      </c>
      <c r="V18" s="5"/>
      <c r="W18" s="5"/>
    </row>
    <row r="19" spans="1:23" ht="18" customHeight="1" x14ac:dyDescent="0.3">
      <c r="A19" s="21" t="s">
        <v>49</v>
      </c>
      <c r="B19" s="22">
        <f>ROUND(IF($A$8&lt;=1,EFS_Params!C18*1000,EFS_Params!C18*POWER($A$8,LN(EFS_Params!D18/EFS_Params!C18)/LN(50))*1000)*$W$2*$W$4*(1+EFS_Params!A29*EFS_Params!$B$25)*(1+($W$8-1)*0.8),0)</f>
        <v>325569</v>
      </c>
      <c r="C19" s="23">
        <f>ROUND(IF($A$8&lt;=1,EFS_Params!C18*1000,EFS_Params!C18*POWER($A$8,LN(EFS_Params!D18/EFS_Params!C18)/LN(50))*1000)*$W$2*$W$4*(1+EFS_Params!B29*EFS_Params!$B$25)*(1+($W$8-1)*0.8),0)</f>
        <v>398396</v>
      </c>
      <c r="D19" s="20">
        <f>ROUND(IF($A$8&lt;=1,EFS_Params!C18*1000,EFS_Params!C18*POWER($A$8,LN(EFS_Params!D18/EFS_Params!C18)/LN(50))*1000)*$W$2*$W$4*(1+EFS_Params!C29*EFS_Params!$B$25)*(1+($W$8-1)*0.8),0)</f>
        <v>479130</v>
      </c>
      <c r="E19" s="23">
        <f>ROUND(IF($A$8&lt;=1,EFS_Params!C18*1000,EFS_Params!C18*POWER($A$8,LN(EFS_Params!D18/EFS_Params!C18)/LN(50))*1000)*$W$2*$W$4*(1+EFS_Params!D29*EFS_Params!$B$25)*(1+($W$8-1)*0.8),0)</f>
        <v>559863</v>
      </c>
      <c r="F19" s="23">
        <f>ROUND(IF($A$8&lt;=1,EFS_Params!C18*1000,EFS_Params!C18*POWER($A$8,LN(EFS_Params!D18/EFS_Params!C18)/LN(50))*1000)*$W$2*$W$4*(1+EFS_Params!E29*EFS_Params!$B$25)*(1+($W$8-1)*0.8),0)</f>
        <v>632691</v>
      </c>
      <c r="G19" s="22">
        <f>ROUND(POWER(10,EFS_Params!F18+EFS_Params!E18*LOG10($A$8))*1000000*$W$2*$W$4*(1+EFS_Params!A29*EFS_Params!$B$25)*(1+$I$8/100*EFS_Params!F32)*(1+($W$8-1)*0.8),0)</f>
        <v>573836</v>
      </c>
      <c r="H19" s="23">
        <f>ROUND(POWER(10,EFS_Params!F18+EFS_Params!E18*LOG10($A$8))*1000000*$W$2*$W$4*(1+EFS_Params!B29*EFS_Params!$B$25)*(1+$I$8/100*EFS_Params!F32)*(1+($W$8-1)*0.8),0)</f>
        <v>702200</v>
      </c>
      <c r="I19" s="20">
        <f>ROUND(POWER(10,EFS_Params!F18+EFS_Params!E18*LOG10($A$8))*1000000*$W$2*$W$4*(1+EFS_Params!C29*EFS_Params!$B$25)*(1+$I$8/100*EFS_Params!F32)*(1+($W$8-1)*0.8),0)</f>
        <v>844498</v>
      </c>
      <c r="J19" s="23">
        <f>ROUND(POWER(10,EFS_Params!F18+EFS_Params!E18*LOG10($A$8))*1000000*$W$2*$W$4*(1+EFS_Params!D29*EFS_Params!$B$25)*(1+$I$8/100*EFS_Params!F32)*(1+($W$8-1)*0.8),0)</f>
        <v>986796</v>
      </c>
      <c r="K19" s="23">
        <f>ROUND(POWER(10,EFS_Params!F18+EFS_Params!E18*LOG10($A$8))*1000000*$W$2*$W$4*(1+EFS_Params!E29*EFS_Params!$B$25)*(1+$I$8/100*EFS_Params!F32)*(1+($W$8-1)*0.8),0)</f>
        <v>1115159</v>
      </c>
      <c r="L19" s="22">
        <f>ROUND(IF($A$8&lt;=1,EFS_Params!C18*1000,EFS_Params!C18*POWER($A$8,LN(EFS_Params!D18/EFS_Params!C18)/LN(50))*1000)+(POWER(10,EFS_Params!F18+EFS_Params!E18*LOG10($A$8))*1000000-IF($A$8&lt;=1,EFS_Params!C18*1000,EFS_Params!C18*POWER($A$8,LN(EFS_Params!D18/EFS_Params!C18)/LN(50))*1000))/1.2*$W$2*$W$4*(1+EFS_Params!A29*EFS_Params!$B$25)*(1+$I$8/100*EFS_Params!F32)*(1+($W$8-1)*0.8),0)</f>
        <v>670203</v>
      </c>
      <c r="M19" s="23">
        <f>ROUND(IF($A$8&lt;=1,EFS_Params!C18*1000,EFS_Params!C18*POWER($A$8,LN(EFS_Params!D18/EFS_Params!C18)/LN(50))*1000)+(POWER(10,EFS_Params!F18+EFS_Params!E18*LOG10($A$8))*1000000-IF($A$8&lt;=1,EFS_Params!C18*1000,EFS_Params!C18*POWER($A$8,LN(EFS_Params!D18/EFS_Params!C18)/LN(50))*1000))/1.2*$W$2*$W$4*(1+EFS_Params!B29*EFS_Params!$B$25)*(1+$I$8/100*EFS_Params!F32)*(1+($W$8-1)*0.8),0)</f>
        <v>715027</v>
      </c>
      <c r="N19" s="20">
        <f>ROUND(IF($A$8&lt;=1,EFS_Params!C18*1000,EFS_Params!C18*POWER($A$8,LN(EFS_Params!D18/EFS_Params!C18)/LN(50))*1000)+(POWER(10,EFS_Params!F18+EFS_Params!E18*LOG10($A$8))*1000000-IF($A$8&lt;=1,EFS_Params!C18*1000,EFS_Params!C18*POWER($A$8,LN(EFS_Params!D18/EFS_Params!C18)/LN(50))*1000))/1.2*$W$2*$W$4*(1+EFS_Params!C29*EFS_Params!$B$25)*(1+$I$8/100*EFS_Params!F32)*(1+($W$8-1)*0.8),0)</f>
        <v>764716</v>
      </c>
      <c r="O19" s="23">
        <f>ROUND(IF($A$8&lt;=1,EFS_Params!C18*1000,EFS_Params!C18*POWER($A$8,LN(EFS_Params!D18/EFS_Params!C18)/LN(50))*1000)+(POWER(10,EFS_Params!F18+EFS_Params!E18*LOG10($A$8))*1000000-IF($A$8&lt;=1,EFS_Params!C18*1000,EFS_Params!C18*POWER($A$8,LN(EFS_Params!D18/EFS_Params!C18)/LN(50))*1000))/1.2*$W$2*$W$4*(1+EFS_Params!D29*EFS_Params!$B$25)*(1+$I$8/100*EFS_Params!F32)*(1+($W$8-1)*0.8),0)</f>
        <v>814405</v>
      </c>
      <c r="P19" s="23">
        <f>ROUND(IF($A$8&lt;=1,EFS_Params!C18*1000,EFS_Params!C18*POWER($A$8,LN(EFS_Params!D18/EFS_Params!C18)/LN(50))*1000)+(POWER(10,EFS_Params!F18+EFS_Params!E18*LOG10($A$8))*1000000-IF($A$8&lt;=1,EFS_Params!C18*1000,EFS_Params!C18*POWER($A$8,LN(EFS_Params!D18/EFS_Params!C18)/LN(50))*1000))/1.2*$W$2*$W$4*(1+EFS_Params!E29*EFS_Params!$B$25)*(1+$I$8/100*EFS_Params!F32)*(1+($W$8-1)*0.8),0)</f>
        <v>859229</v>
      </c>
      <c r="Q19" s="22">
        <f>ROUND(IF($A$8&lt;=1,EFS_Params!C18*1000,EFS_Params!C18*POWER($A$8,LN(EFS_Params!D18/EFS_Params!C18)/LN(50))*1000)+2*(POWER(10,EFS_Params!F18+EFS_Params!E18*LOG10($A$8))*1000000-IF($A$8&lt;=1,EFS_Params!C18*1000,EFS_Params!C18*POWER($A$8,LN(EFS_Params!D18/EFS_Params!C18)/LN(50))*1000))/1.2*$W$2*$W$4*(1+EFS_Params!A29*EFS_Params!$B$25)*(1+$I$8/100*EFS_Params!F32)*(1+($W$8-1)*0.8),0)</f>
        <v>870582</v>
      </c>
      <c r="R19" s="23">
        <f>ROUND(IF($A$8&lt;=1,EFS_Params!C18*1000,EFS_Params!C18*POWER($A$8,LN(EFS_Params!D18/EFS_Params!C18)/LN(50))*1000)+2*(POWER(10,EFS_Params!F18+EFS_Params!E18*LOG10($A$8))*1000000-IF($A$8&lt;=1,EFS_Params!C18*1000,EFS_Params!C18*POWER($A$8,LN(EFS_Params!D18/EFS_Params!C18)/LN(50))*1000))/1.2*$W$2*$W$4*(1+EFS_Params!B29*EFS_Params!$B$25)*(1+$I$8/100*EFS_Params!F32)*(1+($W$8-1)*0.8),0)</f>
        <v>960229</v>
      </c>
      <c r="S19" s="20">
        <f>ROUND(IF($A$8&lt;=1,EFS_Params!C18*1000,EFS_Params!C18*POWER($A$8,LN(EFS_Params!D18/EFS_Params!C18)/LN(50))*1000)+2*(POWER(10,EFS_Params!F18+EFS_Params!E18*LOG10($A$8))*1000000-IF($A$8&lt;=1,EFS_Params!C18*1000,EFS_Params!C18*POWER($A$8,LN(EFS_Params!D18/EFS_Params!C18)/LN(50))*1000))/1.2*$W$2*$W$4*(1+EFS_Params!C29*EFS_Params!$B$25)*(1+$I$8/100*EFS_Params!F32)*(1+($W$8-1)*0.8),0)</f>
        <v>1059607</v>
      </c>
      <c r="T19" s="23">
        <f>ROUND(IF($A$8&lt;=1,EFS_Params!C18*1000,EFS_Params!C18*POWER($A$8,LN(EFS_Params!D18/EFS_Params!C18)/LN(50))*1000)+2*(POWER(10,EFS_Params!F18+EFS_Params!E18*LOG10($A$8))*1000000-IF($A$8&lt;=1,EFS_Params!C18*1000,EFS_Params!C18*POWER($A$8,LN(EFS_Params!D18/EFS_Params!C18)/LN(50))*1000))/1.2*$W$2*$W$4*(1+EFS_Params!D29*EFS_Params!$B$25)*(1+$I$8/100*EFS_Params!F32)*(1+($W$8-1)*0.8),0)</f>
        <v>1158985</v>
      </c>
      <c r="U19" s="23">
        <f>ROUND(IF($A$8&lt;=1,EFS_Params!C18*1000,EFS_Params!C18*POWER($A$8,LN(EFS_Params!D18/EFS_Params!C18)/LN(50))*1000)+2*(POWER(10,EFS_Params!F18+EFS_Params!E18*LOG10($A$8))*1000000-IF($A$8&lt;=1,EFS_Params!C18*1000,EFS_Params!C18*POWER($A$8,LN(EFS_Params!D18/EFS_Params!C18)/LN(50))*1000))/1.2*$W$2*$W$4*(1+EFS_Params!E29*EFS_Params!$B$25)*(1+$I$8/100*EFS_Params!F32)*(1+($W$8-1)*0.8),0)</f>
        <v>1248632</v>
      </c>
      <c r="V19" s="5"/>
      <c r="W19" s="5"/>
    </row>
    <row r="20" spans="1:23" ht="18" customHeight="1" x14ac:dyDescent="0.3">
      <c r="A20" s="17" t="s">
        <v>50</v>
      </c>
      <c r="B20" s="18">
        <f>ROUND(IF($A$8&lt;=1,EFS_Params!C19*1000,EFS_Params!C19*POWER($A$8,LN(EFS_Params!D19/EFS_Params!C19)/LN(50))*1000)*$W$2*$W$4*(1+EFS_Params!A29*EFS_Params!$B$25)*(1+($W$8-1)*0.9),0)</f>
        <v>343875</v>
      </c>
      <c r="C20" s="19">
        <f>ROUND(IF($A$8&lt;=1,EFS_Params!C19*1000,EFS_Params!C19*POWER($A$8,LN(EFS_Params!D19/EFS_Params!C19)/LN(50))*1000)*$W$2*$W$4*(1+EFS_Params!B29*EFS_Params!$B$25)*(1+($W$8-1)*0.9),0)</f>
        <v>420798</v>
      </c>
      <c r="D20" s="20">
        <f>ROUND(IF($A$8&lt;=1,EFS_Params!C19*1000,EFS_Params!C19*POWER($A$8,LN(EFS_Params!D19/EFS_Params!C19)/LN(50))*1000)*$W$2*$W$4*(1+EFS_Params!C29*EFS_Params!$B$25)*(1+($W$8-1)*0.9),0)</f>
        <v>506071</v>
      </c>
      <c r="E20" s="19">
        <f>ROUND(IF($A$8&lt;=1,EFS_Params!C19*1000,EFS_Params!C19*POWER($A$8,LN(EFS_Params!D19/EFS_Params!C19)/LN(50))*1000)*$W$2*$W$4*(1+EFS_Params!D29*EFS_Params!$B$25)*(1+($W$8-1)*0.9),0)</f>
        <v>591344</v>
      </c>
      <c r="F20" s="19">
        <f>ROUND(IF($A$8&lt;=1,EFS_Params!C19*1000,EFS_Params!C19*POWER($A$8,LN(EFS_Params!D19/EFS_Params!C19)/LN(50))*1000)*$W$2*$W$4*(1+EFS_Params!E29*EFS_Params!$B$25)*(1+($W$8-1)*0.9),0)</f>
        <v>668267</v>
      </c>
      <c r="G20" s="18">
        <f>ROUND(POWER(10,EFS_Params!F19+EFS_Params!E19*LOG10($A$8))*1000000*$W$2*$W$4*(1+EFS_Params!A29*EFS_Params!$B$25)*(1+$I$8/100*EFS_Params!G32)*(1+($W$8-1)*0.9),0)</f>
        <v>642588</v>
      </c>
      <c r="H20" s="19">
        <f>ROUND(POWER(10,EFS_Params!F19+EFS_Params!E19*LOG10($A$8))*1000000*$W$2*$W$4*(1+EFS_Params!B29*EFS_Params!$B$25)*(1+$I$8/100*EFS_Params!G32)*(1+($W$8-1)*0.9),0)</f>
        <v>786331</v>
      </c>
      <c r="I20" s="20">
        <f>ROUND(POWER(10,EFS_Params!F19+EFS_Params!E19*LOG10($A$8))*1000000*$W$2*$W$4*(1+EFS_Params!C29*EFS_Params!$B$25)*(1+$I$8/100*EFS_Params!G32)*(1+($W$8-1)*0.9),0)</f>
        <v>945678</v>
      </c>
      <c r="J20" s="19">
        <f>ROUND(POWER(10,EFS_Params!F19+EFS_Params!E19*LOG10($A$8))*1000000*$W$2*$W$4*(1+EFS_Params!D29*EFS_Params!$B$25)*(1+$I$8/100*EFS_Params!G32)*(1+($W$8-1)*0.9),0)</f>
        <v>1105024</v>
      </c>
      <c r="K20" s="19">
        <f>ROUND(POWER(10,EFS_Params!F19+EFS_Params!E19*LOG10($A$8))*1000000*$W$2*$W$4*(1+EFS_Params!E29*EFS_Params!$B$25)*(1+$I$8/100*EFS_Params!G32)*(1+($W$8-1)*0.9),0)</f>
        <v>1248767</v>
      </c>
      <c r="L20" s="18">
        <f>ROUND(IF($A$8&lt;=1,EFS_Params!C19*1000,EFS_Params!C19*POWER($A$8,LN(EFS_Params!D19/EFS_Params!C19)/LN(50))*1000)+(POWER(10,EFS_Params!F19+EFS_Params!E19*LOG10($A$8))*1000000-IF($A$8&lt;=1,EFS_Params!C19*1000,EFS_Params!C19*POWER($A$8,LN(EFS_Params!D19/EFS_Params!C19)/LN(50))*1000))/1.2*$W$2*$W$4*(1+EFS_Params!A29*EFS_Params!$B$25)*(1+$I$8/100*EFS_Params!G32)*(1+($W$8-1)*0.9),0)</f>
        <v>736001</v>
      </c>
      <c r="M20" s="19">
        <f>ROUND(IF($A$8&lt;=1,EFS_Params!C19*1000,EFS_Params!C19*POWER($A$8,LN(EFS_Params!D19/EFS_Params!C19)/LN(50))*1000)+(POWER(10,EFS_Params!F19+EFS_Params!E19*LOG10($A$8))*1000000-IF($A$8&lt;=1,EFS_Params!C19*1000,EFS_Params!C19*POWER($A$8,LN(EFS_Params!D19/EFS_Params!C19)/LN(50))*1000))/1.2*$W$2*$W$4*(1+EFS_Params!B29*EFS_Params!$B$25)*(1+$I$8/100*EFS_Params!G32)*(1+($W$8-1)*0.9),0)</f>
        <v>789633</v>
      </c>
      <c r="N20" s="20">
        <f>ROUND(IF($A$8&lt;=1,EFS_Params!C19*1000,EFS_Params!C19*POWER($A$8,LN(EFS_Params!D19/EFS_Params!C19)/LN(50))*1000)+(POWER(10,EFS_Params!F19+EFS_Params!E19*LOG10($A$8))*1000000-IF($A$8&lt;=1,EFS_Params!C19*1000,EFS_Params!C19*POWER($A$8,LN(EFS_Params!D19/EFS_Params!C19)/LN(50))*1000))/1.2*$W$2*$W$4*(1+EFS_Params!C29*EFS_Params!$B$25)*(1+$I$8/100*EFS_Params!G32)*(1+($W$8-1)*0.9),0)</f>
        <v>849087</v>
      </c>
      <c r="O20" s="19">
        <f>ROUND(IF($A$8&lt;=1,EFS_Params!C19*1000,EFS_Params!C19*POWER($A$8,LN(EFS_Params!D19/EFS_Params!C19)/LN(50))*1000)+(POWER(10,EFS_Params!F19+EFS_Params!E19*LOG10($A$8))*1000000-IF($A$8&lt;=1,EFS_Params!C19*1000,EFS_Params!C19*POWER($A$8,LN(EFS_Params!D19/EFS_Params!C19)/LN(50))*1000))/1.2*$W$2*$W$4*(1+EFS_Params!D29*EFS_Params!$B$25)*(1+$I$8/100*EFS_Params!G32)*(1+($W$8-1)*0.9),0)</f>
        <v>908541</v>
      </c>
      <c r="P20" s="19">
        <f>ROUND(IF($A$8&lt;=1,EFS_Params!C19*1000,EFS_Params!C19*POWER($A$8,LN(EFS_Params!D19/EFS_Params!C19)/LN(50))*1000)+(POWER(10,EFS_Params!F19+EFS_Params!E19*LOG10($A$8))*1000000-IF($A$8&lt;=1,EFS_Params!C19*1000,EFS_Params!C19*POWER($A$8,LN(EFS_Params!D19/EFS_Params!C19)/LN(50))*1000))/1.2*$W$2*$W$4*(1+EFS_Params!E29*EFS_Params!$B$25)*(1+$I$8/100*EFS_Params!G32)*(1+($W$8-1)*0.9),0)</f>
        <v>962174</v>
      </c>
      <c r="Q20" s="18">
        <f>ROUND(IF($A$8&lt;=1,EFS_Params!C19*1000,EFS_Params!C19*POWER($A$8,LN(EFS_Params!D19/EFS_Params!C19)/LN(50))*1000)+2*(POWER(10,EFS_Params!F19+EFS_Params!E19*LOG10($A$8))*1000000-IF($A$8&lt;=1,EFS_Params!C19*1000,EFS_Params!C19*POWER($A$8,LN(EFS_Params!D19/EFS_Params!C19)/LN(50))*1000))/1.2*$W$2*$W$4*(1+EFS_Params!A29*EFS_Params!$B$25)*(1+$I$8/100*EFS_Params!G32)*(1+($W$8-1)*0.9),0)</f>
        <v>975758</v>
      </c>
      <c r="R20" s="19">
        <f>ROUND(IF($A$8&lt;=1,EFS_Params!C19*1000,EFS_Params!C19*POWER($A$8,LN(EFS_Params!D19/EFS_Params!C19)/LN(50))*1000)+2*(POWER(10,EFS_Params!F19+EFS_Params!E19*LOG10($A$8))*1000000-IF($A$8&lt;=1,EFS_Params!C19*1000,EFS_Params!C19*POWER($A$8,LN(EFS_Params!D19/EFS_Params!C19)/LN(50))*1000))/1.2*$W$2*$W$4*(1+EFS_Params!B29*EFS_Params!$B$25)*(1+$I$8/100*EFS_Params!G32)*(1+($W$8-1)*0.9),0)</f>
        <v>1083023</v>
      </c>
      <c r="S20" s="20">
        <f>ROUND(IF($A$8&lt;=1,EFS_Params!C19*1000,EFS_Params!C19*POWER($A$8,LN(EFS_Params!D19/EFS_Params!C19)/LN(50))*1000)+2*(POWER(10,EFS_Params!F19+EFS_Params!E19*LOG10($A$8))*1000000-IF($A$8&lt;=1,EFS_Params!C19*1000,EFS_Params!C19*POWER($A$8,LN(EFS_Params!D19/EFS_Params!C19)/LN(50))*1000))/1.2*$W$2*$W$4*(1+EFS_Params!C29*EFS_Params!$B$25)*(1+$I$8/100*EFS_Params!G32)*(1+($W$8-1)*0.9),0)</f>
        <v>1201931</v>
      </c>
      <c r="T20" s="19">
        <f>ROUND(IF($A$8&lt;=1,EFS_Params!C19*1000,EFS_Params!C19*POWER($A$8,LN(EFS_Params!D19/EFS_Params!C19)/LN(50))*1000)+2*(POWER(10,EFS_Params!F19+EFS_Params!E19*LOG10($A$8))*1000000-IF($A$8&lt;=1,EFS_Params!C19*1000,EFS_Params!C19*POWER($A$8,LN(EFS_Params!D19/EFS_Params!C19)/LN(50))*1000))/1.2*$W$2*$W$4*(1+EFS_Params!D29*EFS_Params!$B$25)*(1+$I$8/100*EFS_Params!G32)*(1+($W$8-1)*0.9),0)</f>
        <v>1320839</v>
      </c>
      <c r="U20" s="19">
        <f>ROUND(IF($A$8&lt;=1,EFS_Params!C19*1000,EFS_Params!C19*POWER($A$8,LN(EFS_Params!D19/EFS_Params!C19)/LN(50))*1000)+2*(POWER(10,EFS_Params!F19+EFS_Params!E19*LOG10($A$8))*1000000-IF($A$8&lt;=1,EFS_Params!C19*1000,EFS_Params!C19*POWER($A$8,LN(EFS_Params!D19/EFS_Params!C19)/LN(50))*1000))/1.2*$W$2*$W$4*(1+EFS_Params!E29*EFS_Params!$B$25)*(1+$I$8/100*EFS_Params!G32)*(1+($W$8-1)*0.9),0)</f>
        <v>1428104</v>
      </c>
      <c r="V20" s="5"/>
      <c r="W20" s="5"/>
    </row>
    <row r="21" spans="1:23" ht="18" customHeight="1" x14ac:dyDescent="0.3">
      <c r="A21" s="24" t="s">
        <v>51</v>
      </c>
      <c r="B21" s="25">
        <f>ROUND(IF($A$8&lt;=1,EFS_Params!C20*1000,EFS_Params!C20*POWER($A$8,LN(EFS_Params!D20/EFS_Params!C20)/LN(50))*1000)*$W$2*$W$4*(1+EFS_Params!A29*EFS_Params!$B$25)*(1+($W$8-1)*1),0)</f>
        <v>534259</v>
      </c>
      <c r="C21" s="26">
        <f>ROUND(IF($A$8&lt;=1,EFS_Params!C20*1000,EFS_Params!C20*POWER($A$8,LN(EFS_Params!D20/EFS_Params!C20)/LN(50))*1000)*$W$2*$W$4*(1+EFS_Params!B29*EFS_Params!$B$25)*(1+($W$8-1)*1),0)</f>
        <v>653770</v>
      </c>
      <c r="D21" s="27">
        <f>ROUND(IF($A$8&lt;=1,EFS_Params!C20*1000,EFS_Params!C20*POWER($A$8,LN(EFS_Params!D20/EFS_Params!C20)/LN(50))*1000)*$W$2*$W$4*(1+EFS_Params!C29*EFS_Params!$B$25)*(1+($W$8-1)*1),0)</f>
        <v>786254</v>
      </c>
      <c r="E21" s="26">
        <f>ROUND(IF($A$8&lt;=1,EFS_Params!C20*1000,EFS_Params!C20*POWER($A$8,LN(EFS_Params!D20/EFS_Params!C20)/LN(50))*1000)*$W$2*$W$4*(1+EFS_Params!D29*EFS_Params!$B$25)*(1+($W$8-1)*1),0)</f>
        <v>918737</v>
      </c>
      <c r="F21" s="26">
        <f>ROUND(IF($A$8&lt;=1,EFS_Params!C20*1000,EFS_Params!C20*POWER($A$8,LN(EFS_Params!D20/EFS_Params!C20)/LN(50))*1000)*$W$2*$W$4*(1+EFS_Params!E29*EFS_Params!$B$25)*(1+($W$8-1)*1),0)</f>
        <v>1038248</v>
      </c>
      <c r="G21" s="25">
        <f>ROUND(POWER(10,EFS_Params!F20+EFS_Params!E20*LOG10($A$8))*1000000*$W$2*$W$4*(1+EFS_Params!A29*EFS_Params!$B$25)*(1+$I$8/100*EFS_Params!H32)*(1+($W$8-1)*1),0)</f>
        <v>1151505</v>
      </c>
      <c r="H21" s="26">
        <f>ROUND(POWER(10,EFS_Params!F20+EFS_Params!E20*LOG10($A$8))*1000000*$W$2*$W$4*(1+EFS_Params!B29*EFS_Params!$B$25)*(1+$I$8/100*EFS_Params!H32)*(1+($W$8-1)*1),0)</f>
        <v>1409089</v>
      </c>
      <c r="I21" s="27">
        <f>ROUND(POWER(10,EFS_Params!F20+EFS_Params!E20*LOG10($A$8))*1000000*$W$2*$W$4*(1+EFS_Params!C29*EFS_Params!$B$25)*(1+$I$8/100*EFS_Params!H32)*(1+($W$8-1)*1),0)</f>
        <v>1694635</v>
      </c>
      <c r="J21" s="26">
        <f>ROUND(POWER(10,EFS_Params!F20+EFS_Params!E20*LOG10($A$8))*1000000*$W$2*$W$4*(1+EFS_Params!D29*EFS_Params!$B$25)*(1+$I$8/100*EFS_Params!H32)*(1+($W$8-1)*1),0)</f>
        <v>1980181</v>
      </c>
      <c r="K21" s="26">
        <f>ROUND(POWER(10,EFS_Params!F20+EFS_Params!E20*LOG10($A$8))*1000000*$W$2*$W$4*(1+EFS_Params!E29*EFS_Params!$B$25)*(1+$I$8/100*EFS_Params!H32)*(1+($W$8-1)*1),0)</f>
        <v>2237766</v>
      </c>
      <c r="L21" s="25">
        <f>ROUND(IF($A$8&lt;=1,EFS_Params!C20*1000,EFS_Params!C20*POWER($A$8,LN(EFS_Params!D20/EFS_Params!C20)/LN(50))*1000)+(POWER(10,EFS_Params!F20+EFS_Params!E20*LOG10($A$8))*1000000-IF($A$8&lt;=1,EFS_Params!C20*1000,EFS_Params!C20*POWER($A$8,LN(EFS_Params!D20/EFS_Params!C20)/LN(50))*1000))/1.2*$W$2*$W$4*(1+EFS_Params!A29*EFS_Params!$B$25)*(1+$I$8/100*EFS_Params!H32)*(1+($W$8-1)*1),0)</f>
        <v>1267548</v>
      </c>
      <c r="M21" s="26">
        <f>ROUND(IF($A$8&lt;=1,EFS_Params!C20*1000,EFS_Params!C20*POWER($A$8,LN(EFS_Params!D20/EFS_Params!C20)/LN(50))*1000)+(POWER(10,EFS_Params!F20+EFS_Params!E20*LOG10($A$8))*1000000-IF($A$8&lt;=1,EFS_Params!C20*1000,EFS_Params!C20*POWER($A$8,LN(EFS_Params!D20/EFS_Params!C20)/LN(50))*1000))/1.2*$W$2*$W$4*(1+EFS_Params!B29*EFS_Params!$B$25)*(1+$I$8/100*EFS_Params!H32)*(1+($W$8-1)*1),0)</f>
        <v>1378625</v>
      </c>
      <c r="N21" s="27">
        <f>ROUND(IF($A$8&lt;=1,EFS_Params!C20*1000,EFS_Params!C20*POWER($A$8,LN(EFS_Params!D20/EFS_Params!C20)/LN(50))*1000)+(POWER(10,EFS_Params!F20+EFS_Params!E20*LOG10($A$8))*1000000-IF($A$8&lt;=1,EFS_Params!C20*1000,EFS_Params!C20*POWER($A$8,LN(EFS_Params!D20/EFS_Params!C20)/LN(50))*1000))/1.2*$W$2*$W$4*(1+EFS_Params!C29*EFS_Params!$B$25)*(1+$I$8/100*EFS_Params!H32)*(1+($W$8-1)*1),0)</f>
        <v>1501761</v>
      </c>
      <c r="O21" s="26">
        <f>ROUND(IF($A$8&lt;=1,EFS_Params!C20*1000,EFS_Params!C20*POWER($A$8,LN(EFS_Params!D20/EFS_Params!C20)/LN(50))*1000)+(POWER(10,EFS_Params!F20+EFS_Params!E20*LOG10($A$8))*1000000-IF($A$8&lt;=1,EFS_Params!C20*1000,EFS_Params!C20*POWER($A$8,LN(EFS_Params!D20/EFS_Params!C20)/LN(50))*1000))/1.2*$W$2*$W$4*(1+EFS_Params!D29*EFS_Params!$B$25)*(1+$I$8/100*EFS_Params!H32)*(1+($W$8-1)*1),0)</f>
        <v>1624897</v>
      </c>
      <c r="P21" s="26">
        <f>ROUND(IF($A$8&lt;=1,EFS_Params!C20*1000,EFS_Params!C20*POWER($A$8,LN(EFS_Params!D20/EFS_Params!C20)/LN(50))*1000)+(POWER(10,EFS_Params!F20+EFS_Params!E20*LOG10($A$8))*1000000-IF($A$8&lt;=1,EFS_Params!C20*1000,EFS_Params!C20*POWER($A$8,LN(EFS_Params!D20/EFS_Params!C20)/LN(50))*1000))/1.2*$W$2*$W$4*(1+EFS_Params!E29*EFS_Params!$B$25)*(1+$I$8/100*EFS_Params!H32)*(1+($W$8-1)*1),0)</f>
        <v>1735975</v>
      </c>
      <c r="Q21" s="25">
        <f>ROUND(IF($A$8&lt;=1,EFS_Params!C20*1000,EFS_Params!C20*POWER($A$8,LN(EFS_Params!D20/EFS_Params!C20)/LN(50))*1000)+2*(POWER(10,EFS_Params!F20+EFS_Params!E20*LOG10($A$8))*1000000-IF($A$8&lt;=1,EFS_Params!C20*1000,EFS_Params!C20*POWER($A$8,LN(EFS_Params!D20/EFS_Params!C20)/LN(50))*1000))/1.2*$W$2*$W$4*(1+EFS_Params!A29*EFS_Params!$B$25)*(1+$I$8/100*EFS_Params!H32)*(1+($W$8-1)*1),0)</f>
        <v>1764110</v>
      </c>
      <c r="R21" s="26">
        <f>ROUND(IF($A$8&lt;=1,EFS_Params!C20*1000,EFS_Params!C20*POWER($A$8,LN(EFS_Params!D20/EFS_Params!C20)/LN(50))*1000)+2*(POWER(10,EFS_Params!F20+EFS_Params!E20*LOG10($A$8))*1000000-IF($A$8&lt;=1,EFS_Params!C20*1000,EFS_Params!C20*POWER($A$8,LN(EFS_Params!D20/EFS_Params!C20)/LN(50))*1000))/1.2*$W$2*$W$4*(1+EFS_Params!B29*EFS_Params!$B$25)*(1+$I$8/100*EFS_Params!H32)*(1+($W$8-1)*1),0)</f>
        <v>1986266</v>
      </c>
      <c r="S21" s="27">
        <f>ROUND(IF($A$8&lt;=1,EFS_Params!C20*1000,EFS_Params!C20*POWER($A$8,LN(EFS_Params!D20/EFS_Params!C20)/LN(50))*1000)+2*(POWER(10,EFS_Params!F20+EFS_Params!E20*LOG10($A$8))*1000000-IF($A$8&lt;=1,EFS_Params!C20*1000,EFS_Params!C20*POWER($A$8,LN(EFS_Params!D20/EFS_Params!C20)/LN(50))*1000))/1.2*$W$2*$W$4*(1+EFS_Params!C29*EFS_Params!$B$25)*(1+$I$8/100*EFS_Params!H32)*(1+($W$8-1)*1),0)</f>
        <v>2232537</v>
      </c>
      <c r="T21" s="26">
        <f>ROUND(IF($A$8&lt;=1,EFS_Params!C20*1000,EFS_Params!C20*POWER($A$8,LN(EFS_Params!D20/EFS_Params!C20)/LN(50))*1000)+2*(POWER(10,EFS_Params!F20+EFS_Params!E20*LOG10($A$8))*1000000-IF($A$8&lt;=1,EFS_Params!C20*1000,EFS_Params!C20*POWER($A$8,LN(EFS_Params!D20/EFS_Params!C20)/LN(50))*1000))/1.2*$W$2*$W$4*(1+EFS_Params!D29*EFS_Params!$B$25)*(1+$I$8/100*EFS_Params!H32)*(1+($W$8-1)*1),0)</f>
        <v>2478809</v>
      </c>
      <c r="U21" s="26">
        <f>ROUND(IF($A$8&lt;=1,EFS_Params!C20*1000,EFS_Params!C20*POWER($A$8,LN(EFS_Params!D20/EFS_Params!C20)/LN(50))*1000)+2*(POWER(10,EFS_Params!F20+EFS_Params!E20*LOG10($A$8))*1000000-IF($A$8&lt;=1,EFS_Params!C20*1000,EFS_Params!C20*POWER($A$8,LN(EFS_Params!D20/EFS_Params!C20)/LN(50))*1000))/1.2*$W$2*$W$4*(1+EFS_Params!E29*EFS_Params!$B$25)*(1+$I$8/100*EFS_Params!H32)*(1+($W$8-1)*1),0)</f>
        <v>2700965</v>
      </c>
      <c r="V21" s="5"/>
      <c r="W21" s="5"/>
    </row>
    <row r="22" spans="1:23" ht="7.9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7.9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22.05" customHeight="1" x14ac:dyDescent="0.3">
      <c r="A24" s="100" t="str">
        <f>"Investment Operations ("&amp;TEXT(A8,"$#.0")&amp;"B AUM)"</f>
        <v>Investment Operations ($5.0B AUM)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5"/>
      <c r="W24" s="5"/>
    </row>
    <row r="25" spans="1:23" ht="19.95" customHeight="1" x14ac:dyDescent="0.3">
      <c r="A25" s="13"/>
      <c r="B25" s="97" t="s">
        <v>9</v>
      </c>
      <c r="C25" s="98"/>
      <c r="D25" s="98"/>
      <c r="E25" s="98"/>
      <c r="F25" s="98"/>
      <c r="G25" s="102" t="s">
        <v>44</v>
      </c>
      <c r="H25" s="98"/>
      <c r="I25" s="98"/>
      <c r="J25" s="98"/>
      <c r="K25" s="98"/>
      <c r="L25" s="99" t="s">
        <v>45</v>
      </c>
      <c r="M25" s="98"/>
      <c r="N25" s="98"/>
      <c r="O25" s="98"/>
      <c r="P25" s="98"/>
      <c r="Q25" s="102" t="s">
        <v>46</v>
      </c>
      <c r="R25" s="98"/>
      <c r="S25" s="98"/>
      <c r="T25" s="98"/>
      <c r="U25" s="98"/>
      <c r="V25" s="5"/>
      <c r="W25" s="5"/>
    </row>
    <row r="26" spans="1:23" ht="19.95" customHeight="1" x14ac:dyDescent="0.3">
      <c r="A26" s="14" t="s">
        <v>12</v>
      </c>
      <c r="B26" s="15" t="s">
        <v>13</v>
      </c>
      <c r="C26" s="16" t="s">
        <v>14</v>
      </c>
      <c r="D26" s="16" t="s">
        <v>15</v>
      </c>
      <c r="E26" s="16" t="s">
        <v>16</v>
      </c>
      <c r="F26" s="16" t="s">
        <v>17</v>
      </c>
      <c r="G26" s="15" t="s">
        <v>13</v>
      </c>
      <c r="H26" s="16" t="s">
        <v>14</v>
      </c>
      <c r="I26" s="16" t="s">
        <v>15</v>
      </c>
      <c r="J26" s="16" t="s">
        <v>16</v>
      </c>
      <c r="K26" s="16" t="s">
        <v>17</v>
      </c>
      <c r="L26" s="15" t="s">
        <v>13</v>
      </c>
      <c r="M26" s="16" t="s">
        <v>14</v>
      </c>
      <c r="N26" s="16" t="s">
        <v>15</v>
      </c>
      <c r="O26" s="16" t="s">
        <v>16</v>
      </c>
      <c r="P26" s="16" t="s">
        <v>17</v>
      </c>
      <c r="Q26" s="15" t="s">
        <v>13</v>
      </c>
      <c r="R26" s="16" t="s">
        <v>14</v>
      </c>
      <c r="S26" s="16" t="s">
        <v>15</v>
      </c>
      <c r="T26" s="16" t="s">
        <v>16</v>
      </c>
      <c r="U26" s="16" t="s">
        <v>17</v>
      </c>
      <c r="V26" s="5"/>
      <c r="W26" s="5"/>
    </row>
    <row r="27" spans="1:23" ht="18" customHeight="1" x14ac:dyDescent="0.3">
      <c r="A27" s="17" t="s">
        <v>27</v>
      </c>
      <c r="B27" s="18">
        <f>ROUND(IF($A$8&lt;=1,EFS_Params!C13*1000,EFS_Params!C13*POWER($A$8,LN(EFS_Params!D13/EFS_Params!C13)/LN(50))*1000)*EFS_Params!G13*$W$2*$W$4*(1+EFS_Params!A29*EFS_Params!$B$25)*(1+($W$8-1)*0.3),0)</f>
        <v>48826</v>
      </c>
      <c r="C27" s="19">
        <f>ROUND(IF($A$8&lt;=1,EFS_Params!C13*1000,EFS_Params!C13*POWER($A$8,LN(EFS_Params!D13/EFS_Params!C13)/LN(50))*1000)*EFS_Params!G13*$W$2*$W$4*(1+EFS_Params!B29*EFS_Params!$B$25)*(1+($W$8-1)*0.3),0)</f>
        <v>59748</v>
      </c>
      <c r="D27" s="20">
        <f>ROUND(IF($A$8&lt;=1,EFS_Params!C13*1000,EFS_Params!C13*POWER($A$8,LN(EFS_Params!D13/EFS_Params!C13)/LN(50))*1000)*EFS_Params!G13*$W$2*$W$4*(1+EFS_Params!C29*EFS_Params!$B$25)*(1+($W$8-1)*0.3),0)</f>
        <v>71855</v>
      </c>
      <c r="E27" s="19">
        <f>ROUND(IF($A$8&lt;=1,EFS_Params!C13*1000,EFS_Params!C13*POWER($A$8,LN(EFS_Params!D13/EFS_Params!C13)/LN(50))*1000)*EFS_Params!G13*$W$2*$W$4*(1+EFS_Params!D29*EFS_Params!$B$25)*(1+($W$8-1)*0.3),0)</f>
        <v>83963</v>
      </c>
      <c r="F27" s="19">
        <f>ROUND(IF($A$8&lt;=1,EFS_Params!C13*1000,EFS_Params!C13*POWER($A$8,LN(EFS_Params!D13/EFS_Params!C13)/LN(50))*1000)*EFS_Params!G13*$W$2*$W$4*(1+EFS_Params!E29*EFS_Params!$B$25)*(1+($W$8-1)*0.3),0)</f>
        <v>94885</v>
      </c>
      <c r="G27" s="18">
        <f>ROUND(IF($A$8&lt;=1,EFS_Params!C13*1000,EFS_Params!C13*POWER($A$8,LN(EFS_Params!D13/EFS_Params!C13)/LN(50))*1000)*EFS_Params!G13+1.5*(POWER(10,EFS_Params!F13+EFS_Params!E13*LOG10($A$8))*1000000-IF($A$8&lt;=1,EFS_Params!C13*1000,EFS_Params!C13*POWER($A$8,LN(EFS_Params!D13/EFS_Params!C13)/LN(50))*1000))/1.2*EFS_Params!H13*$W$2*$W$4*(1+EFS_Params!A29*EFS_Params!$B$25)*(1+$I$8/100*EFS_Params!A32)*(1+($W$8-1)*0.3),0)</f>
        <v>71588</v>
      </c>
      <c r="H27" s="19">
        <f>ROUND(IF($A$8&lt;=1,EFS_Params!C13*1000,EFS_Params!C13*POWER($A$8,LN(EFS_Params!D13/EFS_Params!C13)/LN(50))*1000)*EFS_Params!G13+1.5*(POWER(10,EFS_Params!F13+EFS_Params!E13*LOG10($A$8))*1000000-IF($A$8&lt;=1,EFS_Params!C13*1000,EFS_Params!C13*POWER($A$8,LN(EFS_Params!D13/EFS_Params!C13)/LN(50))*1000))/1.2*EFS_Params!H13*$W$2*$W$4*(1+EFS_Params!B29*EFS_Params!$B$25)*(1+$I$8/100*EFS_Params!A32)*(1+($W$8-1)*0.3),0)</f>
        <v>71840</v>
      </c>
      <c r="I27" s="20">
        <f>ROUND(IF($A$8&lt;=1,EFS_Params!C13*1000,EFS_Params!C13*POWER($A$8,LN(EFS_Params!D13/EFS_Params!C13)/LN(50))*1000)*EFS_Params!G13+1.5*(POWER(10,EFS_Params!F13+EFS_Params!E13*LOG10($A$8))*1000000-IF($A$8&lt;=1,EFS_Params!C13*1000,EFS_Params!C13*POWER($A$8,LN(EFS_Params!D13/EFS_Params!C13)/LN(50))*1000))/1.2*EFS_Params!H13*$W$2*$W$4*(1+EFS_Params!C29*EFS_Params!$B$25)*(1+$I$8/100*EFS_Params!A32)*(1+($W$8-1)*0.3),0)</f>
        <v>72120</v>
      </c>
      <c r="J27" s="19">
        <f>ROUND(IF($A$8&lt;=1,EFS_Params!C13*1000,EFS_Params!C13*POWER($A$8,LN(EFS_Params!D13/EFS_Params!C13)/LN(50))*1000)*EFS_Params!G13+1.5*(POWER(10,EFS_Params!F13+EFS_Params!E13*LOG10($A$8))*1000000-IF($A$8&lt;=1,EFS_Params!C13*1000,EFS_Params!C13*POWER($A$8,LN(EFS_Params!D13/EFS_Params!C13)/LN(50))*1000))/1.2*EFS_Params!H13*$W$2*$W$4*(1+EFS_Params!D29*EFS_Params!$B$25)*(1+$I$8/100*EFS_Params!A32)*(1+($W$8-1)*0.3),0)</f>
        <v>72400</v>
      </c>
      <c r="K27" s="19">
        <f>ROUND(IF($A$8&lt;=1,EFS_Params!C13*1000,EFS_Params!C13*POWER($A$8,LN(EFS_Params!D13/EFS_Params!C13)/LN(50))*1000)*EFS_Params!G13+1.5*(POWER(10,EFS_Params!F13+EFS_Params!E13*LOG10($A$8))*1000000-IF($A$8&lt;=1,EFS_Params!C13*1000,EFS_Params!C13*POWER($A$8,LN(EFS_Params!D13/EFS_Params!C13)/LN(50))*1000))/1.2*EFS_Params!H13*$W$2*$W$4*(1+EFS_Params!E29*EFS_Params!$B$25)*(1+$I$8/100*EFS_Params!A32)*(1+($W$8-1)*0.3),0)</f>
        <v>72652</v>
      </c>
      <c r="L27" s="18">
        <f>ROUND(IF($A$8&lt;=1,EFS_Params!C13*1000,EFS_Params!C13*POWER($A$8,LN(EFS_Params!D13/EFS_Params!C13)/LN(50))*1000)*EFS_Params!G13+(POWER(10,EFS_Params!F13+EFS_Params!E13*LOG10($A$8))*1000000-IF($A$8&lt;=1,EFS_Params!C13*1000,EFS_Params!C13*POWER($A$8,LN(EFS_Params!D13/EFS_Params!C13)/LN(50))*1000))/1.2*EFS_Params!H13*$W$2*$W$4*(1+EFS_Params!A29*EFS_Params!$B$25)*(1+$I$8/100*EFS_Params!A32)*(1+($W$8-1)*0.3),0)</f>
        <v>71212</v>
      </c>
      <c r="M27" s="19">
        <f>ROUND(IF($A$8&lt;=1,EFS_Params!C13*1000,EFS_Params!C13*POWER($A$8,LN(EFS_Params!D13/EFS_Params!C13)/LN(50))*1000)*EFS_Params!G13+(POWER(10,EFS_Params!F13+EFS_Params!E13*LOG10($A$8))*1000000-IF($A$8&lt;=1,EFS_Params!C13*1000,EFS_Params!C13*POWER($A$8,LN(EFS_Params!D13/EFS_Params!C13)/LN(50))*1000))/1.2*EFS_Params!H13*$W$2*$W$4*(1+EFS_Params!B29*EFS_Params!$B$25)*(1+$I$8/100*EFS_Params!A32)*(1+($W$8-1)*0.3),0)</f>
        <v>71380</v>
      </c>
      <c r="N27" s="20">
        <f>ROUND(IF($A$8&lt;=1,EFS_Params!C13*1000,EFS_Params!C13*POWER($A$8,LN(EFS_Params!D13/EFS_Params!C13)/LN(50))*1000)*EFS_Params!G13+(POWER(10,EFS_Params!F13+EFS_Params!E13*LOG10($A$8))*1000000-IF($A$8&lt;=1,EFS_Params!C13*1000,EFS_Params!C13*POWER($A$8,LN(EFS_Params!D13/EFS_Params!C13)/LN(50))*1000))/1.2*EFS_Params!H13*$W$2*$W$4*(1+EFS_Params!C29*EFS_Params!$B$25)*(1+$I$8/100*EFS_Params!A32)*(1+($W$8-1)*0.3),0)</f>
        <v>71567</v>
      </c>
      <c r="O27" s="19">
        <f>ROUND(IF($A$8&lt;=1,EFS_Params!C13*1000,EFS_Params!C13*POWER($A$8,LN(EFS_Params!D13/EFS_Params!C13)/LN(50))*1000)*EFS_Params!G13+(POWER(10,EFS_Params!F13+EFS_Params!E13*LOG10($A$8))*1000000-IF($A$8&lt;=1,EFS_Params!C13*1000,EFS_Params!C13*POWER($A$8,LN(EFS_Params!D13/EFS_Params!C13)/LN(50))*1000))/1.2*EFS_Params!H13*$W$2*$W$4*(1+EFS_Params!D29*EFS_Params!$B$25)*(1+$I$8/100*EFS_Params!A32)*(1+($W$8-1)*0.3),0)</f>
        <v>71753</v>
      </c>
      <c r="P27" s="19">
        <f>ROUND(IF($A$8&lt;=1,EFS_Params!C13*1000,EFS_Params!C13*POWER($A$8,LN(EFS_Params!D13/EFS_Params!C13)/LN(50))*1000)*EFS_Params!G13+(POWER(10,EFS_Params!F13+EFS_Params!E13*LOG10($A$8))*1000000-IF($A$8&lt;=1,EFS_Params!C13*1000,EFS_Params!C13*POWER($A$8,LN(EFS_Params!D13/EFS_Params!C13)/LN(50))*1000))/1.2*EFS_Params!H13*$W$2*$W$4*(1+EFS_Params!E29*EFS_Params!$B$25)*(1+$I$8/100*EFS_Params!A32)*(1+($W$8-1)*0.3),0)</f>
        <v>71921</v>
      </c>
      <c r="Q27" s="18">
        <f>ROUND(IF($A$8&lt;=1,EFS_Params!C13*1000,EFS_Params!C13*POWER($A$8,LN(EFS_Params!D13/EFS_Params!C13)/LN(50))*1000)*EFS_Params!G13+2*(POWER(10,EFS_Params!F13+EFS_Params!E13*LOG10($A$8))*1000000-IF($A$8&lt;=1,EFS_Params!C13*1000,EFS_Params!C13*POWER($A$8,LN(EFS_Params!D13/EFS_Params!C13)/LN(50))*1000))/1.2*EFS_Params!H13*$W$2*$W$4*(1+EFS_Params!A29*EFS_Params!$B$25)*(1+$I$8/100*EFS_Params!A32)*(1+($W$8-1)*0.3),0)</f>
        <v>71964</v>
      </c>
      <c r="R27" s="19">
        <f>ROUND(IF($A$8&lt;=1,EFS_Params!C13*1000,EFS_Params!C13*POWER($A$8,LN(EFS_Params!D13/EFS_Params!C13)/LN(50))*1000)*EFS_Params!G13+2*(POWER(10,EFS_Params!F13+EFS_Params!E13*LOG10($A$8))*1000000-IF($A$8&lt;=1,EFS_Params!C13*1000,EFS_Params!C13*POWER($A$8,LN(EFS_Params!D13/EFS_Params!C13)/LN(50))*1000))/1.2*EFS_Params!H13*$W$2*$W$4*(1+EFS_Params!B29*EFS_Params!$B$25)*(1+$I$8/100*EFS_Params!A32)*(1+($W$8-1)*0.3),0)</f>
        <v>72300</v>
      </c>
      <c r="S27" s="20">
        <f>ROUND(IF($A$8&lt;=1,EFS_Params!C13*1000,EFS_Params!C13*POWER($A$8,LN(EFS_Params!D13/EFS_Params!C13)/LN(50))*1000)*EFS_Params!G13+2*(POWER(10,EFS_Params!F13+EFS_Params!E13*LOG10($A$8))*1000000-IF($A$8&lt;=1,EFS_Params!C13*1000,EFS_Params!C13*POWER($A$8,LN(EFS_Params!D13/EFS_Params!C13)/LN(50))*1000))/1.2*EFS_Params!H13*$W$2*$W$4*(1+EFS_Params!C29*EFS_Params!$B$25)*(1+$I$8/100*EFS_Params!A32)*(1+($W$8-1)*0.3),0)</f>
        <v>72673</v>
      </c>
      <c r="T27" s="19">
        <f>ROUND(IF($A$8&lt;=1,EFS_Params!C13*1000,EFS_Params!C13*POWER($A$8,LN(EFS_Params!D13/EFS_Params!C13)/LN(50))*1000)*EFS_Params!G13+2*(POWER(10,EFS_Params!F13+EFS_Params!E13*LOG10($A$8))*1000000-IF($A$8&lt;=1,EFS_Params!C13*1000,EFS_Params!C13*POWER($A$8,LN(EFS_Params!D13/EFS_Params!C13)/LN(50))*1000))/1.2*EFS_Params!H13*$W$2*$W$4*(1+EFS_Params!D29*EFS_Params!$B$25)*(1+$I$8/100*EFS_Params!A32)*(1+($W$8-1)*0.3),0)</f>
        <v>73046</v>
      </c>
      <c r="U27" s="19">
        <f>ROUND(IF($A$8&lt;=1,EFS_Params!C13*1000,EFS_Params!C13*POWER($A$8,LN(EFS_Params!D13/EFS_Params!C13)/LN(50))*1000)*EFS_Params!G13+2*(POWER(10,EFS_Params!F13+EFS_Params!E13*LOG10($A$8))*1000000-IF($A$8&lt;=1,EFS_Params!C13*1000,EFS_Params!C13*POWER($A$8,LN(EFS_Params!D13/EFS_Params!C13)/LN(50))*1000))/1.2*EFS_Params!H13*$W$2*$W$4*(1+EFS_Params!E29*EFS_Params!$B$25)*(1+$I$8/100*EFS_Params!A32)*(1+($W$8-1)*0.3),0)</f>
        <v>73382</v>
      </c>
      <c r="V27" s="5"/>
      <c r="W27" s="5"/>
    </row>
    <row r="28" spans="1:23" ht="18" customHeight="1" x14ac:dyDescent="0.3">
      <c r="A28" s="21" t="s">
        <v>28</v>
      </c>
      <c r="B28" s="22">
        <f>ROUND(IF($A$8&lt;=1,EFS_Params!C14*1000,EFS_Params!C14*POWER($A$8,LN(EFS_Params!D14/EFS_Params!C14)/LN(50))*1000)*EFS_Params!G14*$W$2*$W$4*(1+EFS_Params!A29*EFS_Params!$B$25)*(1+($W$8-1)*0.4),0)</f>
        <v>83800</v>
      </c>
      <c r="C28" s="23">
        <f>ROUND(IF($A$8&lt;=1,EFS_Params!C14*1000,EFS_Params!C14*POWER($A$8,LN(EFS_Params!D14/EFS_Params!C14)/LN(50))*1000)*EFS_Params!G14*$W$2*$W$4*(1+EFS_Params!B29*EFS_Params!$B$25)*(1+($W$8-1)*0.4),0)</f>
        <v>102545</v>
      </c>
      <c r="D28" s="20">
        <f>ROUND(IF($A$8&lt;=1,EFS_Params!C14*1000,EFS_Params!C14*POWER($A$8,LN(EFS_Params!D14/EFS_Params!C14)/LN(50))*1000)*EFS_Params!G14*$W$2*$W$4*(1+EFS_Params!C29*EFS_Params!$B$25)*(1+($W$8-1)*0.4),0)</f>
        <v>123325</v>
      </c>
      <c r="E28" s="23">
        <f>ROUND(IF($A$8&lt;=1,EFS_Params!C14*1000,EFS_Params!C14*POWER($A$8,LN(EFS_Params!D14/EFS_Params!C14)/LN(50))*1000)*EFS_Params!G14*$W$2*$W$4*(1+EFS_Params!D29*EFS_Params!$B$25)*(1+($W$8-1)*0.4),0)</f>
        <v>144106</v>
      </c>
      <c r="F28" s="23">
        <f>ROUND(IF($A$8&lt;=1,EFS_Params!C14*1000,EFS_Params!C14*POWER($A$8,LN(EFS_Params!D14/EFS_Params!C14)/LN(50))*1000)*EFS_Params!G14*$W$2*$W$4*(1+EFS_Params!E29*EFS_Params!$B$25)*(1+($W$8-1)*0.4),0)</f>
        <v>162851</v>
      </c>
      <c r="G28" s="22">
        <f>ROUND(IF($A$8&lt;=1,EFS_Params!C14*1000,EFS_Params!C14*POWER($A$8,LN(EFS_Params!D14/EFS_Params!C14)/LN(50))*1000)*EFS_Params!G14+1.5*(POWER(10,EFS_Params!F14+EFS_Params!E14*LOG10($A$8))*1000000-IF($A$8&lt;=1,EFS_Params!C14*1000,EFS_Params!C14*POWER($A$8,LN(EFS_Params!D14/EFS_Params!C14)/LN(50))*1000))/1.2*EFS_Params!H14*$W$2*$W$4*(1+EFS_Params!A29*EFS_Params!$B$25)*(1+$I$8/100*EFS_Params!B32)*(1+($W$8-1)*0.4),0)</f>
        <v>131546</v>
      </c>
      <c r="H28" s="23">
        <f>ROUND(IF($A$8&lt;=1,EFS_Params!C14*1000,EFS_Params!C14*POWER($A$8,LN(EFS_Params!D14/EFS_Params!C14)/LN(50))*1000)*EFS_Params!G14+1.5*(POWER(10,EFS_Params!F14+EFS_Params!E14*LOG10($A$8))*1000000-IF($A$8&lt;=1,EFS_Params!C14*1000,EFS_Params!C14*POWER($A$8,LN(EFS_Params!D14/EFS_Params!C14)/LN(50))*1000))/1.2*EFS_Params!H14*$W$2*$W$4*(1+EFS_Params!B29*EFS_Params!$B$25)*(1+$I$8/100*EFS_Params!B32)*(1+($W$8-1)*0.4),0)</f>
        <v>133920</v>
      </c>
      <c r="I28" s="20">
        <f>ROUND(IF($A$8&lt;=1,EFS_Params!C14*1000,EFS_Params!C14*POWER($A$8,LN(EFS_Params!D14/EFS_Params!C14)/LN(50))*1000)*EFS_Params!G14+1.5*(POWER(10,EFS_Params!F14+EFS_Params!E14*LOG10($A$8))*1000000-IF($A$8&lt;=1,EFS_Params!C14*1000,EFS_Params!C14*POWER($A$8,LN(EFS_Params!D14/EFS_Params!C14)/LN(50))*1000))/1.2*EFS_Params!H14*$W$2*$W$4*(1+EFS_Params!C29*EFS_Params!$B$25)*(1+$I$8/100*EFS_Params!B32)*(1+($W$8-1)*0.4),0)</f>
        <v>136553</v>
      </c>
      <c r="J28" s="23">
        <f>ROUND(IF($A$8&lt;=1,EFS_Params!C14*1000,EFS_Params!C14*POWER($A$8,LN(EFS_Params!D14/EFS_Params!C14)/LN(50))*1000)*EFS_Params!G14+1.5*(POWER(10,EFS_Params!F14+EFS_Params!E14*LOG10($A$8))*1000000-IF($A$8&lt;=1,EFS_Params!C14*1000,EFS_Params!C14*POWER($A$8,LN(EFS_Params!D14/EFS_Params!C14)/LN(50))*1000))/1.2*EFS_Params!H14*$W$2*$W$4*(1+EFS_Params!D29*EFS_Params!$B$25)*(1+$I$8/100*EFS_Params!B32)*(1+($W$8-1)*0.4),0)</f>
        <v>139185</v>
      </c>
      <c r="K28" s="23">
        <f>ROUND(IF($A$8&lt;=1,EFS_Params!C14*1000,EFS_Params!C14*POWER($A$8,LN(EFS_Params!D14/EFS_Params!C14)/LN(50))*1000)*EFS_Params!G14+1.5*(POWER(10,EFS_Params!F14+EFS_Params!E14*LOG10($A$8))*1000000-IF($A$8&lt;=1,EFS_Params!C14*1000,EFS_Params!C14*POWER($A$8,LN(EFS_Params!D14/EFS_Params!C14)/LN(50))*1000))/1.2*EFS_Params!H14*$W$2*$W$4*(1+EFS_Params!E29*EFS_Params!$B$25)*(1+$I$8/100*EFS_Params!B32)*(1+($W$8-1)*0.4),0)</f>
        <v>141559</v>
      </c>
      <c r="L28" s="22">
        <f>ROUND(IF($A$8&lt;=1,EFS_Params!C14*1000,EFS_Params!C14*POWER($A$8,LN(EFS_Params!D14/EFS_Params!C14)/LN(50))*1000)*EFS_Params!G14+(POWER(10,EFS_Params!F14+EFS_Params!E14*LOG10($A$8))*1000000-IF($A$8&lt;=1,EFS_Params!C14*1000,EFS_Params!C14*POWER($A$8,LN(EFS_Params!D14/EFS_Params!C14)/LN(50))*1000))/1.2*EFS_Params!H14*$W$2*$W$4*(1+EFS_Params!A29*EFS_Params!$B$25)*(1+$I$8/100*EFS_Params!B32)*(1+($W$8-1)*0.4),0)</f>
        <v>128007</v>
      </c>
      <c r="M28" s="23">
        <f>ROUND(IF($A$8&lt;=1,EFS_Params!C14*1000,EFS_Params!C14*POWER($A$8,LN(EFS_Params!D14/EFS_Params!C14)/LN(50))*1000)*EFS_Params!G14+(POWER(10,EFS_Params!F14+EFS_Params!E14*LOG10($A$8))*1000000-IF($A$8&lt;=1,EFS_Params!C14*1000,EFS_Params!C14*POWER($A$8,LN(EFS_Params!D14/EFS_Params!C14)/LN(50))*1000))/1.2*EFS_Params!H14*$W$2*$W$4*(1+EFS_Params!B29*EFS_Params!$B$25)*(1+$I$8/100*EFS_Params!B32)*(1+($W$8-1)*0.4),0)</f>
        <v>129590</v>
      </c>
      <c r="N28" s="20">
        <f>ROUND(IF($A$8&lt;=1,EFS_Params!C14*1000,EFS_Params!C14*POWER($A$8,LN(EFS_Params!D14/EFS_Params!C14)/LN(50))*1000)*EFS_Params!G14+(POWER(10,EFS_Params!F14+EFS_Params!E14*LOG10($A$8))*1000000-IF($A$8&lt;=1,EFS_Params!C14*1000,EFS_Params!C14*POWER($A$8,LN(EFS_Params!D14/EFS_Params!C14)/LN(50))*1000))/1.2*EFS_Params!H14*$W$2*$W$4*(1+EFS_Params!C29*EFS_Params!$B$25)*(1+$I$8/100*EFS_Params!B32)*(1+($W$8-1)*0.4),0)</f>
        <v>131345</v>
      </c>
      <c r="O28" s="23">
        <f>ROUND(IF($A$8&lt;=1,EFS_Params!C14*1000,EFS_Params!C14*POWER($A$8,LN(EFS_Params!D14/EFS_Params!C14)/LN(50))*1000)*EFS_Params!G14+(POWER(10,EFS_Params!F14+EFS_Params!E14*LOG10($A$8))*1000000-IF($A$8&lt;=1,EFS_Params!C14*1000,EFS_Params!C14*POWER($A$8,LN(EFS_Params!D14/EFS_Params!C14)/LN(50))*1000))/1.2*EFS_Params!H14*$W$2*$W$4*(1+EFS_Params!D29*EFS_Params!$B$25)*(1+$I$8/100*EFS_Params!B32)*(1+($W$8-1)*0.4),0)</f>
        <v>133100</v>
      </c>
      <c r="P28" s="23">
        <f>ROUND(IF($A$8&lt;=1,EFS_Params!C14*1000,EFS_Params!C14*POWER($A$8,LN(EFS_Params!D14/EFS_Params!C14)/LN(50))*1000)*EFS_Params!G14+(POWER(10,EFS_Params!F14+EFS_Params!E14*LOG10($A$8))*1000000-IF($A$8&lt;=1,EFS_Params!C14*1000,EFS_Params!C14*POWER($A$8,LN(EFS_Params!D14/EFS_Params!C14)/LN(50))*1000))/1.2*EFS_Params!H14*$W$2*$W$4*(1+EFS_Params!E29*EFS_Params!$B$25)*(1+$I$8/100*EFS_Params!B32)*(1+($W$8-1)*0.4),0)</f>
        <v>134683</v>
      </c>
      <c r="Q28" s="22">
        <f>ROUND(IF($A$8&lt;=1,EFS_Params!C14*1000,EFS_Params!C14*POWER($A$8,LN(EFS_Params!D14/EFS_Params!C14)/LN(50))*1000)*EFS_Params!G14+2*(POWER(10,EFS_Params!F14+EFS_Params!E14*LOG10($A$8))*1000000-IF($A$8&lt;=1,EFS_Params!C14*1000,EFS_Params!C14*POWER($A$8,LN(EFS_Params!D14/EFS_Params!C14)/LN(50))*1000))/1.2*EFS_Params!H14*$W$2*$W$4*(1+EFS_Params!A29*EFS_Params!$B$25)*(1+$I$8/100*EFS_Params!B32)*(1+($W$8-1)*0.4),0)</f>
        <v>135084</v>
      </c>
      <c r="R28" s="23">
        <f>ROUND(IF($A$8&lt;=1,EFS_Params!C14*1000,EFS_Params!C14*POWER($A$8,LN(EFS_Params!D14/EFS_Params!C14)/LN(50))*1000)*EFS_Params!G14+2*(POWER(10,EFS_Params!F14+EFS_Params!E14*LOG10($A$8))*1000000-IF($A$8&lt;=1,EFS_Params!C14*1000,EFS_Params!C14*POWER($A$8,LN(EFS_Params!D14/EFS_Params!C14)/LN(50))*1000))/1.2*EFS_Params!H14*$W$2*$W$4*(1+EFS_Params!B29*EFS_Params!$B$25)*(1+$I$8/100*EFS_Params!B32)*(1+($W$8-1)*0.4),0)</f>
        <v>138250</v>
      </c>
      <c r="S28" s="20">
        <f>ROUND(IF($A$8&lt;=1,EFS_Params!C14*1000,EFS_Params!C14*POWER($A$8,LN(EFS_Params!D14/EFS_Params!C14)/LN(50))*1000)*EFS_Params!G14+2*(POWER(10,EFS_Params!F14+EFS_Params!E14*LOG10($A$8))*1000000-IF($A$8&lt;=1,EFS_Params!C14*1000,EFS_Params!C14*POWER($A$8,LN(EFS_Params!D14/EFS_Params!C14)/LN(50))*1000))/1.2*EFS_Params!H14*$W$2*$W$4*(1+EFS_Params!C29*EFS_Params!$B$25)*(1+$I$8/100*EFS_Params!B32)*(1+($W$8-1)*0.4),0)</f>
        <v>141760</v>
      </c>
      <c r="T28" s="23">
        <f>ROUND(IF($A$8&lt;=1,EFS_Params!C14*1000,EFS_Params!C14*POWER($A$8,LN(EFS_Params!D14/EFS_Params!C14)/LN(50))*1000)*EFS_Params!G14+2*(POWER(10,EFS_Params!F14+EFS_Params!E14*LOG10($A$8))*1000000-IF($A$8&lt;=1,EFS_Params!C14*1000,EFS_Params!C14*POWER($A$8,LN(EFS_Params!D14/EFS_Params!C14)/LN(50))*1000))/1.2*EFS_Params!H14*$W$2*$W$4*(1+EFS_Params!D29*EFS_Params!$B$25)*(1+$I$8/100*EFS_Params!B32)*(1+($W$8-1)*0.4),0)</f>
        <v>145270</v>
      </c>
      <c r="U28" s="23">
        <f>ROUND(IF($A$8&lt;=1,EFS_Params!C14*1000,EFS_Params!C14*POWER($A$8,LN(EFS_Params!D14/EFS_Params!C14)/LN(50))*1000)*EFS_Params!G14+2*(POWER(10,EFS_Params!F14+EFS_Params!E14*LOG10($A$8))*1000000-IF($A$8&lt;=1,EFS_Params!C14*1000,EFS_Params!C14*POWER($A$8,LN(EFS_Params!D14/EFS_Params!C14)/LN(50))*1000))/1.2*EFS_Params!H14*$W$2*$W$4*(1+EFS_Params!E29*EFS_Params!$B$25)*(1+$I$8/100*EFS_Params!B32)*(1+($W$8-1)*0.4),0)</f>
        <v>148436</v>
      </c>
      <c r="V28" s="5"/>
      <c r="W28" s="5"/>
    </row>
    <row r="29" spans="1:23" ht="18" customHeight="1" x14ac:dyDescent="0.3">
      <c r="A29" s="17" t="s">
        <v>29</v>
      </c>
      <c r="B29" s="18">
        <f>ROUND(IF($A$8&lt;=1,EFS_Params!C15*1000,EFS_Params!C15*POWER($A$8,LN(EFS_Params!D15/EFS_Params!C15)/LN(50))*1000)*EFS_Params!G15*$W$2*$W$4*(1+EFS_Params!A29*EFS_Params!$B$25)*(1+($W$8-1)*0.5),0)</f>
        <v>120545</v>
      </c>
      <c r="C29" s="19">
        <f>ROUND(IF($A$8&lt;=1,EFS_Params!C15*1000,EFS_Params!C15*POWER($A$8,LN(EFS_Params!D15/EFS_Params!C15)/LN(50))*1000)*EFS_Params!G15*$W$2*$W$4*(1+EFS_Params!B29*EFS_Params!$B$25)*(1+($W$8-1)*0.5),0)</f>
        <v>147510</v>
      </c>
      <c r="D29" s="20">
        <f>ROUND(IF($A$8&lt;=1,EFS_Params!C15*1000,EFS_Params!C15*POWER($A$8,LN(EFS_Params!D15/EFS_Params!C15)/LN(50))*1000)*EFS_Params!G15*$W$2*$W$4*(1+EFS_Params!C29*EFS_Params!$B$25)*(1+($W$8-1)*0.5),0)</f>
        <v>177402</v>
      </c>
      <c r="E29" s="19">
        <f>ROUND(IF($A$8&lt;=1,EFS_Params!C15*1000,EFS_Params!C15*POWER($A$8,LN(EFS_Params!D15/EFS_Params!C15)/LN(50))*1000)*EFS_Params!G15*$W$2*$W$4*(1+EFS_Params!D29*EFS_Params!$B$25)*(1+($W$8-1)*0.5),0)</f>
        <v>207294</v>
      </c>
      <c r="F29" s="19">
        <f>ROUND(IF($A$8&lt;=1,EFS_Params!C15*1000,EFS_Params!C15*POWER($A$8,LN(EFS_Params!D15/EFS_Params!C15)/LN(50))*1000)*EFS_Params!G15*$W$2*$W$4*(1+EFS_Params!E29*EFS_Params!$B$25)*(1+($W$8-1)*0.5),0)</f>
        <v>234259</v>
      </c>
      <c r="G29" s="18">
        <f>ROUND(IF($A$8&lt;=1,EFS_Params!C15*1000,EFS_Params!C15*POWER($A$8,LN(EFS_Params!D15/EFS_Params!C15)/LN(50))*1000)*EFS_Params!G15+1.5*(POWER(10,EFS_Params!F15+EFS_Params!E15*LOG10($A$8))*1000000-IF($A$8&lt;=1,EFS_Params!C15*1000,EFS_Params!C15*POWER($A$8,LN(EFS_Params!D15/EFS_Params!C15)/LN(50))*1000))/1.2*EFS_Params!H15*$W$2*$W$4*(1+EFS_Params!A29*EFS_Params!$B$25)*(1+$I$8/100*EFS_Params!C32)*(1+($W$8-1)*0.5),0)</f>
        <v>201802</v>
      </c>
      <c r="H29" s="19">
        <f>ROUND(IF($A$8&lt;=1,EFS_Params!C15*1000,EFS_Params!C15*POWER($A$8,LN(EFS_Params!D15/EFS_Params!C15)/LN(50))*1000)*EFS_Params!G15+1.5*(POWER(10,EFS_Params!F15+EFS_Params!E15*LOG10($A$8))*1000000-IF($A$8&lt;=1,EFS_Params!C15*1000,EFS_Params!C15*POWER($A$8,LN(EFS_Params!D15/EFS_Params!C15)/LN(50))*1000))/1.2*EFS_Params!H15*$W$2*$W$4*(1+EFS_Params!B29*EFS_Params!$B$25)*(1+$I$8/100*EFS_Params!C32)*(1+($W$8-1)*0.5),0)</f>
        <v>208030</v>
      </c>
      <c r="I29" s="20">
        <f>ROUND(IF($A$8&lt;=1,EFS_Params!C15*1000,EFS_Params!C15*POWER($A$8,LN(EFS_Params!D15/EFS_Params!C15)/LN(50))*1000)*EFS_Params!G15+1.5*(POWER(10,EFS_Params!F15+EFS_Params!E15*LOG10($A$8))*1000000-IF($A$8&lt;=1,EFS_Params!C15*1000,EFS_Params!C15*POWER($A$8,LN(EFS_Params!D15/EFS_Params!C15)/LN(50))*1000))/1.2*EFS_Params!H15*$W$2*$W$4*(1+EFS_Params!C29*EFS_Params!$B$25)*(1+$I$8/100*EFS_Params!C32)*(1+($W$8-1)*0.5),0)</f>
        <v>214935</v>
      </c>
      <c r="J29" s="19">
        <f>ROUND(IF($A$8&lt;=1,EFS_Params!C15*1000,EFS_Params!C15*POWER($A$8,LN(EFS_Params!D15/EFS_Params!C15)/LN(50))*1000)*EFS_Params!G15+1.5*(POWER(10,EFS_Params!F15+EFS_Params!E15*LOG10($A$8))*1000000-IF($A$8&lt;=1,EFS_Params!C15*1000,EFS_Params!C15*POWER($A$8,LN(EFS_Params!D15/EFS_Params!C15)/LN(50))*1000))/1.2*EFS_Params!H15*$W$2*$W$4*(1+EFS_Params!D29*EFS_Params!$B$25)*(1+$I$8/100*EFS_Params!C32)*(1+($W$8-1)*0.5),0)</f>
        <v>221840</v>
      </c>
      <c r="K29" s="19">
        <f>ROUND(IF($A$8&lt;=1,EFS_Params!C15*1000,EFS_Params!C15*POWER($A$8,LN(EFS_Params!D15/EFS_Params!C15)/LN(50))*1000)*EFS_Params!G15+1.5*(POWER(10,EFS_Params!F15+EFS_Params!E15*LOG10($A$8))*1000000-IF($A$8&lt;=1,EFS_Params!C15*1000,EFS_Params!C15*POWER($A$8,LN(EFS_Params!D15/EFS_Params!C15)/LN(50))*1000))/1.2*EFS_Params!H15*$W$2*$W$4*(1+EFS_Params!E29*EFS_Params!$B$25)*(1+$I$8/100*EFS_Params!C32)*(1+($W$8-1)*0.5),0)</f>
        <v>228069</v>
      </c>
      <c r="L29" s="18">
        <f>ROUND(IF($A$8&lt;=1,EFS_Params!C15*1000,EFS_Params!C15*POWER($A$8,LN(EFS_Params!D15/EFS_Params!C15)/LN(50))*1000)*EFS_Params!G15+(POWER(10,EFS_Params!F15+EFS_Params!E15*LOG10($A$8))*1000000-IF($A$8&lt;=1,EFS_Params!C15*1000,EFS_Params!C15*POWER($A$8,LN(EFS_Params!D15/EFS_Params!C15)/LN(50))*1000))/1.2*EFS_Params!H15*$W$2*$W$4*(1+EFS_Params!A29*EFS_Params!$B$25)*(1+$I$8/100*EFS_Params!C32)*(1+($W$8-1)*0.5),0)</f>
        <v>192520</v>
      </c>
      <c r="M29" s="19">
        <f>ROUND(IF($A$8&lt;=1,EFS_Params!C15*1000,EFS_Params!C15*POWER($A$8,LN(EFS_Params!D15/EFS_Params!C15)/LN(50))*1000)*EFS_Params!G15+(POWER(10,EFS_Params!F15+EFS_Params!E15*LOG10($A$8))*1000000-IF($A$8&lt;=1,EFS_Params!C15*1000,EFS_Params!C15*POWER($A$8,LN(EFS_Params!D15/EFS_Params!C15)/LN(50))*1000))/1.2*EFS_Params!H15*$W$2*$W$4*(1+EFS_Params!B29*EFS_Params!$B$25)*(1+$I$8/100*EFS_Params!C32)*(1+($W$8-1)*0.5),0)</f>
        <v>196672</v>
      </c>
      <c r="N29" s="20">
        <f>ROUND(IF($A$8&lt;=1,EFS_Params!C15*1000,EFS_Params!C15*POWER($A$8,LN(EFS_Params!D15/EFS_Params!C15)/LN(50))*1000)*EFS_Params!G15+(POWER(10,EFS_Params!F15+EFS_Params!E15*LOG10($A$8))*1000000-IF($A$8&lt;=1,EFS_Params!C15*1000,EFS_Params!C15*POWER($A$8,LN(EFS_Params!D15/EFS_Params!C15)/LN(50))*1000))/1.2*EFS_Params!H15*$W$2*$W$4*(1+EFS_Params!C29*EFS_Params!$B$25)*(1+$I$8/100*EFS_Params!C32)*(1+($W$8-1)*0.5),0)</f>
        <v>201276</v>
      </c>
      <c r="O29" s="19">
        <f>ROUND(IF($A$8&lt;=1,EFS_Params!C15*1000,EFS_Params!C15*POWER($A$8,LN(EFS_Params!D15/EFS_Params!C15)/LN(50))*1000)*EFS_Params!G15+(POWER(10,EFS_Params!F15+EFS_Params!E15*LOG10($A$8))*1000000-IF($A$8&lt;=1,EFS_Params!C15*1000,EFS_Params!C15*POWER($A$8,LN(EFS_Params!D15/EFS_Params!C15)/LN(50))*1000))/1.2*EFS_Params!H15*$W$2*$W$4*(1+EFS_Params!D29*EFS_Params!$B$25)*(1+$I$8/100*EFS_Params!C32)*(1+($W$8-1)*0.5),0)</f>
        <v>205879</v>
      </c>
      <c r="P29" s="19">
        <f>ROUND(IF($A$8&lt;=1,EFS_Params!C15*1000,EFS_Params!C15*POWER($A$8,LN(EFS_Params!D15/EFS_Params!C15)/LN(50))*1000)*EFS_Params!G15+(POWER(10,EFS_Params!F15+EFS_Params!E15*LOG10($A$8))*1000000-IF($A$8&lt;=1,EFS_Params!C15*1000,EFS_Params!C15*POWER($A$8,LN(EFS_Params!D15/EFS_Params!C15)/LN(50))*1000))/1.2*EFS_Params!H15*$W$2*$W$4*(1+EFS_Params!E29*EFS_Params!$B$25)*(1+$I$8/100*EFS_Params!C32)*(1+($W$8-1)*0.5),0)</f>
        <v>210031</v>
      </c>
      <c r="Q29" s="18">
        <f>ROUND(IF($A$8&lt;=1,EFS_Params!C15*1000,EFS_Params!C15*POWER($A$8,LN(EFS_Params!D15/EFS_Params!C15)/LN(50))*1000)*EFS_Params!G15+2*(POWER(10,EFS_Params!F15+EFS_Params!E15*LOG10($A$8))*1000000-IF($A$8&lt;=1,EFS_Params!C15*1000,EFS_Params!C15*POWER($A$8,LN(EFS_Params!D15/EFS_Params!C15)/LN(50))*1000))/1.2*EFS_Params!H15*$W$2*$W$4*(1+EFS_Params!A29*EFS_Params!$B$25)*(1+$I$8/100*EFS_Params!C32)*(1+($W$8-1)*0.5),0)</f>
        <v>211083</v>
      </c>
      <c r="R29" s="19">
        <f>ROUND(IF($A$8&lt;=1,EFS_Params!C15*1000,EFS_Params!C15*POWER($A$8,LN(EFS_Params!D15/EFS_Params!C15)/LN(50))*1000)*EFS_Params!G15+2*(POWER(10,EFS_Params!F15+EFS_Params!E15*LOG10($A$8))*1000000-IF($A$8&lt;=1,EFS_Params!C15*1000,EFS_Params!C15*POWER($A$8,LN(EFS_Params!D15/EFS_Params!C15)/LN(50))*1000))/1.2*EFS_Params!H15*$W$2*$W$4*(1+EFS_Params!B29*EFS_Params!$B$25)*(1+$I$8/100*EFS_Params!C32)*(1+($W$8-1)*0.5),0)</f>
        <v>219388</v>
      </c>
      <c r="S29" s="20">
        <f>ROUND(IF($A$8&lt;=1,EFS_Params!C15*1000,EFS_Params!C15*POWER($A$8,LN(EFS_Params!D15/EFS_Params!C15)/LN(50))*1000)*EFS_Params!G15+2*(POWER(10,EFS_Params!F15+EFS_Params!E15*LOG10($A$8))*1000000-IF($A$8&lt;=1,EFS_Params!C15*1000,EFS_Params!C15*POWER($A$8,LN(EFS_Params!D15/EFS_Params!C15)/LN(50))*1000))/1.2*EFS_Params!H15*$W$2*$W$4*(1+EFS_Params!C29*EFS_Params!$B$25)*(1+$I$8/100*EFS_Params!C32)*(1+($W$8-1)*0.5),0)</f>
        <v>228595</v>
      </c>
      <c r="T29" s="19">
        <f>ROUND(IF($A$8&lt;=1,EFS_Params!C15*1000,EFS_Params!C15*POWER($A$8,LN(EFS_Params!D15/EFS_Params!C15)/LN(50))*1000)*EFS_Params!G15+2*(POWER(10,EFS_Params!F15+EFS_Params!E15*LOG10($A$8))*1000000-IF($A$8&lt;=1,EFS_Params!C15*1000,EFS_Params!C15*POWER($A$8,LN(EFS_Params!D15/EFS_Params!C15)/LN(50))*1000))/1.2*EFS_Params!H15*$W$2*$W$4*(1+EFS_Params!D29*EFS_Params!$B$25)*(1+$I$8/100*EFS_Params!C32)*(1+($W$8-1)*0.5),0)</f>
        <v>237801</v>
      </c>
      <c r="U29" s="19">
        <f>ROUND(IF($A$8&lt;=1,EFS_Params!C15*1000,EFS_Params!C15*POWER($A$8,LN(EFS_Params!D15/EFS_Params!C15)/LN(50))*1000)*EFS_Params!G15+2*(POWER(10,EFS_Params!F15+EFS_Params!E15*LOG10($A$8))*1000000-IF($A$8&lt;=1,EFS_Params!C15*1000,EFS_Params!C15*POWER($A$8,LN(EFS_Params!D15/EFS_Params!C15)/LN(50))*1000))/1.2*EFS_Params!H15*$W$2*$W$4*(1+EFS_Params!E29*EFS_Params!$B$25)*(1+$I$8/100*EFS_Params!C32)*(1+($W$8-1)*0.5),0)</f>
        <v>246106</v>
      </c>
      <c r="V29" s="5"/>
      <c r="W29" s="5"/>
    </row>
    <row r="30" spans="1:23" ht="18" customHeight="1" x14ac:dyDescent="0.3">
      <c r="A30" s="21" t="s">
        <v>52</v>
      </c>
      <c r="B30" s="22">
        <f>ROUND(IF($A$8&lt;=1,EFS_Params!C16*1000,EFS_Params!C16*POWER($A$8,LN(EFS_Params!D16/EFS_Params!C16)/LN(50))*1000)*EFS_Params!G16*$W$2*$W$4*(1+EFS_Params!A29*EFS_Params!$B$25)*(1+($W$8-1)*0.6),0)</f>
        <v>164847</v>
      </c>
      <c r="C30" s="23">
        <f>ROUND(IF($A$8&lt;=1,EFS_Params!C16*1000,EFS_Params!C16*POWER($A$8,LN(EFS_Params!D16/EFS_Params!C16)/LN(50))*1000)*EFS_Params!G16*$W$2*$W$4*(1+EFS_Params!B29*EFS_Params!$B$25)*(1+($W$8-1)*0.6),0)</f>
        <v>201722</v>
      </c>
      <c r="D30" s="20">
        <f>ROUND(IF($A$8&lt;=1,EFS_Params!C16*1000,EFS_Params!C16*POWER($A$8,LN(EFS_Params!D16/EFS_Params!C16)/LN(50))*1000)*EFS_Params!G16*$W$2*$W$4*(1+EFS_Params!C29*EFS_Params!$B$25)*(1+($W$8-1)*0.6),0)</f>
        <v>242600</v>
      </c>
      <c r="E30" s="23">
        <f>ROUND(IF($A$8&lt;=1,EFS_Params!C16*1000,EFS_Params!C16*POWER($A$8,LN(EFS_Params!D16/EFS_Params!C16)/LN(50))*1000)*EFS_Params!G16*$W$2*$W$4*(1+EFS_Params!D29*EFS_Params!$B$25)*(1+($W$8-1)*0.6),0)</f>
        <v>283479</v>
      </c>
      <c r="F30" s="23">
        <f>ROUND(IF($A$8&lt;=1,EFS_Params!C16*1000,EFS_Params!C16*POWER($A$8,LN(EFS_Params!D16/EFS_Params!C16)/LN(50))*1000)*EFS_Params!G16*$W$2*$W$4*(1+EFS_Params!E29*EFS_Params!$B$25)*(1+($W$8-1)*0.6),0)</f>
        <v>320354</v>
      </c>
      <c r="G30" s="22">
        <f>ROUND(IF($A$8&lt;=1,EFS_Params!C16*1000,EFS_Params!C16*POWER($A$8,LN(EFS_Params!D16/EFS_Params!C16)/LN(50))*1000)*EFS_Params!G16+1.5*(POWER(10,EFS_Params!F16+EFS_Params!E16*LOG10($A$8))*1000000-IF($A$8&lt;=1,EFS_Params!C16*1000,EFS_Params!C16*POWER($A$8,LN(EFS_Params!D16/EFS_Params!C16)/LN(50))*1000))/1.2*EFS_Params!H16*$W$2*$W$4*(1+EFS_Params!A29*EFS_Params!$B$25)*(1+$I$8/100*EFS_Params!D32)*(1+($W$8-1)*0.6),0)</f>
        <v>291730</v>
      </c>
      <c r="H30" s="23">
        <f>ROUND(IF($A$8&lt;=1,EFS_Params!C16*1000,EFS_Params!C16*POWER($A$8,LN(EFS_Params!D16/EFS_Params!C16)/LN(50))*1000)*EFS_Params!G16+1.5*(POWER(10,EFS_Params!F16+EFS_Params!E16*LOG10($A$8))*1000000-IF($A$8&lt;=1,EFS_Params!C16*1000,EFS_Params!C16*POWER($A$8,LN(EFS_Params!D16/EFS_Params!C16)/LN(50))*1000))/1.2*EFS_Params!H16*$W$2*$W$4*(1+EFS_Params!B29*EFS_Params!$B$25)*(1+$I$8/100*EFS_Params!D32)*(1+($W$8-1)*0.6),0)</f>
        <v>303773</v>
      </c>
      <c r="I30" s="20">
        <f>ROUND(IF($A$8&lt;=1,EFS_Params!C16*1000,EFS_Params!C16*POWER($A$8,LN(EFS_Params!D16/EFS_Params!C16)/LN(50))*1000)*EFS_Params!G16+1.5*(POWER(10,EFS_Params!F16+EFS_Params!E16*LOG10($A$8))*1000000-IF($A$8&lt;=1,EFS_Params!C16*1000,EFS_Params!C16*POWER($A$8,LN(EFS_Params!D16/EFS_Params!C16)/LN(50))*1000))/1.2*EFS_Params!H16*$W$2*$W$4*(1+EFS_Params!C29*EFS_Params!$B$25)*(1+$I$8/100*EFS_Params!D32)*(1+($W$8-1)*0.6),0)</f>
        <v>317125</v>
      </c>
      <c r="J30" s="23">
        <f>ROUND(IF($A$8&lt;=1,EFS_Params!C16*1000,EFS_Params!C16*POWER($A$8,LN(EFS_Params!D16/EFS_Params!C16)/LN(50))*1000)*EFS_Params!G16+1.5*(POWER(10,EFS_Params!F16+EFS_Params!E16*LOG10($A$8))*1000000-IF($A$8&lt;=1,EFS_Params!C16*1000,EFS_Params!C16*POWER($A$8,LN(EFS_Params!D16/EFS_Params!C16)/LN(50))*1000))/1.2*EFS_Params!H16*$W$2*$W$4*(1+EFS_Params!D29*EFS_Params!$B$25)*(1+$I$8/100*EFS_Params!D32)*(1+($W$8-1)*0.6),0)</f>
        <v>330476</v>
      </c>
      <c r="K30" s="23">
        <f>ROUND(IF($A$8&lt;=1,EFS_Params!C16*1000,EFS_Params!C16*POWER($A$8,LN(EFS_Params!D16/EFS_Params!C16)/LN(50))*1000)*EFS_Params!G16+1.5*(POWER(10,EFS_Params!F16+EFS_Params!E16*LOG10($A$8))*1000000-IF($A$8&lt;=1,EFS_Params!C16*1000,EFS_Params!C16*POWER($A$8,LN(EFS_Params!D16/EFS_Params!C16)/LN(50))*1000))/1.2*EFS_Params!H16*$W$2*$W$4*(1+EFS_Params!E29*EFS_Params!$B$25)*(1+$I$8/100*EFS_Params!D32)*(1+($W$8-1)*0.6),0)</f>
        <v>342519</v>
      </c>
      <c r="L30" s="22">
        <f>ROUND(IF($A$8&lt;=1,EFS_Params!C16*1000,EFS_Params!C16*POWER($A$8,LN(EFS_Params!D16/EFS_Params!C16)/LN(50))*1000)*EFS_Params!G16+(POWER(10,EFS_Params!F16+EFS_Params!E16*LOG10($A$8))*1000000-IF($A$8&lt;=1,EFS_Params!C16*1000,EFS_Params!C16*POWER($A$8,LN(EFS_Params!D16/EFS_Params!C16)/LN(50))*1000))/1.2*EFS_Params!H16*$W$2*$W$4*(1+EFS_Params!A29*EFS_Params!$B$25)*(1+$I$8/100*EFS_Params!D32)*(1+($W$8-1)*0.6),0)</f>
        <v>273783</v>
      </c>
      <c r="M30" s="23">
        <f>ROUND(IF($A$8&lt;=1,EFS_Params!C16*1000,EFS_Params!C16*POWER($A$8,LN(EFS_Params!D16/EFS_Params!C16)/LN(50))*1000)*EFS_Params!G16+(POWER(10,EFS_Params!F16+EFS_Params!E16*LOG10($A$8))*1000000-IF($A$8&lt;=1,EFS_Params!C16*1000,EFS_Params!C16*POWER($A$8,LN(EFS_Params!D16/EFS_Params!C16)/LN(50))*1000))/1.2*EFS_Params!H16*$W$2*$W$4*(1+EFS_Params!B29*EFS_Params!$B$25)*(1+$I$8/100*EFS_Params!D32)*(1+($W$8-1)*0.6),0)</f>
        <v>281812</v>
      </c>
      <c r="N30" s="20">
        <f>ROUND(IF($A$8&lt;=1,EFS_Params!C16*1000,EFS_Params!C16*POWER($A$8,LN(EFS_Params!D16/EFS_Params!C16)/LN(50))*1000)*EFS_Params!G16+(POWER(10,EFS_Params!F16+EFS_Params!E16*LOG10($A$8))*1000000-IF($A$8&lt;=1,EFS_Params!C16*1000,EFS_Params!C16*POWER($A$8,LN(EFS_Params!D16/EFS_Params!C16)/LN(50))*1000))/1.2*EFS_Params!H16*$W$2*$W$4*(1+EFS_Params!C29*EFS_Params!$B$25)*(1+$I$8/100*EFS_Params!D32)*(1+($W$8-1)*0.6),0)</f>
        <v>290713</v>
      </c>
      <c r="O30" s="23">
        <f>ROUND(IF($A$8&lt;=1,EFS_Params!C16*1000,EFS_Params!C16*POWER($A$8,LN(EFS_Params!D16/EFS_Params!C16)/LN(50))*1000)*EFS_Params!G16+(POWER(10,EFS_Params!F16+EFS_Params!E16*LOG10($A$8))*1000000-IF($A$8&lt;=1,EFS_Params!C16*1000,EFS_Params!C16*POWER($A$8,LN(EFS_Params!D16/EFS_Params!C16)/LN(50))*1000))/1.2*EFS_Params!H16*$W$2*$W$4*(1+EFS_Params!D29*EFS_Params!$B$25)*(1+$I$8/100*EFS_Params!D32)*(1+($W$8-1)*0.6),0)</f>
        <v>299614</v>
      </c>
      <c r="P30" s="23">
        <f>ROUND(IF($A$8&lt;=1,EFS_Params!C16*1000,EFS_Params!C16*POWER($A$8,LN(EFS_Params!D16/EFS_Params!C16)/LN(50))*1000)*EFS_Params!G16+(POWER(10,EFS_Params!F16+EFS_Params!E16*LOG10($A$8))*1000000-IF($A$8&lt;=1,EFS_Params!C16*1000,EFS_Params!C16*POWER($A$8,LN(EFS_Params!D16/EFS_Params!C16)/LN(50))*1000))/1.2*EFS_Params!H16*$W$2*$W$4*(1+EFS_Params!E29*EFS_Params!$B$25)*(1+$I$8/100*EFS_Params!D32)*(1+($W$8-1)*0.6),0)</f>
        <v>307643</v>
      </c>
      <c r="Q30" s="22">
        <f>ROUND(IF($A$8&lt;=1,EFS_Params!C16*1000,EFS_Params!C16*POWER($A$8,LN(EFS_Params!D16/EFS_Params!C16)/LN(50))*1000)*EFS_Params!G16+2*(POWER(10,EFS_Params!F16+EFS_Params!E16*LOG10($A$8))*1000000-IF($A$8&lt;=1,EFS_Params!C16*1000,EFS_Params!C16*POWER($A$8,LN(EFS_Params!D16/EFS_Params!C16)/LN(50))*1000))/1.2*EFS_Params!H16*$W$2*$W$4*(1+EFS_Params!A29*EFS_Params!$B$25)*(1+$I$8/100*EFS_Params!D32)*(1+($W$8-1)*0.6),0)</f>
        <v>309676</v>
      </c>
      <c r="R30" s="23">
        <f>ROUND(IF($A$8&lt;=1,EFS_Params!C16*1000,EFS_Params!C16*POWER($A$8,LN(EFS_Params!D16/EFS_Params!C16)/LN(50))*1000)*EFS_Params!G16+2*(POWER(10,EFS_Params!F16+EFS_Params!E16*LOG10($A$8))*1000000-IF($A$8&lt;=1,EFS_Params!C16*1000,EFS_Params!C16*POWER($A$8,LN(EFS_Params!D16/EFS_Params!C16)/LN(50))*1000))/1.2*EFS_Params!H16*$W$2*$W$4*(1+EFS_Params!B29*EFS_Params!$B$25)*(1+$I$8/100*EFS_Params!D32)*(1+($W$8-1)*0.6),0)</f>
        <v>325735</v>
      </c>
      <c r="S30" s="20">
        <f>ROUND(IF($A$8&lt;=1,EFS_Params!C16*1000,EFS_Params!C16*POWER($A$8,LN(EFS_Params!D16/EFS_Params!C16)/LN(50))*1000)*EFS_Params!G16+2*(POWER(10,EFS_Params!F16+EFS_Params!E16*LOG10($A$8))*1000000-IF($A$8&lt;=1,EFS_Params!C16*1000,EFS_Params!C16*POWER($A$8,LN(EFS_Params!D16/EFS_Params!C16)/LN(50))*1000))/1.2*EFS_Params!H16*$W$2*$W$4*(1+EFS_Params!C29*EFS_Params!$B$25)*(1+$I$8/100*EFS_Params!D32)*(1+($W$8-1)*0.6),0)</f>
        <v>343536</v>
      </c>
      <c r="T30" s="23">
        <f>ROUND(IF($A$8&lt;=1,EFS_Params!C16*1000,EFS_Params!C16*POWER($A$8,LN(EFS_Params!D16/EFS_Params!C16)/LN(50))*1000)*EFS_Params!G16+2*(POWER(10,EFS_Params!F16+EFS_Params!E16*LOG10($A$8))*1000000-IF($A$8&lt;=1,EFS_Params!C16*1000,EFS_Params!C16*POWER($A$8,LN(EFS_Params!D16/EFS_Params!C16)/LN(50))*1000))/1.2*EFS_Params!H16*$W$2*$W$4*(1+EFS_Params!D29*EFS_Params!$B$25)*(1+$I$8/100*EFS_Params!D32)*(1+($W$8-1)*0.6),0)</f>
        <v>361338</v>
      </c>
      <c r="U30" s="23">
        <f>ROUND(IF($A$8&lt;=1,EFS_Params!C16*1000,EFS_Params!C16*POWER($A$8,LN(EFS_Params!D16/EFS_Params!C16)/LN(50))*1000)*EFS_Params!G16+2*(POWER(10,EFS_Params!F16+EFS_Params!E16*LOG10($A$8))*1000000-IF($A$8&lt;=1,EFS_Params!C16*1000,EFS_Params!C16*POWER($A$8,LN(EFS_Params!D16/EFS_Params!C16)/LN(50))*1000))/1.2*EFS_Params!H16*$W$2*$W$4*(1+EFS_Params!E29*EFS_Params!$B$25)*(1+$I$8/100*EFS_Params!D32)*(1+($W$8-1)*0.6),0)</f>
        <v>377396</v>
      </c>
      <c r="V30" s="5"/>
      <c r="W30" s="5"/>
    </row>
    <row r="31" spans="1:23" ht="18" customHeight="1" x14ac:dyDescent="0.3">
      <c r="A31" s="17" t="s">
        <v>53</v>
      </c>
      <c r="B31" s="18">
        <f>ROUND(IF($A$8&lt;=1,EFS_Params!C17*1000,EFS_Params!C17*POWER($A$8,LN(EFS_Params!D17/EFS_Params!C17)/LN(50))*1000)*EFS_Params!G17*$W$2*$W$4*(1+EFS_Params!A29*EFS_Params!$B$25)*(1+($W$8-1)*0.7),0)</f>
        <v>203935</v>
      </c>
      <c r="C31" s="19">
        <f>ROUND(IF($A$8&lt;=1,EFS_Params!C17*1000,EFS_Params!C17*POWER($A$8,LN(EFS_Params!D17/EFS_Params!C17)/LN(50))*1000)*EFS_Params!G17*$W$2*$W$4*(1+EFS_Params!B29*EFS_Params!$B$25)*(1+($W$8-1)*0.7),0)</f>
        <v>249553</v>
      </c>
      <c r="D31" s="20">
        <f>ROUND(IF($A$8&lt;=1,EFS_Params!C17*1000,EFS_Params!C17*POWER($A$8,LN(EFS_Params!D17/EFS_Params!C17)/LN(50))*1000)*EFS_Params!G17*$W$2*$W$4*(1+EFS_Params!C29*EFS_Params!$B$25)*(1+($W$8-1)*0.7),0)</f>
        <v>300124</v>
      </c>
      <c r="E31" s="19">
        <f>ROUND(IF($A$8&lt;=1,EFS_Params!C17*1000,EFS_Params!C17*POWER($A$8,LN(EFS_Params!D17/EFS_Params!C17)/LN(50))*1000)*EFS_Params!G17*$W$2*$W$4*(1+EFS_Params!D29*EFS_Params!$B$25)*(1+($W$8-1)*0.7),0)</f>
        <v>350695</v>
      </c>
      <c r="F31" s="19">
        <f>ROUND(IF($A$8&lt;=1,EFS_Params!C17*1000,EFS_Params!C17*POWER($A$8,LN(EFS_Params!D17/EFS_Params!C17)/LN(50))*1000)*EFS_Params!G17*$W$2*$W$4*(1+EFS_Params!E29*EFS_Params!$B$25)*(1+($W$8-1)*0.7),0)</f>
        <v>396314</v>
      </c>
      <c r="G31" s="18">
        <f>ROUND(IF($A$8&lt;=1,EFS_Params!C17*1000,EFS_Params!C17*POWER($A$8,LN(EFS_Params!D17/EFS_Params!C17)/LN(50))*1000)*EFS_Params!G17+1.5*(POWER(10,EFS_Params!F17+EFS_Params!E17*LOG10($A$8))*1000000-IF($A$8&lt;=1,EFS_Params!C17*1000,EFS_Params!C17*POWER($A$8,LN(EFS_Params!D17/EFS_Params!C17)/LN(50))*1000))/1.2*EFS_Params!H17*$W$2*$W$4*(1+EFS_Params!A29*EFS_Params!$B$25)*(1+$I$8/100*EFS_Params!E32)*(1+($W$8-1)*0.7),0)</f>
        <v>362957</v>
      </c>
      <c r="H31" s="19">
        <f>ROUND(IF($A$8&lt;=1,EFS_Params!C17*1000,EFS_Params!C17*POWER($A$8,LN(EFS_Params!D17/EFS_Params!C17)/LN(50))*1000)*EFS_Params!G17+1.5*(POWER(10,EFS_Params!F17+EFS_Params!E17*LOG10($A$8))*1000000-IF($A$8&lt;=1,EFS_Params!C17*1000,EFS_Params!C17*POWER($A$8,LN(EFS_Params!D17/EFS_Params!C17)/LN(50))*1000))/1.2*EFS_Params!H17*$W$2*$W$4*(1+EFS_Params!B29*EFS_Params!$B$25)*(1+$I$8/100*EFS_Params!E32)*(1+($W$8-1)*0.7),0)</f>
        <v>378315</v>
      </c>
      <c r="I31" s="20">
        <f>ROUND(IF($A$8&lt;=1,EFS_Params!C17*1000,EFS_Params!C17*POWER($A$8,LN(EFS_Params!D17/EFS_Params!C17)/LN(50))*1000)*EFS_Params!G17+1.5*(POWER(10,EFS_Params!F17+EFS_Params!E17*LOG10($A$8))*1000000-IF($A$8&lt;=1,EFS_Params!C17*1000,EFS_Params!C17*POWER($A$8,LN(EFS_Params!D17/EFS_Params!C17)/LN(50))*1000))/1.2*EFS_Params!H17*$W$2*$W$4*(1+EFS_Params!C29*EFS_Params!$B$25)*(1+$I$8/100*EFS_Params!E32)*(1+($W$8-1)*0.7),0)</f>
        <v>395342</v>
      </c>
      <c r="J31" s="19">
        <f>ROUND(IF($A$8&lt;=1,EFS_Params!C17*1000,EFS_Params!C17*POWER($A$8,LN(EFS_Params!D17/EFS_Params!C17)/LN(50))*1000)*EFS_Params!G17+1.5*(POWER(10,EFS_Params!F17+EFS_Params!E17*LOG10($A$8))*1000000-IF($A$8&lt;=1,EFS_Params!C17*1000,EFS_Params!C17*POWER($A$8,LN(EFS_Params!D17/EFS_Params!C17)/LN(50))*1000))/1.2*EFS_Params!H17*$W$2*$W$4*(1+EFS_Params!D29*EFS_Params!$B$25)*(1+$I$8/100*EFS_Params!E32)*(1+($W$8-1)*0.7),0)</f>
        <v>412368</v>
      </c>
      <c r="K31" s="19">
        <f>ROUND(IF($A$8&lt;=1,EFS_Params!C17*1000,EFS_Params!C17*POWER($A$8,LN(EFS_Params!D17/EFS_Params!C17)/LN(50))*1000)*EFS_Params!G17+1.5*(POWER(10,EFS_Params!F17+EFS_Params!E17*LOG10($A$8))*1000000-IF($A$8&lt;=1,EFS_Params!C17*1000,EFS_Params!C17*POWER($A$8,LN(EFS_Params!D17/EFS_Params!C17)/LN(50))*1000))/1.2*EFS_Params!H17*$W$2*$W$4*(1+EFS_Params!E29*EFS_Params!$B$25)*(1+$I$8/100*EFS_Params!E32)*(1+($W$8-1)*0.7),0)</f>
        <v>427727</v>
      </c>
      <c r="L31" s="18">
        <f>ROUND(IF($A$8&lt;=1,EFS_Params!C17*1000,EFS_Params!C17*POWER($A$8,LN(EFS_Params!D17/EFS_Params!C17)/LN(50))*1000)*EFS_Params!G17+(POWER(10,EFS_Params!F17+EFS_Params!E17*LOG10($A$8))*1000000-IF($A$8&lt;=1,EFS_Params!C17*1000,EFS_Params!C17*POWER($A$8,LN(EFS_Params!D17/EFS_Params!C17)/LN(50))*1000))/1.2*EFS_Params!H17*$W$2*$W$4*(1+EFS_Params!A29*EFS_Params!$B$25)*(1+$I$8/100*EFS_Params!E32)*(1+($W$8-1)*0.7),0)</f>
        <v>340070</v>
      </c>
      <c r="M31" s="19">
        <f>ROUND(IF($A$8&lt;=1,EFS_Params!C17*1000,EFS_Params!C17*POWER($A$8,LN(EFS_Params!D17/EFS_Params!C17)/LN(50))*1000)*EFS_Params!G17+(POWER(10,EFS_Params!F17+EFS_Params!E17*LOG10($A$8))*1000000-IF($A$8&lt;=1,EFS_Params!C17*1000,EFS_Params!C17*POWER($A$8,LN(EFS_Params!D17/EFS_Params!C17)/LN(50))*1000))/1.2*EFS_Params!H17*$W$2*$W$4*(1+EFS_Params!B29*EFS_Params!$B$25)*(1+$I$8/100*EFS_Params!E32)*(1+($W$8-1)*0.7),0)</f>
        <v>350309</v>
      </c>
      <c r="N31" s="20">
        <f>ROUND(IF($A$8&lt;=1,EFS_Params!C17*1000,EFS_Params!C17*POWER($A$8,LN(EFS_Params!D17/EFS_Params!C17)/LN(50))*1000)*EFS_Params!G17+(POWER(10,EFS_Params!F17+EFS_Params!E17*LOG10($A$8))*1000000-IF($A$8&lt;=1,EFS_Params!C17*1000,EFS_Params!C17*POWER($A$8,LN(EFS_Params!D17/EFS_Params!C17)/LN(50))*1000))/1.2*EFS_Params!H17*$W$2*$W$4*(1+EFS_Params!C29*EFS_Params!$B$25)*(1+$I$8/100*EFS_Params!E32)*(1+($W$8-1)*0.7),0)</f>
        <v>361660</v>
      </c>
      <c r="O31" s="19">
        <f>ROUND(IF($A$8&lt;=1,EFS_Params!C17*1000,EFS_Params!C17*POWER($A$8,LN(EFS_Params!D17/EFS_Params!C17)/LN(50))*1000)*EFS_Params!G17+(POWER(10,EFS_Params!F17+EFS_Params!E17*LOG10($A$8))*1000000-IF($A$8&lt;=1,EFS_Params!C17*1000,EFS_Params!C17*POWER($A$8,LN(EFS_Params!D17/EFS_Params!C17)/LN(50))*1000))/1.2*EFS_Params!H17*$W$2*$W$4*(1+EFS_Params!D29*EFS_Params!$B$25)*(1+$I$8/100*EFS_Params!E32)*(1+($W$8-1)*0.7),0)</f>
        <v>373011</v>
      </c>
      <c r="P31" s="19">
        <f>ROUND(IF($A$8&lt;=1,EFS_Params!C17*1000,EFS_Params!C17*POWER($A$8,LN(EFS_Params!D17/EFS_Params!C17)/LN(50))*1000)*EFS_Params!G17+(POWER(10,EFS_Params!F17+EFS_Params!E17*LOG10($A$8))*1000000-IF($A$8&lt;=1,EFS_Params!C17*1000,EFS_Params!C17*POWER($A$8,LN(EFS_Params!D17/EFS_Params!C17)/LN(50))*1000))/1.2*EFS_Params!H17*$W$2*$W$4*(1+EFS_Params!E29*EFS_Params!$B$25)*(1+$I$8/100*EFS_Params!E32)*(1+($W$8-1)*0.7),0)</f>
        <v>383250</v>
      </c>
      <c r="Q31" s="18">
        <f>ROUND(IF($A$8&lt;=1,EFS_Params!C17*1000,EFS_Params!C17*POWER($A$8,LN(EFS_Params!D17/EFS_Params!C17)/LN(50))*1000)*EFS_Params!G17+2*(POWER(10,EFS_Params!F17+EFS_Params!E17*LOG10($A$8))*1000000-IF($A$8&lt;=1,EFS_Params!C17*1000,EFS_Params!C17*POWER($A$8,LN(EFS_Params!D17/EFS_Params!C17)/LN(50))*1000))/1.2*EFS_Params!H17*$W$2*$W$4*(1+EFS_Params!A29*EFS_Params!$B$25)*(1+$I$8/100*EFS_Params!E32)*(1+($W$8-1)*0.7),0)</f>
        <v>385843</v>
      </c>
      <c r="R31" s="19">
        <f>ROUND(IF($A$8&lt;=1,EFS_Params!C17*1000,EFS_Params!C17*POWER($A$8,LN(EFS_Params!D17/EFS_Params!C17)/LN(50))*1000)*EFS_Params!G17+2*(POWER(10,EFS_Params!F17+EFS_Params!E17*LOG10($A$8))*1000000-IF($A$8&lt;=1,EFS_Params!C17*1000,EFS_Params!C17*POWER($A$8,LN(EFS_Params!D17/EFS_Params!C17)/LN(50))*1000))/1.2*EFS_Params!H17*$W$2*$W$4*(1+EFS_Params!B29*EFS_Params!$B$25)*(1+$I$8/100*EFS_Params!E32)*(1+($W$8-1)*0.7),0)</f>
        <v>406322</v>
      </c>
      <c r="S31" s="20">
        <f>ROUND(IF($A$8&lt;=1,EFS_Params!C17*1000,EFS_Params!C17*POWER($A$8,LN(EFS_Params!D17/EFS_Params!C17)/LN(50))*1000)*EFS_Params!G17+2*(POWER(10,EFS_Params!F17+EFS_Params!E17*LOG10($A$8))*1000000-IF($A$8&lt;=1,EFS_Params!C17*1000,EFS_Params!C17*POWER($A$8,LN(EFS_Params!D17/EFS_Params!C17)/LN(50))*1000))/1.2*EFS_Params!H17*$W$2*$W$4*(1+EFS_Params!C29*EFS_Params!$B$25)*(1+$I$8/100*EFS_Params!E32)*(1+($W$8-1)*0.7),0)</f>
        <v>429023</v>
      </c>
      <c r="T31" s="19">
        <f>ROUND(IF($A$8&lt;=1,EFS_Params!C17*1000,EFS_Params!C17*POWER($A$8,LN(EFS_Params!D17/EFS_Params!C17)/LN(50))*1000)*EFS_Params!G17+2*(POWER(10,EFS_Params!F17+EFS_Params!E17*LOG10($A$8))*1000000-IF($A$8&lt;=1,EFS_Params!C17*1000,EFS_Params!C17*POWER($A$8,LN(EFS_Params!D17/EFS_Params!C17)/LN(50))*1000))/1.2*EFS_Params!H17*$W$2*$W$4*(1+EFS_Params!D29*EFS_Params!$B$25)*(1+$I$8/100*EFS_Params!E32)*(1+($W$8-1)*0.7),0)</f>
        <v>451725</v>
      </c>
      <c r="U31" s="19">
        <f>ROUND(IF($A$8&lt;=1,EFS_Params!C17*1000,EFS_Params!C17*POWER($A$8,LN(EFS_Params!D17/EFS_Params!C17)/LN(50))*1000)*EFS_Params!G17+2*(POWER(10,EFS_Params!F17+EFS_Params!E17*LOG10($A$8))*1000000-IF($A$8&lt;=1,EFS_Params!C17*1000,EFS_Params!C17*POWER($A$8,LN(EFS_Params!D17/EFS_Params!C17)/LN(50))*1000))/1.2*EFS_Params!H17*$W$2*$W$4*(1+EFS_Params!E29*EFS_Params!$B$25)*(1+$I$8/100*EFS_Params!E32)*(1+($W$8-1)*0.7),0)</f>
        <v>472204</v>
      </c>
      <c r="V31" s="5"/>
      <c r="W31" s="5"/>
    </row>
    <row r="32" spans="1:23" ht="18" customHeight="1" x14ac:dyDescent="0.3">
      <c r="A32" s="24" t="s">
        <v>54</v>
      </c>
      <c r="B32" s="25">
        <f>ROUND(IF($A$8&lt;=1,EFS_Params!C18*1000,EFS_Params!C18*POWER($A$8,LN(EFS_Params!D18/EFS_Params!C18)/LN(50))*1000)*EFS_Params!G18*$W$2*$W$4*(1+EFS_Params!A29*EFS_Params!$B$25)*(1+($W$8-1)*0.8),0)</f>
        <v>325569</v>
      </c>
      <c r="C32" s="26">
        <f>ROUND(IF($A$8&lt;=1,EFS_Params!C18*1000,EFS_Params!C18*POWER($A$8,LN(EFS_Params!D18/EFS_Params!C18)/LN(50))*1000)*EFS_Params!G18*$W$2*$W$4*(1+EFS_Params!B29*EFS_Params!$B$25)*(1+($W$8-1)*0.8),0)</f>
        <v>398396</v>
      </c>
      <c r="D32" s="27">
        <f>ROUND(IF($A$8&lt;=1,EFS_Params!C18*1000,EFS_Params!C18*POWER($A$8,LN(EFS_Params!D18/EFS_Params!C18)/LN(50))*1000)*EFS_Params!G18*$W$2*$W$4*(1+EFS_Params!C29*EFS_Params!$B$25)*(1+($W$8-1)*0.8),0)</f>
        <v>479130</v>
      </c>
      <c r="E32" s="26">
        <f>ROUND(IF($A$8&lt;=1,EFS_Params!C18*1000,EFS_Params!C18*POWER($A$8,LN(EFS_Params!D18/EFS_Params!C18)/LN(50))*1000)*EFS_Params!G18*$W$2*$W$4*(1+EFS_Params!D29*EFS_Params!$B$25)*(1+($W$8-1)*0.8),0)</f>
        <v>559863</v>
      </c>
      <c r="F32" s="26">
        <f>ROUND(IF($A$8&lt;=1,EFS_Params!C18*1000,EFS_Params!C18*POWER($A$8,LN(EFS_Params!D18/EFS_Params!C18)/LN(50))*1000)*EFS_Params!G18*$W$2*$W$4*(1+EFS_Params!E29*EFS_Params!$B$25)*(1+($W$8-1)*0.8),0)</f>
        <v>632691</v>
      </c>
      <c r="G32" s="25">
        <f>ROUND(IF($A$8&lt;=1,EFS_Params!C18*1000,EFS_Params!C18*POWER($A$8,LN(EFS_Params!D18/EFS_Params!C18)/LN(50))*1000)*EFS_Params!G18+1.5*(POWER(10,EFS_Params!F18+EFS_Params!E18*LOG10($A$8))*1000000-IF($A$8&lt;=1,EFS_Params!C18*1000,EFS_Params!C18*POWER($A$8,LN(EFS_Params!D18/EFS_Params!C18)/LN(50))*1000))/1.2*EFS_Params!H18*$W$2*$W$4*(1+EFS_Params!A29*EFS_Params!$B$25)*(1+$I$8/100*EFS_Params!F32)*(1+($W$8-1)*0.8),0)</f>
        <v>635137</v>
      </c>
      <c r="H32" s="26">
        <f>ROUND(IF($A$8&lt;=1,EFS_Params!C18*1000,EFS_Params!C18*POWER($A$8,LN(EFS_Params!D18/EFS_Params!C18)/LN(50))*1000)*EFS_Params!G18+1.5*(POWER(10,EFS_Params!F18+EFS_Params!E18*LOG10($A$8))*1000000-IF($A$8&lt;=1,EFS_Params!C18*1000,EFS_Params!C18*POWER($A$8,LN(EFS_Params!D18/EFS_Params!C18)/LN(50))*1000))/1.2*EFS_Params!H18*$W$2*$W$4*(1+EFS_Params!B29*EFS_Params!$B$25)*(1+$I$8/100*EFS_Params!F32)*(1+($W$8-1)*0.8),0)</f>
        <v>672117</v>
      </c>
      <c r="I32" s="27">
        <f>ROUND(IF($A$8&lt;=1,EFS_Params!C18*1000,EFS_Params!C18*POWER($A$8,LN(EFS_Params!D18/EFS_Params!C18)/LN(50))*1000)*EFS_Params!G18+1.5*(POWER(10,EFS_Params!F18+EFS_Params!E18*LOG10($A$8))*1000000-IF($A$8&lt;=1,EFS_Params!C18*1000,EFS_Params!C18*POWER($A$8,LN(EFS_Params!D18/EFS_Params!C18)/LN(50))*1000))/1.2*EFS_Params!H18*$W$2*$W$4*(1+EFS_Params!C29*EFS_Params!$B$25)*(1+$I$8/100*EFS_Params!F32)*(1+($W$8-1)*0.8),0)</f>
        <v>713110</v>
      </c>
      <c r="J32" s="26">
        <f>ROUND(IF($A$8&lt;=1,EFS_Params!C18*1000,EFS_Params!C18*POWER($A$8,LN(EFS_Params!D18/EFS_Params!C18)/LN(50))*1000)*EFS_Params!G18+1.5*(POWER(10,EFS_Params!F18+EFS_Params!E18*LOG10($A$8))*1000000-IF($A$8&lt;=1,EFS_Params!C18*1000,EFS_Params!C18*POWER($A$8,LN(EFS_Params!D18/EFS_Params!C18)/LN(50))*1000))/1.2*EFS_Params!H18*$W$2*$W$4*(1+EFS_Params!D29*EFS_Params!$B$25)*(1+$I$8/100*EFS_Params!F32)*(1+($W$8-1)*0.8),0)</f>
        <v>754104</v>
      </c>
      <c r="K32" s="26">
        <f>ROUND(IF($A$8&lt;=1,EFS_Params!C18*1000,EFS_Params!C18*POWER($A$8,LN(EFS_Params!D18/EFS_Params!C18)/LN(50))*1000)*EFS_Params!G18+1.5*(POWER(10,EFS_Params!F18+EFS_Params!E18*LOG10($A$8))*1000000-IF($A$8&lt;=1,EFS_Params!C18*1000,EFS_Params!C18*POWER($A$8,LN(EFS_Params!D18/EFS_Params!C18)/LN(50))*1000))/1.2*EFS_Params!H18*$W$2*$W$4*(1+EFS_Params!E29*EFS_Params!$B$25)*(1+$I$8/100*EFS_Params!F32)*(1+($W$8-1)*0.8),0)</f>
        <v>791083</v>
      </c>
      <c r="L32" s="25">
        <f>ROUND(IF($A$8&lt;=1,EFS_Params!C18*1000,EFS_Params!C18*POWER($A$8,LN(EFS_Params!D18/EFS_Params!C18)/LN(50))*1000)*EFS_Params!G18+(POWER(10,EFS_Params!F18+EFS_Params!E18*LOG10($A$8))*1000000-IF($A$8&lt;=1,EFS_Params!C18*1000,EFS_Params!C18*POWER($A$8,LN(EFS_Params!D18/EFS_Params!C18)/LN(50))*1000))/1.2*EFS_Params!H18*$W$2*$W$4*(1+EFS_Params!A29*EFS_Params!$B$25)*(1+$I$8/100*EFS_Params!F32)*(1+($W$8-1)*0.8),0)</f>
        <v>580033</v>
      </c>
      <c r="M32" s="26">
        <f>ROUND(IF($A$8&lt;=1,EFS_Params!C18*1000,EFS_Params!C18*POWER($A$8,LN(EFS_Params!D18/EFS_Params!C18)/LN(50))*1000)*EFS_Params!G18+(POWER(10,EFS_Params!F18+EFS_Params!E18*LOG10($A$8))*1000000-IF($A$8&lt;=1,EFS_Params!C18*1000,EFS_Params!C18*POWER($A$8,LN(EFS_Params!D18/EFS_Params!C18)/LN(50))*1000))/1.2*EFS_Params!H18*$W$2*$W$4*(1+EFS_Params!B29*EFS_Params!$B$25)*(1+$I$8/100*EFS_Params!F32)*(1+($W$8-1)*0.8),0)</f>
        <v>604686</v>
      </c>
      <c r="N32" s="27">
        <f>ROUND(IF($A$8&lt;=1,EFS_Params!C18*1000,EFS_Params!C18*POWER($A$8,LN(EFS_Params!D18/EFS_Params!C18)/LN(50))*1000)*EFS_Params!G18+(POWER(10,EFS_Params!F18+EFS_Params!E18*LOG10($A$8))*1000000-IF($A$8&lt;=1,EFS_Params!C18*1000,EFS_Params!C18*POWER($A$8,LN(EFS_Params!D18/EFS_Params!C18)/LN(50))*1000))/1.2*EFS_Params!H18*$W$2*$W$4*(1+EFS_Params!C29*EFS_Params!$B$25)*(1+$I$8/100*EFS_Params!F32)*(1+($W$8-1)*0.8),0)</f>
        <v>632015</v>
      </c>
      <c r="O32" s="26">
        <f>ROUND(IF($A$8&lt;=1,EFS_Params!C18*1000,EFS_Params!C18*POWER($A$8,LN(EFS_Params!D18/EFS_Params!C18)/LN(50))*1000)*EFS_Params!G18+(POWER(10,EFS_Params!F18+EFS_Params!E18*LOG10($A$8))*1000000-IF($A$8&lt;=1,EFS_Params!C18*1000,EFS_Params!C18*POWER($A$8,LN(EFS_Params!D18/EFS_Params!C18)/LN(50))*1000))/1.2*EFS_Params!H18*$W$2*$W$4*(1+EFS_Params!D29*EFS_Params!$B$25)*(1+$I$8/100*EFS_Params!F32)*(1+($W$8-1)*0.8),0)</f>
        <v>659344</v>
      </c>
      <c r="P32" s="26">
        <f>ROUND(IF($A$8&lt;=1,EFS_Params!C18*1000,EFS_Params!C18*POWER($A$8,LN(EFS_Params!D18/EFS_Params!C18)/LN(50))*1000)*EFS_Params!G18+(POWER(10,EFS_Params!F18+EFS_Params!E18*LOG10($A$8))*1000000-IF($A$8&lt;=1,EFS_Params!C18*1000,EFS_Params!C18*POWER($A$8,LN(EFS_Params!D18/EFS_Params!C18)/LN(50))*1000))/1.2*EFS_Params!H18*$W$2*$W$4*(1+EFS_Params!E29*EFS_Params!$B$25)*(1+$I$8/100*EFS_Params!F32)*(1+($W$8-1)*0.8),0)</f>
        <v>683997</v>
      </c>
      <c r="Q32" s="25">
        <f>ROUND(IF($A$8&lt;=1,EFS_Params!C18*1000,EFS_Params!C18*POWER($A$8,LN(EFS_Params!D18/EFS_Params!C18)/LN(50))*1000)*EFS_Params!G18+2*(POWER(10,EFS_Params!F18+EFS_Params!E18*LOG10($A$8))*1000000-IF($A$8&lt;=1,EFS_Params!C18*1000,EFS_Params!C18*POWER($A$8,LN(EFS_Params!D18/EFS_Params!C18)/LN(50))*1000))/1.2*EFS_Params!H18*$W$2*$W$4*(1+EFS_Params!A29*EFS_Params!$B$25)*(1+$I$8/100*EFS_Params!F32)*(1+($W$8-1)*0.8),0)</f>
        <v>690241</v>
      </c>
      <c r="R32" s="26">
        <f>ROUND(IF($A$8&lt;=1,EFS_Params!C18*1000,EFS_Params!C18*POWER($A$8,LN(EFS_Params!D18/EFS_Params!C18)/LN(50))*1000)*EFS_Params!G18+2*(POWER(10,EFS_Params!F18+EFS_Params!E18*LOG10($A$8))*1000000-IF($A$8&lt;=1,EFS_Params!C18*1000,EFS_Params!C18*POWER($A$8,LN(EFS_Params!D18/EFS_Params!C18)/LN(50))*1000))/1.2*EFS_Params!H18*$W$2*$W$4*(1+EFS_Params!B29*EFS_Params!$B$25)*(1+$I$8/100*EFS_Params!F32)*(1+($W$8-1)*0.8),0)</f>
        <v>739547</v>
      </c>
      <c r="S32" s="27">
        <f>ROUND(IF($A$8&lt;=1,EFS_Params!C18*1000,EFS_Params!C18*POWER($A$8,LN(EFS_Params!D18/EFS_Params!C18)/LN(50))*1000)*EFS_Params!G18+2*(POWER(10,EFS_Params!F18+EFS_Params!E18*LOG10($A$8))*1000000-IF($A$8&lt;=1,EFS_Params!C18*1000,EFS_Params!C18*POWER($A$8,LN(EFS_Params!D18/EFS_Params!C18)/LN(50))*1000))/1.2*EFS_Params!H18*$W$2*$W$4*(1+EFS_Params!C29*EFS_Params!$B$25)*(1+$I$8/100*EFS_Params!F32)*(1+($W$8-1)*0.8),0)</f>
        <v>794205</v>
      </c>
      <c r="T32" s="26">
        <f>ROUND(IF($A$8&lt;=1,EFS_Params!C18*1000,EFS_Params!C18*POWER($A$8,LN(EFS_Params!D18/EFS_Params!C18)/LN(50))*1000)*EFS_Params!G18+2*(POWER(10,EFS_Params!F18+EFS_Params!E18*LOG10($A$8))*1000000-IF($A$8&lt;=1,EFS_Params!C18*1000,EFS_Params!C18*POWER($A$8,LN(EFS_Params!D18/EFS_Params!C18)/LN(50))*1000))/1.2*EFS_Params!H18*$W$2*$W$4*(1+EFS_Params!D29*EFS_Params!$B$25)*(1+$I$8/100*EFS_Params!F32)*(1+($W$8-1)*0.8),0)</f>
        <v>848863</v>
      </c>
      <c r="U32" s="26">
        <f>ROUND(IF($A$8&lt;=1,EFS_Params!C18*1000,EFS_Params!C18*POWER($A$8,LN(EFS_Params!D18/EFS_Params!C18)/LN(50))*1000)*EFS_Params!G18+2*(POWER(10,EFS_Params!F18+EFS_Params!E18*LOG10($A$8))*1000000-IF($A$8&lt;=1,EFS_Params!C18*1000,EFS_Params!C18*POWER($A$8,LN(EFS_Params!D18/EFS_Params!C18)/LN(50))*1000))/1.2*EFS_Params!H18*$W$2*$W$4*(1+EFS_Params!E29*EFS_Params!$B$25)*(1+$I$8/100*EFS_Params!F32)*(1+($W$8-1)*0.8),0)</f>
        <v>898169</v>
      </c>
      <c r="V32" s="5"/>
      <c r="W32" s="5"/>
    </row>
    <row r="33" spans="1:23" ht="7.9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.05" customHeight="1" x14ac:dyDescent="0.3">
      <c r="A34" s="106" t="s">
        <v>34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5"/>
      <c r="W34" s="5"/>
    </row>
  </sheetData>
  <mergeCells count="17">
    <mergeCell ref="A34:U34"/>
    <mergeCell ref="L12:P12"/>
    <mergeCell ref="B12:F12"/>
    <mergeCell ref="Q25:U25"/>
    <mergeCell ref="A24:U24"/>
    <mergeCell ref="Q12:U12"/>
    <mergeCell ref="G12:K12"/>
    <mergeCell ref="A1:U1"/>
    <mergeCell ref="A2:U2"/>
    <mergeCell ref="D8:F8"/>
    <mergeCell ref="B25:F25"/>
    <mergeCell ref="L25:P25"/>
    <mergeCell ref="A11:U11"/>
    <mergeCell ref="G25:K25"/>
    <mergeCell ref="A5:U5"/>
    <mergeCell ref="D9:F9"/>
    <mergeCell ref="D7:F7"/>
  </mergeCells>
  <dataValidations count="4">
    <dataValidation type="list" sqref="D8" xr:uid="{00000000-0002-0000-0000-000000000000}">
      <formula1>"National Average,New York City,San Francisco,Boston,Washington DC,Dallas/Atlanta"</formula1>
    </dataValidation>
    <dataValidation type="decimal" showErrorMessage="1" errorTitle="AUM Out of Range" error="AUM must be between $1B and 50B" sqref="A8" xr:uid="{00000000-0002-0000-0000-000001000000}">
      <formula1>1</formula1>
      <formula2>50</formula2>
    </dataValidation>
    <dataValidation type="list" errorTitle="Invalid Pool Adjustment" error="Select a value between -30 and +30" sqref="I8" xr:uid="{00000000-0002-0000-0000-000002000000}">
      <formula1>"-30,-25,-20,-15,-10,-5,-4,-3,-2,-1,0,1,2,3,4,5,10,15,20,25,30"</formula1>
    </dataValidation>
    <dataValidation type="list" sqref="G8" xr:uid="{00000000-0002-0000-0000-000003000000}">
      <formula1>"1,2,3,4,5"</formula1>
    </dataValidation>
  </dataValidations>
  <hyperlinks>
    <hyperlink ref="A1" r:id="rId1" xr:uid="{00000000-0004-0000-0000-000000000000}"/>
    <hyperlink ref="A34" r:id="rId2" xr:uid="{00000000-0004-0000-0000-000001000000}"/>
  </hyperlinks>
  <printOptions horizontalCentered="1"/>
  <pageMargins left="0.75" right="0.75" top="1" bottom="1" header="0.5" footer="0.5"/>
  <pageSetup orientation="landscape"/>
  <headerFooter>
    <oddFooter>&amp;L&amp;G</oddFooter>
  </headerFooter>
  <colBreaks count="3" manualBreakCount="3">
    <brk id="6" min="10" max="34" man="1"/>
    <brk id="11" min="10" max="34" man="1"/>
    <brk id="16" min="10" max="34" man="1"/>
  </colBreaks>
  <ignoredErrors>
    <ignoredError sqref="A1:U7 A9:U60 B8:C8 E8:F8 H8 J8:U8" numberStoredAsText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L35"/>
  <sheetViews>
    <sheetView showGridLines="0" workbookViewId="0"/>
  </sheetViews>
  <sheetFormatPr defaultRowHeight="14.4" x14ac:dyDescent="0.3"/>
  <cols>
    <col min="1" max="1" width="20" customWidth="1"/>
    <col min="2" max="12" width="14" customWidth="1"/>
  </cols>
  <sheetData>
    <row r="1" spans="1:12" ht="22.05" customHeight="1" x14ac:dyDescent="0.3">
      <c r="A1" s="37" t="s">
        <v>149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9.95" customHeight="1" x14ac:dyDescent="0.3">
      <c r="A2" s="38" t="s">
        <v>129</v>
      </c>
      <c r="B2" s="39">
        <f>POWER(1.04, 0.5)</f>
        <v>1.019803902718557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22.05" customHeight="1" x14ac:dyDescent="0.3">
      <c r="A4" s="37" t="s">
        <v>150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9.95" customHeight="1" x14ac:dyDescent="0.3">
      <c r="A5" s="38" t="s">
        <v>73</v>
      </c>
      <c r="B5" s="39" t="s">
        <v>151</v>
      </c>
      <c r="C5" s="39" t="s">
        <v>152</v>
      </c>
      <c r="D5" s="39" t="s">
        <v>153</v>
      </c>
      <c r="E5" s="39" t="s">
        <v>154</v>
      </c>
      <c r="F5" s="39" t="s">
        <v>155</v>
      </c>
      <c r="G5" s="39" t="s">
        <v>156</v>
      </c>
      <c r="H5" s="39" t="s">
        <v>157</v>
      </c>
      <c r="I5" s="39" t="s">
        <v>158</v>
      </c>
      <c r="J5" s="39" t="s">
        <v>159</v>
      </c>
      <c r="K5" s="39" t="s">
        <v>160</v>
      </c>
      <c r="L5" s="39" t="s">
        <v>161</v>
      </c>
    </row>
    <row r="6" spans="1:12" x14ac:dyDescent="0.3">
      <c r="A6" s="40" t="s">
        <v>74</v>
      </c>
      <c r="B6" s="43">
        <v>363623</v>
      </c>
      <c r="C6" s="43">
        <v>426250</v>
      </c>
      <c r="D6" s="43">
        <v>550000</v>
      </c>
      <c r="E6" s="43">
        <v>592500</v>
      </c>
      <c r="F6" s="43">
        <v>638312</v>
      </c>
      <c r="G6" s="43">
        <v>1328118</v>
      </c>
      <c r="H6" s="43">
        <v>2208405</v>
      </c>
      <c r="I6" s="43">
        <v>4050733</v>
      </c>
      <c r="J6" s="43">
        <v>5307815</v>
      </c>
      <c r="K6" s="43">
        <v>5913043</v>
      </c>
      <c r="L6" s="43">
        <v>63</v>
      </c>
    </row>
    <row r="7" spans="1:12" x14ac:dyDescent="0.3">
      <c r="A7" s="40" t="s">
        <v>51</v>
      </c>
      <c r="B7" s="43">
        <v>274765</v>
      </c>
      <c r="C7" s="43">
        <v>370000</v>
      </c>
      <c r="D7" s="43">
        <v>450000</v>
      </c>
      <c r="E7" s="43">
        <v>500000</v>
      </c>
      <c r="F7" s="43">
        <v>525000</v>
      </c>
      <c r="G7" s="43">
        <v>1291774</v>
      </c>
      <c r="H7" s="43">
        <v>1999770</v>
      </c>
      <c r="I7" s="43">
        <v>2927855</v>
      </c>
      <c r="J7" s="43">
        <v>4132710</v>
      </c>
      <c r="K7" s="43">
        <v>4734527</v>
      </c>
      <c r="L7" s="43">
        <v>60</v>
      </c>
    </row>
    <row r="8" spans="1:12" x14ac:dyDescent="0.3">
      <c r="A8" s="40" t="s">
        <v>75</v>
      </c>
      <c r="B8" s="43">
        <v>157057</v>
      </c>
      <c r="C8" s="43">
        <v>306412</v>
      </c>
      <c r="D8" s="43">
        <v>346336</v>
      </c>
      <c r="E8" s="43">
        <v>446418</v>
      </c>
      <c r="F8" s="43">
        <v>450000</v>
      </c>
      <c r="G8" s="43">
        <v>325128</v>
      </c>
      <c r="H8" s="43">
        <v>737500</v>
      </c>
      <c r="I8" s="43">
        <v>1208092</v>
      </c>
      <c r="J8" s="43">
        <v>1844919</v>
      </c>
      <c r="K8" s="43">
        <v>2472978</v>
      </c>
      <c r="L8" s="43">
        <v>52</v>
      </c>
    </row>
    <row r="9" spans="1:12" x14ac:dyDescent="0.3">
      <c r="A9" s="40" t="s">
        <v>76</v>
      </c>
      <c r="B9" s="43">
        <v>250000</v>
      </c>
      <c r="C9" s="43">
        <v>269750</v>
      </c>
      <c r="D9" s="43">
        <v>330500</v>
      </c>
      <c r="E9" s="43">
        <v>381250</v>
      </c>
      <c r="F9" s="43">
        <v>400000</v>
      </c>
      <c r="G9" s="43">
        <v>775870</v>
      </c>
      <c r="H9" s="43">
        <v>897183</v>
      </c>
      <c r="I9" s="43">
        <v>1125924</v>
      </c>
      <c r="J9" s="43">
        <v>1675532</v>
      </c>
      <c r="K9" s="43">
        <v>1872748</v>
      </c>
      <c r="L9" s="43">
        <v>20</v>
      </c>
    </row>
    <row r="10" spans="1:12" x14ac:dyDescent="0.3">
      <c r="A10" s="40" t="s">
        <v>54</v>
      </c>
      <c r="B10" s="43">
        <v>422332</v>
      </c>
      <c r="C10" s="43">
        <v>449737</v>
      </c>
      <c r="D10" s="43">
        <v>450000</v>
      </c>
      <c r="E10" s="43">
        <v>450000</v>
      </c>
      <c r="F10" s="43">
        <v>456923</v>
      </c>
      <c r="G10" s="43">
        <v>2066214</v>
      </c>
      <c r="H10" s="43">
        <v>2132736</v>
      </c>
      <c r="I10" s="43">
        <v>2190544</v>
      </c>
      <c r="J10" s="43">
        <v>2307394</v>
      </c>
      <c r="K10" s="43">
        <v>2407383</v>
      </c>
      <c r="L10" s="43">
        <v>7</v>
      </c>
    </row>
    <row r="11" spans="1:12" x14ac:dyDescent="0.3">
      <c r="A11" s="40" t="s">
        <v>77</v>
      </c>
      <c r="B11" s="43">
        <v>224215</v>
      </c>
      <c r="C11" s="43">
        <v>265983</v>
      </c>
      <c r="D11" s="43">
        <v>312500</v>
      </c>
      <c r="E11" s="43">
        <v>464712</v>
      </c>
      <c r="F11" s="43">
        <v>479118</v>
      </c>
      <c r="G11" s="43">
        <v>905976</v>
      </c>
      <c r="H11" s="43">
        <v>1127491</v>
      </c>
      <c r="I11" s="43">
        <v>2026516</v>
      </c>
      <c r="J11" s="43">
        <v>2245011</v>
      </c>
      <c r="K11" s="43">
        <v>2506481</v>
      </c>
      <c r="L11" s="43">
        <v>17</v>
      </c>
    </row>
    <row r="12" spans="1:12" x14ac:dyDescent="0.3">
      <c r="A12" s="40" t="s">
        <v>78</v>
      </c>
      <c r="B12" s="43">
        <v>233665</v>
      </c>
      <c r="C12" s="43">
        <v>250609</v>
      </c>
      <c r="D12" s="43">
        <v>436675</v>
      </c>
      <c r="E12" s="43">
        <v>469615</v>
      </c>
      <c r="F12" s="43">
        <v>532514</v>
      </c>
      <c r="G12" s="43">
        <v>773419</v>
      </c>
      <c r="H12" s="43">
        <v>1120131</v>
      </c>
      <c r="I12" s="43">
        <v>2206591</v>
      </c>
      <c r="J12" s="43">
        <v>3041483</v>
      </c>
      <c r="K12" s="43">
        <v>3434053</v>
      </c>
      <c r="L12" s="43">
        <v>26</v>
      </c>
    </row>
    <row r="13" spans="1:12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ht="22.05" customHeight="1" x14ac:dyDescent="0.3">
      <c r="A15" s="37" t="s">
        <v>162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1:12" ht="19.95" customHeight="1" x14ac:dyDescent="0.3">
      <c r="A16" s="38" t="s">
        <v>12</v>
      </c>
      <c r="B16" s="39" t="s">
        <v>143</v>
      </c>
      <c r="C16" s="39" t="s">
        <v>151</v>
      </c>
      <c r="D16" s="39" t="s">
        <v>152</v>
      </c>
      <c r="E16" s="39" t="s">
        <v>153</v>
      </c>
      <c r="F16" s="39" t="s">
        <v>154</v>
      </c>
      <c r="G16" s="39" t="s">
        <v>155</v>
      </c>
      <c r="H16" s="39" t="s">
        <v>156</v>
      </c>
      <c r="I16" s="39" t="s">
        <v>157</v>
      </c>
      <c r="J16" s="39" t="s">
        <v>158</v>
      </c>
      <c r="K16" s="39" t="s">
        <v>159</v>
      </c>
      <c r="L16" s="39" t="s">
        <v>160</v>
      </c>
    </row>
    <row r="17" spans="1:12" x14ac:dyDescent="0.3">
      <c r="A17" s="40" t="s">
        <v>119</v>
      </c>
      <c r="B17" s="43" t="s">
        <v>18</v>
      </c>
      <c r="C17" s="43">
        <v>48300</v>
      </c>
      <c r="D17" s="43">
        <v>64400</v>
      </c>
      <c r="E17" s="43">
        <v>78200</v>
      </c>
      <c r="F17" s="43">
        <v>92000</v>
      </c>
      <c r="G17" s="43">
        <v>105800</v>
      </c>
      <c r="H17" s="43">
        <v>52164</v>
      </c>
      <c r="I17" s="43">
        <v>69552</v>
      </c>
      <c r="J17" s="43">
        <v>84456</v>
      </c>
      <c r="K17" s="43">
        <v>99360</v>
      </c>
      <c r="L17" s="43">
        <v>114264</v>
      </c>
    </row>
    <row r="18" spans="1:12" x14ac:dyDescent="0.3">
      <c r="A18" s="40" t="s">
        <v>120</v>
      </c>
      <c r="B18" s="43" t="s">
        <v>19</v>
      </c>
      <c r="C18" s="43">
        <v>63000</v>
      </c>
      <c r="D18" s="43">
        <v>84000</v>
      </c>
      <c r="E18" s="43">
        <v>102000</v>
      </c>
      <c r="F18" s="43">
        <v>120000</v>
      </c>
      <c r="G18" s="43">
        <v>138000</v>
      </c>
      <c r="H18" s="43">
        <v>72450</v>
      </c>
      <c r="I18" s="43">
        <v>96600</v>
      </c>
      <c r="J18" s="43">
        <v>117300</v>
      </c>
      <c r="K18" s="43">
        <v>138000</v>
      </c>
      <c r="L18" s="43">
        <v>158700</v>
      </c>
    </row>
    <row r="19" spans="1:12" x14ac:dyDescent="0.3">
      <c r="A19" s="40" t="s">
        <v>121</v>
      </c>
      <c r="B19" s="43" t="s">
        <v>80</v>
      </c>
      <c r="C19" s="43">
        <v>84000</v>
      </c>
      <c r="D19" s="43">
        <v>112000</v>
      </c>
      <c r="E19" s="43">
        <v>136000</v>
      </c>
      <c r="F19" s="43">
        <v>160000</v>
      </c>
      <c r="G19" s="43">
        <v>184000</v>
      </c>
      <c r="H19" s="43">
        <v>105000</v>
      </c>
      <c r="I19" s="43">
        <v>140000</v>
      </c>
      <c r="J19" s="43">
        <v>170000</v>
      </c>
      <c r="K19" s="43">
        <v>200000</v>
      </c>
      <c r="L19" s="43">
        <v>230000</v>
      </c>
    </row>
    <row r="20" spans="1:12" x14ac:dyDescent="0.3">
      <c r="A20" s="40" t="s">
        <v>122</v>
      </c>
      <c r="B20" s="43" t="s">
        <v>81</v>
      </c>
      <c r="C20" s="43">
        <v>111300</v>
      </c>
      <c r="D20" s="43">
        <v>148400</v>
      </c>
      <c r="E20" s="43">
        <v>180200</v>
      </c>
      <c r="F20" s="43">
        <v>212000</v>
      </c>
      <c r="G20" s="43">
        <v>243800</v>
      </c>
      <c r="H20" s="43">
        <v>155820</v>
      </c>
      <c r="I20" s="43">
        <v>207760</v>
      </c>
      <c r="J20" s="43">
        <v>252280</v>
      </c>
      <c r="K20" s="43">
        <v>296800</v>
      </c>
      <c r="L20" s="43">
        <v>341320</v>
      </c>
    </row>
    <row r="21" spans="1:12" x14ac:dyDescent="0.3">
      <c r="A21" s="40" t="s">
        <v>123</v>
      </c>
      <c r="B21" s="43" t="s">
        <v>82</v>
      </c>
      <c r="C21" s="43">
        <v>151200</v>
      </c>
      <c r="D21" s="43">
        <v>201600</v>
      </c>
      <c r="E21" s="43">
        <v>244800</v>
      </c>
      <c r="F21" s="43">
        <v>288000</v>
      </c>
      <c r="G21" s="43">
        <v>331200</v>
      </c>
      <c r="H21" s="43">
        <v>272160</v>
      </c>
      <c r="I21" s="43">
        <v>362880</v>
      </c>
      <c r="J21" s="43">
        <v>440640</v>
      </c>
      <c r="K21" s="43">
        <v>518400</v>
      </c>
      <c r="L21" s="43">
        <v>596160</v>
      </c>
    </row>
    <row r="22" spans="1:12" x14ac:dyDescent="0.3">
      <c r="A22" s="40" t="s">
        <v>124</v>
      </c>
      <c r="B22" s="43" t="s">
        <v>23</v>
      </c>
      <c r="C22" s="43">
        <v>210000</v>
      </c>
      <c r="D22" s="43">
        <v>280000</v>
      </c>
      <c r="E22" s="43">
        <v>340000</v>
      </c>
      <c r="F22" s="43">
        <v>400000</v>
      </c>
      <c r="G22" s="43">
        <v>460000</v>
      </c>
      <c r="H22" s="43">
        <v>600000</v>
      </c>
      <c r="I22" s="43">
        <v>900000</v>
      </c>
      <c r="J22" s="43">
        <v>1400000</v>
      </c>
      <c r="K22" s="43">
        <v>1900000</v>
      </c>
      <c r="L22" s="43">
        <v>2500000</v>
      </c>
    </row>
    <row r="23" spans="1:12" x14ac:dyDescent="0.3">
      <c r="A23" s="40" t="s">
        <v>125</v>
      </c>
      <c r="B23" s="43" t="s">
        <v>83</v>
      </c>
      <c r="C23" s="43">
        <v>251996</v>
      </c>
      <c r="D23" s="43">
        <v>359319</v>
      </c>
      <c r="E23" s="43">
        <v>407754</v>
      </c>
      <c r="F23" s="43">
        <v>453699</v>
      </c>
      <c r="G23" s="43">
        <v>533331</v>
      </c>
      <c r="H23" s="43">
        <v>945347</v>
      </c>
      <c r="I23" s="43">
        <v>1833456</v>
      </c>
      <c r="J23" s="43">
        <v>2408639</v>
      </c>
      <c r="K23" s="43">
        <v>2991991</v>
      </c>
      <c r="L23" s="43">
        <v>3623064</v>
      </c>
    </row>
    <row r="24" spans="1:12" x14ac:dyDescent="0.3">
      <c r="A24" s="40" t="s">
        <v>126</v>
      </c>
      <c r="B24" s="43" t="s">
        <v>51</v>
      </c>
      <c r="C24" s="43">
        <v>274765</v>
      </c>
      <c r="D24" s="43">
        <v>370000</v>
      </c>
      <c r="E24" s="43">
        <v>450000</v>
      </c>
      <c r="F24" s="43">
        <v>500000</v>
      </c>
      <c r="G24" s="43">
        <v>525000</v>
      </c>
      <c r="H24" s="43">
        <v>1291774</v>
      </c>
      <c r="I24" s="43">
        <v>1999770</v>
      </c>
      <c r="J24" s="43">
        <v>2927855</v>
      </c>
      <c r="K24" s="43">
        <v>4132710</v>
      </c>
      <c r="L24" s="43">
        <v>4734527</v>
      </c>
    </row>
    <row r="25" spans="1:12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22.05" customHeight="1" x14ac:dyDescent="0.3">
      <c r="A27" s="37" t="s">
        <v>163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2" ht="19.95" customHeight="1" x14ac:dyDescent="0.3">
      <c r="A28" s="38" t="s">
        <v>12</v>
      </c>
      <c r="B28" s="39" t="s">
        <v>164</v>
      </c>
      <c r="C28" s="39" t="s">
        <v>165</v>
      </c>
      <c r="D28" s="39"/>
      <c r="E28" s="39"/>
      <c r="F28" s="39"/>
      <c r="G28" s="39"/>
      <c r="H28" s="39"/>
      <c r="I28" s="39"/>
      <c r="J28" s="39"/>
      <c r="K28" s="39"/>
      <c r="L28" s="39"/>
    </row>
    <row r="29" spans="1:12" x14ac:dyDescent="0.3">
      <c r="A29" s="40" t="s">
        <v>119</v>
      </c>
      <c r="B29" s="43">
        <v>0.74</v>
      </c>
      <c r="C29" s="43">
        <v>0.26</v>
      </c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0" t="s">
        <v>120</v>
      </c>
      <c r="B30" s="43">
        <v>0.85</v>
      </c>
      <c r="C30" s="43">
        <v>0.7</v>
      </c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3">
      <c r="A31" s="40" t="s">
        <v>121</v>
      </c>
      <c r="B31" s="43">
        <v>0.85</v>
      </c>
      <c r="C31" s="43">
        <v>0.7</v>
      </c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0" t="s">
        <v>122</v>
      </c>
      <c r="B32" s="43">
        <v>0.85</v>
      </c>
      <c r="C32" s="43">
        <v>0.7</v>
      </c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0" t="s">
        <v>123</v>
      </c>
      <c r="B33" s="43">
        <v>0.85</v>
      </c>
      <c r="C33" s="43">
        <v>0.55000000000000004</v>
      </c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0" t="s">
        <v>124</v>
      </c>
      <c r="B34" s="43">
        <v>1</v>
      </c>
      <c r="C34" s="43">
        <v>0.55000000000000004</v>
      </c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0" t="s">
        <v>125</v>
      </c>
      <c r="B35" s="43">
        <v>1</v>
      </c>
      <c r="C35" s="43">
        <v>0.5</v>
      </c>
      <c r="D35" s="4"/>
      <c r="E35" s="4"/>
      <c r="F35" s="4"/>
      <c r="G35" s="4"/>
      <c r="H35" s="4"/>
      <c r="I35" s="4"/>
      <c r="J35" s="4"/>
      <c r="K35" s="4"/>
      <c r="L35" s="4"/>
    </row>
  </sheetData>
  <pageMargins left="0.75" right="0.75" top="1" bottom="1" header="0.5" footer="0.5"/>
  <ignoredErrors>
    <ignoredError sqref="A1:U60" numberStoredAsText="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H40"/>
  <sheetViews>
    <sheetView showGridLines="0" workbookViewId="0"/>
  </sheetViews>
  <sheetFormatPr defaultRowHeight="14.4" x14ac:dyDescent="0.3"/>
  <cols>
    <col min="1" max="1" width="20" customWidth="1"/>
    <col min="2" max="8" width="14" customWidth="1"/>
  </cols>
  <sheetData>
    <row r="1" spans="1:8" ht="22.05" customHeight="1" x14ac:dyDescent="0.3">
      <c r="A1" s="37" t="s">
        <v>104</v>
      </c>
      <c r="B1" s="37"/>
      <c r="C1" s="37"/>
      <c r="D1" s="37"/>
      <c r="E1" s="37"/>
      <c r="F1" s="37"/>
      <c r="G1" s="37"/>
      <c r="H1" s="37"/>
    </row>
    <row r="2" spans="1:8" ht="19.95" customHeight="1" x14ac:dyDescent="0.3">
      <c r="A2" s="38" t="s">
        <v>105</v>
      </c>
      <c r="B2" s="39" t="s">
        <v>106</v>
      </c>
      <c r="C2" s="39"/>
      <c r="D2" s="39"/>
      <c r="E2" s="39"/>
      <c r="F2" s="39"/>
      <c r="G2" s="39"/>
      <c r="H2" s="39"/>
    </row>
    <row r="3" spans="1:8" x14ac:dyDescent="0.3">
      <c r="A3" s="40" t="s">
        <v>58</v>
      </c>
      <c r="B3" s="43">
        <v>1</v>
      </c>
      <c r="C3" s="4"/>
      <c r="D3" s="4"/>
      <c r="E3" s="4"/>
      <c r="F3" s="4"/>
      <c r="G3" s="4"/>
      <c r="H3" s="4"/>
    </row>
    <row r="4" spans="1:8" x14ac:dyDescent="0.3">
      <c r="A4" s="40" t="s">
        <v>107</v>
      </c>
      <c r="B4" s="43">
        <v>1.2</v>
      </c>
      <c r="C4" s="4"/>
      <c r="D4" s="4"/>
      <c r="E4" s="4"/>
      <c r="F4" s="4"/>
      <c r="G4" s="4"/>
      <c r="H4" s="4"/>
    </row>
    <row r="5" spans="1:8" x14ac:dyDescent="0.3">
      <c r="A5" s="40" t="s">
        <v>41</v>
      </c>
      <c r="B5" s="43">
        <v>1.2</v>
      </c>
      <c r="C5" s="4"/>
      <c r="D5" s="4"/>
      <c r="E5" s="4"/>
      <c r="F5" s="4"/>
      <c r="G5" s="4"/>
      <c r="H5" s="4"/>
    </row>
    <row r="6" spans="1:8" x14ac:dyDescent="0.3">
      <c r="A6" s="40" t="s">
        <v>108</v>
      </c>
      <c r="B6" s="43">
        <v>1.1499999999999999</v>
      </c>
      <c r="C6" s="4"/>
      <c r="D6" s="4"/>
      <c r="E6" s="4"/>
      <c r="F6" s="4"/>
      <c r="G6" s="4"/>
      <c r="H6" s="4"/>
    </row>
    <row r="7" spans="1:8" x14ac:dyDescent="0.3">
      <c r="A7" s="40" t="s">
        <v>109</v>
      </c>
      <c r="B7" s="43">
        <v>1.08</v>
      </c>
      <c r="C7" s="4"/>
      <c r="D7" s="4"/>
      <c r="E7" s="4"/>
      <c r="F7" s="4"/>
      <c r="G7" s="4"/>
      <c r="H7" s="4"/>
    </row>
    <row r="8" spans="1:8" x14ac:dyDescent="0.3">
      <c r="A8" s="40" t="s">
        <v>110</v>
      </c>
      <c r="B8" s="43">
        <v>0.95</v>
      </c>
      <c r="C8" s="4"/>
      <c r="D8" s="4"/>
      <c r="E8" s="4"/>
      <c r="F8" s="4"/>
      <c r="G8" s="4"/>
      <c r="H8" s="4"/>
    </row>
    <row r="9" spans="1:8" x14ac:dyDescent="0.3">
      <c r="A9" s="4"/>
      <c r="B9" s="4"/>
      <c r="C9" s="4"/>
      <c r="D9" s="4"/>
      <c r="E9" s="4"/>
      <c r="F9" s="4"/>
      <c r="G9" s="4"/>
      <c r="H9" s="4"/>
    </row>
    <row r="10" spans="1:8" x14ac:dyDescent="0.3">
      <c r="A10" s="40" t="s">
        <v>166</v>
      </c>
      <c r="B10" s="4"/>
      <c r="C10" s="4"/>
      <c r="D10" s="4"/>
      <c r="E10" s="4"/>
      <c r="F10" s="4"/>
      <c r="G10" s="4"/>
      <c r="H10" s="4"/>
    </row>
    <row r="11" spans="1:8" x14ac:dyDescent="0.3">
      <c r="A11" s="40" t="s">
        <v>12</v>
      </c>
      <c r="B11" s="43" t="s">
        <v>143</v>
      </c>
      <c r="C11" s="43" t="s">
        <v>113</v>
      </c>
      <c r="D11" s="43" t="s">
        <v>114</v>
      </c>
      <c r="E11" s="43" t="s">
        <v>115</v>
      </c>
      <c r="F11" s="43" t="s">
        <v>116</v>
      </c>
      <c r="G11" s="43" t="s">
        <v>117</v>
      </c>
      <c r="H11" s="43" t="s">
        <v>118</v>
      </c>
    </row>
    <row r="12" spans="1:8" x14ac:dyDescent="0.3">
      <c r="A12" s="40" t="s">
        <v>119</v>
      </c>
      <c r="B12" s="43" t="s">
        <v>18</v>
      </c>
      <c r="C12" s="43">
        <v>81</v>
      </c>
      <c r="D12" s="43">
        <v>120</v>
      </c>
      <c r="E12" s="43">
        <v>0.123</v>
      </c>
      <c r="F12" s="43">
        <v>-1.085</v>
      </c>
      <c r="G12" s="43">
        <v>0.74</v>
      </c>
      <c r="H12" s="43">
        <v>0.26</v>
      </c>
    </row>
    <row r="13" spans="1:8" x14ac:dyDescent="0.3">
      <c r="A13" s="40" t="s">
        <v>120</v>
      </c>
      <c r="B13" s="43" t="s">
        <v>19</v>
      </c>
      <c r="C13" s="43">
        <v>134</v>
      </c>
      <c r="D13" s="43">
        <v>155</v>
      </c>
      <c r="E13" s="43">
        <v>7.4999999999999997E-2</v>
      </c>
      <c r="F13" s="43">
        <v>-0.84899999999999998</v>
      </c>
      <c r="G13" s="43">
        <v>0.85</v>
      </c>
      <c r="H13" s="43">
        <v>0.7</v>
      </c>
    </row>
    <row r="14" spans="1:8" x14ac:dyDescent="0.3">
      <c r="A14" s="40" t="s">
        <v>121</v>
      </c>
      <c r="B14" s="43" t="s">
        <v>20</v>
      </c>
      <c r="C14" s="43">
        <v>201</v>
      </c>
      <c r="D14" s="43">
        <v>210</v>
      </c>
      <c r="E14" s="43">
        <v>0.128</v>
      </c>
      <c r="F14" s="43">
        <v>-0.69099999999999995</v>
      </c>
      <c r="G14" s="43">
        <v>0.85</v>
      </c>
      <c r="H14" s="43">
        <v>0.7</v>
      </c>
    </row>
    <row r="15" spans="1:8" x14ac:dyDescent="0.3">
      <c r="A15" s="40" t="s">
        <v>122</v>
      </c>
      <c r="B15" s="43" t="s">
        <v>47</v>
      </c>
      <c r="C15" s="43">
        <v>273</v>
      </c>
      <c r="D15" s="43">
        <v>290</v>
      </c>
      <c r="E15" s="43">
        <v>0.10100000000000001</v>
      </c>
      <c r="F15" s="43">
        <v>-0.505</v>
      </c>
      <c r="G15" s="43">
        <v>0.85</v>
      </c>
      <c r="H15" s="43">
        <v>0.7</v>
      </c>
    </row>
    <row r="16" spans="1:8" x14ac:dyDescent="0.3">
      <c r="A16" s="40" t="s">
        <v>123</v>
      </c>
      <c r="B16" s="43" t="s">
        <v>48</v>
      </c>
      <c r="C16" s="43">
        <v>313</v>
      </c>
      <c r="D16" s="43">
        <v>400</v>
      </c>
      <c r="E16" s="43">
        <v>0.20100000000000001</v>
      </c>
      <c r="F16" s="43">
        <v>-0.45200000000000001</v>
      </c>
      <c r="G16" s="43">
        <v>0.85</v>
      </c>
      <c r="H16" s="43">
        <v>0.55000000000000004</v>
      </c>
    </row>
    <row r="17" spans="1:8" x14ac:dyDescent="0.3">
      <c r="A17" s="40" t="s">
        <v>124</v>
      </c>
      <c r="B17" s="43" t="s">
        <v>49</v>
      </c>
      <c r="C17" s="43">
        <v>396</v>
      </c>
      <c r="D17" s="43">
        <v>600</v>
      </c>
      <c r="E17" s="43">
        <v>0.40600000000000003</v>
      </c>
      <c r="F17" s="43">
        <v>-0.376</v>
      </c>
      <c r="G17" s="43">
        <v>1</v>
      </c>
      <c r="H17" s="43">
        <v>0.55000000000000004</v>
      </c>
    </row>
    <row r="18" spans="1:8" x14ac:dyDescent="0.3">
      <c r="A18" s="40" t="s">
        <v>125</v>
      </c>
      <c r="B18" s="43" t="s">
        <v>50</v>
      </c>
      <c r="C18" s="43">
        <v>420</v>
      </c>
      <c r="D18" s="43">
        <v>630</v>
      </c>
      <c r="E18" s="43">
        <v>0.44</v>
      </c>
      <c r="F18" s="43">
        <v>-0.35399999999999998</v>
      </c>
      <c r="G18" s="43">
        <v>1</v>
      </c>
      <c r="H18" s="43">
        <v>0.5</v>
      </c>
    </row>
    <row r="19" spans="1:8" x14ac:dyDescent="0.3">
      <c r="A19" s="40" t="s">
        <v>126</v>
      </c>
      <c r="B19" s="43" t="s">
        <v>51</v>
      </c>
      <c r="C19" s="43">
        <v>583</v>
      </c>
      <c r="D19" s="43">
        <v>1150</v>
      </c>
      <c r="E19" s="43">
        <v>0.46</v>
      </c>
      <c r="F19" s="43">
        <v>-0.11799999999999999</v>
      </c>
      <c r="G19" s="43" t="s">
        <v>127</v>
      </c>
      <c r="H19" s="43" t="s">
        <v>127</v>
      </c>
    </row>
    <row r="20" spans="1:8" x14ac:dyDescent="0.3">
      <c r="A20" s="4"/>
      <c r="B20" s="4"/>
      <c r="C20" s="4"/>
      <c r="D20" s="4"/>
      <c r="E20" s="4"/>
      <c r="F20" s="4"/>
      <c r="G20" s="4"/>
      <c r="H20" s="4"/>
    </row>
    <row r="21" spans="1:8" x14ac:dyDescent="0.3">
      <c r="A21" s="4"/>
      <c r="B21" s="4"/>
      <c r="C21" s="4"/>
      <c r="D21" s="4"/>
      <c r="E21" s="4"/>
      <c r="F21" s="4"/>
      <c r="G21" s="4"/>
      <c r="H21" s="4"/>
    </row>
    <row r="22" spans="1:8" ht="22.05" customHeight="1" x14ac:dyDescent="0.3">
      <c r="A22" s="37" t="s">
        <v>167</v>
      </c>
      <c r="B22" s="37"/>
      <c r="C22" s="37"/>
      <c r="D22" s="37"/>
      <c r="E22" s="37"/>
      <c r="F22" s="37"/>
      <c r="G22" s="37"/>
      <c r="H22" s="37"/>
    </row>
    <row r="23" spans="1:8" ht="19.95" customHeight="1" x14ac:dyDescent="0.3">
      <c r="A23" s="38" t="s">
        <v>134</v>
      </c>
      <c r="B23" s="39" t="s">
        <v>106</v>
      </c>
      <c r="C23" s="39"/>
      <c r="D23" s="39"/>
      <c r="E23" s="39"/>
      <c r="F23" s="39"/>
      <c r="G23" s="39"/>
      <c r="H23" s="39"/>
    </row>
    <row r="24" spans="1:8" x14ac:dyDescent="0.3">
      <c r="A24" s="40">
        <v>1</v>
      </c>
      <c r="B24" s="43">
        <v>0.7</v>
      </c>
      <c r="C24" s="4"/>
      <c r="D24" s="4"/>
      <c r="E24" s="4"/>
      <c r="F24" s="4"/>
      <c r="G24" s="4"/>
      <c r="H24" s="4"/>
    </row>
    <row r="25" spans="1:8" x14ac:dyDescent="0.3">
      <c r="A25" s="40">
        <v>2</v>
      </c>
      <c r="B25" s="43">
        <v>0.85</v>
      </c>
      <c r="C25" s="4"/>
      <c r="D25" s="4"/>
      <c r="E25" s="4"/>
      <c r="F25" s="4"/>
      <c r="G25" s="4"/>
      <c r="H25" s="4"/>
    </row>
    <row r="26" spans="1:8" x14ac:dyDescent="0.3">
      <c r="A26" s="40">
        <v>3</v>
      </c>
      <c r="B26" s="43">
        <v>1</v>
      </c>
      <c r="C26" s="4"/>
      <c r="D26" s="4"/>
      <c r="E26" s="4"/>
      <c r="F26" s="4"/>
      <c r="G26" s="4"/>
      <c r="H26" s="4"/>
    </row>
    <row r="27" spans="1:8" x14ac:dyDescent="0.3">
      <c r="A27" s="40">
        <v>4</v>
      </c>
      <c r="B27" s="43">
        <v>1.45</v>
      </c>
      <c r="C27" s="4"/>
      <c r="D27" s="4"/>
      <c r="E27" s="4"/>
      <c r="F27" s="4"/>
      <c r="G27" s="4"/>
      <c r="H27" s="4"/>
    </row>
    <row r="28" spans="1:8" x14ac:dyDescent="0.3">
      <c r="A28" s="40">
        <v>5</v>
      </c>
      <c r="B28" s="43">
        <v>2.15</v>
      </c>
      <c r="C28" s="4"/>
      <c r="D28" s="4"/>
      <c r="E28" s="4"/>
      <c r="F28" s="4"/>
      <c r="G28" s="4"/>
      <c r="H28" s="4"/>
    </row>
    <row r="29" spans="1:8" x14ac:dyDescent="0.3">
      <c r="A29" s="4"/>
      <c r="B29" s="4"/>
      <c r="C29" s="4"/>
      <c r="D29" s="4"/>
      <c r="E29" s="4"/>
      <c r="F29" s="4"/>
      <c r="G29" s="4"/>
      <c r="H29" s="4"/>
    </row>
    <row r="30" spans="1:8" x14ac:dyDescent="0.3">
      <c r="A30" s="4"/>
      <c r="B30" s="4"/>
      <c r="C30" s="4"/>
      <c r="D30" s="4"/>
      <c r="E30" s="4"/>
      <c r="F30" s="4"/>
      <c r="G30" s="4"/>
      <c r="H30" s="4"/>
    </row>
    <row r="31" spans="1:8" ht="22.05" customHeight="1" x14ac:dyDescent="0.3">
      <c r="A31" s="37" t="s">
        <v>128</v>
      </c>
      <c r="B31" s="37"/>
      <c r="C31" s="37"/>
      <c r="D31" s="37"/>
      <c r="E31" s="37"/>
      <c r="F31" s="37"/>
      <c r="G31" s="37"/>
      <c r="H31" s="37"/>
    </row>
    <row r="32" spans="1:8" ht="19.95" customHeight="1" x14ac:dyDescent="0.3">
      <c r="A32" s="38" t="s">
        <v>129</v>
      </c>
      <c r="B32" s="39">
        <f>POWER(1.04, 0.5)</f>
        <v>1.019803902718557</v>
      </c>
      <c r="C32" s="39"/>
      <c r="D32" s="39"/>
      <c r="E32" s="39"/>
      <c r="F32" s="39"/>
      <c r="G32" s="39"/>
      <c r="H32" s="39"/>
    </row>
    <row r="33" spans="1:8" x14ac:dyDescent="0.3">
      <c r="A33" s="40" t="s">
        <v>130</v>
      </c>
      <c r="B33" s="43">
        <v>0.25</v>
      </c>
      <c r="C33" s="4"/>
      <c r="D33" s="4"/>
      <c r="E33" s="4"/>
      <c r="F33" s="4"/>
      <c r="G33" s="4"/>
      <c r="H33" s="4"/>
    </row>
    <row r="34" spans="1:8" x14ac:dyDescent="0.3">
      <c r="A34" s="4"/>
      <c r="B34" s="4"/>
      <c r="C34" s="4"/>
      <c r="D34" s="4"/>
      <c r="E34" s="4"/>
      <c r="F34" s="4"/>
      <c r="G34" s="4"/>
      <c r="H34" s="4"/>
    </row>
    <row r="35" spans="1:8" ht="22.05" customHeight="1" x14ac:dyDescent="0.3">
      <c r="A35" s="37" t="s">
        <v>131</v>
      </c>
      <c r="B35" s="37"/>
      <c r="C35" s="37"/>
      <c r="D35" s="37"/>
      <c r="E35" s="37"/>
      <c r="F35" s="37"/>
      <c r="G35" s="37"/>
      <c r="H35" s="37"/>
    </row>
    <row r="36" spans="1:8" ht="19.95" customHeight="1" x14ac:dyDescent="0.3">
      <c r="A36" s="38" t="s">
        <v>13</v>
      </c>
      <c r="B36" s="39" t="s">
        <v>14</v>
      </c>
      <c r="C36" s="39" t="s">
        <v>15</v>
      </c>
      <c r="D36" s="39" t="s">
        <v>16</v>
      </c>
      <c r="E36" s="39" t="s">
        <v>17</v>
      </c>
      <c r="F36" s="39"/>
      <c r="G36" s="39"/>
      <c r="H36" s="39"/>
    </row>
    <row r="37" spans="1:8" x14ac:dyDescent="0.3">
      <c r="A37" s="40">
        <v>-1.282</v>
      </c>
      <c r="B37" s="43">
        <v>-0.67400000000000004</v>
      </c>
      <c r="C37" s="43">
        <v>0</v>
      </c>
      <c r="D37" s="43">
        <v>0.67400000000000004</v>
      </c>
      <c r="E37" s="43">
        <v>1.282</v>
      </c>
      <c r="F37" s="4"/>
      <c r="G37" s="4"/>
      <c r="H37" s="4"/>
    </row>
    <row r="38" spans="1:8" x14ac:dyDescent="0.3">
      <c r="A38" s="80" t="s">
        <v>132</v>
      </c>
    </row>
    <row r="39" spans="1:8" x14ac:dyDescent="0.3">
      <c r="A39" s="81" t="s">
        <v>119</v>
      </c>
      <c r="B39" s="81" t="s">
        <v>120</v>
      </c>
      <c r="C39" s="81" t="s">
        <v>121</v>
      </c>
      <c r="D39" s="81" t="s">
        <v>122</v>
      </c>
      <c r="E39" s="81" t="s">
        <v>123</v>
      </c>
      <c r="F39" s="81" t="s">
        <v>124</v>
      </c>
      <c r="G39" s="81" t="s">
        <v>125</v>
      </c>
      <c r="H39" s="81" t="s">
        <v>126</v>
      </c>
    </row>
    <row r="40" spans="1:8" x14ac:dyDescent="0.3">
      <c r="A40" s="82">
        <v>0</v>
      </c>
      <c r="B40" s="82">
        <v>0.05</v>
      </c>
      <c r="C40" s="82">
        <v>0.15</v>
      </c>
      <c r="D40" s="82">
        <v>0.25</v>
      </c>
      <c r="E40" s="82">
        <v>0.4</v>
      </c>
      <c r="F40" s="82">
        <v>0.6</v>
      </c>
      <c r="G40" s="82">
        <v>0.8</v>
      </c>
      <c r="H40" s="82">
        <v>1</v>
      </c>
    </row>
  </sheetData>
  <pageMargins left="0.75" right="0.75" top="1" bottom="1" header="0.5" footer="0.5"/>
  <ignoredErrors>
    <ignoredError sqref="A1:U60" numberStoredAsText="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J40"/>
  <sheetViews>
    <sheetView showGridLines="0" workbookViewId="0"/>
  </sheetViews>
  <sheetFormatPr defaultRowHeight="14.4" x14ac:dyDescent="0.3"/>
  <cols>
    <col min="1" max="1" width="20" customWidth="1"/>
    <col min="2" max="10" width="14" customWidth="1"/>
  </cols>
  <sheetData>
    <row r="1" spans="1:10" ht="22.05" customHeight="1" x14ac:dyDescent="0.3">
      <c r="A1" s="37" t="s">
        <v>104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9.95" customHeight="1" x14ac:dyDescent="0.3">
      <c r="A2" s="38" t="s">
        <v>105</v>
      </c>
      <c r="B2" s="39" t="s">
        <v>106</v>
      </c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40" t="s">
        <v>58</v>
      </c>
      <c r="B3" s="43">
        <v>1</v>
      </c>
      <c r="C3" s="4"/>
      <c r="D3" s="4"/>
      <c r="E3" s="4"/>
      <c r="F3" s="4"/>
      <c r="G3" s="4"/>
      <c r="H3" s="4"/>
      <c r="I3" s="4"/>
      <c r="J3" s="4"/>
    </row>
    <row r="4" spans="1:10" x14ac:dyDescent="0.3">
      <c r="A4" s="40" t="s">
        <v>107</v>
      </c>
      <c r="B4" s="43">
        <v>1.2</v>
      </c>
      <c r="C4" s="4"/>
      <c r="D4" s="4"/>
      <c r="E4" s="4"/>
      <c r="F4" s="4"/>
      <c r="G4" s="4"/>
      <c r="H4" s="4"/>
      <c r="I4" s="4"/>
      <c r="J4" s="4"/>
    </row>
    <row r="5" spans="1:10" x14ac:dyDescent="0.3">
      <c r="A5" s="40" t="s">
        <v>41</v>
      </c>
      <c r="B5" s="43">
        <v>1.2</v>
      </c>
      <c r="C5" s="4"/>
      <c r="D5" s="4"/>
      <c r="E5" s="4"/>
      <c r="F5" s="4"/>
      <c r="G5" s="4"/>
      <c r="H5" s="4"/>
      <c r="I5" s="4"/>
      <c r="J5" s="4"/>
    </row>
    <row r="6" spans="1:10" x14ac:dyDescent="0.3">
      <c r="A6" s="40" t="s">
        <v>108</v>
      </c>
      <c r="B6" s="43">
        <v>1.1499999999999999</v>
      </c>
      <c r="C6" s="4"/>
      <c r="D6" s="4"/>
      <c r="E6" s="4"/>
      <c r="F6" s="4"/>
      <c r="G6" s="4"/>
      <c r="H6" s="4"/>
      <c r="I6" s="4"/>
      <c r="J6" s="4"/>
    </row>
    <row r="7" spans="1:10" x14ac:dyDescent="0.3">
      <c r="A7" s="40" t="s">
        <v>109</v>
      </c>
      <c r="B7" s="43">
        <v>1.08</v>
      </c>
      <c r="C7" s="4"/>
      <c r="D7" s="4"/>
      <c r="E7" s="4"/>
      <c r="F7" s="4"/>
      <c r="G7" s="4"/>
      <c r="H7" s="4"/>
      <c r="I7" s="4"/>
      <c r="J7" s="4"/>
    </row>
    <row r="8" spans="1:10" x14ac:dyDescent="0.3">
      <c r="A8" s="40" t="s">
        <v>110</v>
      </c>
      <c r="B8" s="43">
        <v>0.95</v>
      </c>
      <c r="C8" s="4"/>
      <c r="D8" s="4"/>
      <c r="E8" s="4"/>
      <c r="F8" s="4"/>
      <c r="G8" s="4"/>
      <c r="H8" s="4"/>
      <c r="I8" s="4"/>
      <c r="J8" s="4"/>
    </row>
    <row r="9" spans="1:10" x14ac:dyDescent="0.3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2.05" customHeight="1" x14ac:dyDescent="0.3">
      <c r="A10" s="37" t="s">
        <v>111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0" ht="19.95" customHeight="1" x14ac:dyDescent="0.3">
      <c r="A11" s="38" t="s">
        <v>12</v>
      </c>
      <c r="B11" s="39" t="s">
        <v>143</v>
      </c>
      <c r="C11" s="39" t="s">
        <v>168</v>
      </c>
      <c r="D11" s="39" t="s">
        <v>169</v>
      </c>
      <c r="E11" s="39" t="s">
        <v>170</v>
      </c>
      <c r="F11" s="39" t="s">
        <v>171</v>
      </c>
      <c r="G11" s="39" t="s">
        <v>172</v>
      </c>
      <c r="H11" s="39" t="s">
        <v>173</v>
      </c>
      <c r="I11" s="39" t="s">
        <v>174</v>
      </c>
      <c r="J11" s="39" t="s">
        <v>175</v>
      </c>
    </row>
    <row r="12" spans="1:10" x14ac:dyDescent="0.3">
      <c r="A12" s="40" t="s">
        <v>119</v>
      </c>
      <c r="B12" s="43" t="s">
        <v>18</v>
      </c>
      <c r="C12" s="43">
        <v>0.05</v>
      </c>
      <c r="D12" s="43">
        <v>1.9319999999999999</v>
      </c>
      <c r="E12" s="43">
        <v>0.1</v>
      </c>
      <c r="F12" s="43">
        <v>1.9410000000000001</v>
      </c>
      <c r="G12" s="43">
        <v>0.18</v>
      </c>
      <c r="H12" s="43">
        <v>1.7729999999999999</v>
      </c>
      <c r="I12" s="43">
        <v>0.8</v>
      </c>
      <c r="J12" s="43">
        <v>0.3</v>
      </c>
    </row>
    <row r="13" spans="1:10" x14ac:dyDescent="0.3">
      <c r="A13" s="40" t="s">
        <v>120</v>
      </c>
      <c r="B13" s="43" t="s">
        <v>19</v>
      </c>
      <c r="C13" s="43">
        <v>0.06</v>
      </c>
      <c r="D13" s="43">
        <v>2.0659999999999998</v>
      </c>
      <c r="E13" s="43">
        <v>0.13</v>
      </c>
      <c r="F13" s="43">
        <v>2.036</v>
      </c>
      <c r="G13" s="43">
        <v>0.22</v>
      </c>
      <c r="H13" s="43">
        <v>1.843</v>
      </c>
      <c r="I13" s="43">
        <v>0.85</v>
      </c>
      <c r="J13" s="43">
        <v>0.5</v>
      </c>
    </row>
    <row r="14" spans="1:10" x14ac:dyDescent="0.3">
      <c r="A14" s="40" t="s">
        <v>121</v>
      </c>
      <c r="B14" s="43" t="s">
        <v>20</v>
      </c>
      <c r="C14" s="43">
        <v>7.0000000000000007E-2</v>
      </c>
      <c r="D14" s="43">
        <v>2.1840000000000002</v>
      </c>
      <c r="E14" s="43">
        <v>0.15</v>
      </c>
      <c r="F14" s="43">
        <v>2.194</v>
      </c>
      <c r="G14" s="43">
        <v>0.25</v>
      </c>
      <c r="H14" s="43">
        <v>1.9770000000000001</v>
      </c>
      <c r="I14" s="43">
        <v>0.85</v>
      </c>
      <c r="J14" s="43">
        <v>0.55000000000000004</v>
      </c>
    </row>
    <row r="15" spans="1:10" x14ac:dyDescent="0.3">
      <c r="A15" s="40" t="s">
        <v>122</v>
      </c>
      <c r="B15" s="43" t="s">
        <v>47</v>
      </c>
      <c r="C15" s="43">
        <v>7.0000000000000007E-2</v>
      </c>
      <c r="D15" s="43">
        <v>2.2639999999999998</v>
      </c>
      <c r="E15" s="43">
        <v>0.18</v>
      </c>
      <c r="F15" s="43">
        <v>2.2669999999999999</v>
      </c>
      <c r="G15" s="43">
        <v>0.3</v>
      </c>
      <c r="H15" s="43">
        <v>2.02</v>
      </c>
      <c r="I15" s="43">
        <v>0.88</v>
      </c>
      <c r="J15" s="43">
        <v>0.6</v>
      </c>
    </row>
    <row r="16" spans="1:10" x14ac:dyDescent="0.3">
      <c r="A16" s="40" t="s">
        <v>123</v>
      </c>
      <c r="B16" s="43" t="s">
        <v>48</v>
      </c>
      <c r="C16" s="43">
        <v>0.06</v>
      </c>
      <c r="D16" s="43">
        <v>2.327</v>
      </c>
      <c r="E16" s="43">
        <v>0.2</v>
      </c>
      <c r="F16" s="43">
        <v>2.3820000000000001</v>
      </c>
      <c r="G16" s="43">
        <v>0.35</v>
      </c>
      <c r="H16" s="43">
        <v>2.1190000000000002</v>
      </c>
      <c r="I16" s="43">
        <v>0.9</v>
      </c>
      <c r="J16" s="43">
        <v>0.5</v>
      </c>
    </row>
    <row r="17" spans="1:10" x14ac:dyDescent="0.3">
      <c r="A17" s="40" t="s">
        <v>124</v>
      </c>
      <c r="B17" s="43" t="s">
        <v>23</v>
      </c>
      <c r="C17" s="43">
        <v>3.5000000000000003E-2</v>
      </c>
      <c r="D17" s="43">
        <v>2.5339999999999998</v>
      </c>
      <c r="E17" s="43">
        <v>0.2</v>
      </c>
      <c r="F17" s="43">
        <v>2.64</v>
      </c>
      <c r="G17" s="43">
        <v>0.38</v>
      </c>
      <c r="H17" s="43">
        <v>2.3410000000000002</v>
      </c>
      <c r="I17" s="43">
        <v>0.95</v>
      </c>
      <c r="J17" s="43">
        <v>0.55000000000000004</v>
      </c>
    </row>
    <row r="18" spans="1:10" x14ac:dyDescent="0.3">
      <c r="A18" s="40" t="s">
        <v>125</v>
      </c>
      <c r="B18" s="43" t="s">
        <v>176</v>
      </c>
      <c r="C18" s="43">
        <v>0.15</v>
      </c>
      <c r="D18" s="43">
        <v>2.34</v>
      </c>
      <c r="E18" s="43">
        <v>0.3</v>
      </c>
      <c r="F18" s="43">
        <v>2.5059999999999998</v>
      </c>
      <c r="G18" s="43">
        <v>0.4</v>
      </c>
      <c r="H18" s="43">
        <v>2.4169999999999998</v>
      </c>
      <c r="I18" s="43">
        <v>1</v>
      </c>
      <c r="J18" s="43">
        <v>0.5</v>
      </c>
    </row>
    <row r="19" spans="1:10" x14ac:dyDescent="0.3">
      <c r="A19" s="40" t="s">
        <v>126</v>
      </c>
      <c r="B19" s="43" t="s">
        <v>51</v>
      </c>
      <c r="C19" s="43">
        <v>0.17699999999999999</v>
      </c>
      <c r="D19" s="43">
        <v>2.2949999999999999</v>
      </c>
      <c r="E19" s="43">
        <v>0.33300000000000002</v>
      </c>
      <c r="F19" s="43">
        <v>2.448</v>
      </c>
      <c r="G19" s="43">
        <v>0.40400000000000003</v>
      </c>
      <c r="H19" s="43">
        <v>2.5230000000000001</v>
      </c>
      <c r="I19" s="43">
        <v>1</v>
      </c>
      <c r="J19" s="43">
        <v>0.55000000000000004</v>
      </c>
    </row>
    <row r="20" spans="1:10" x14ac:dyDescent="0.3">
      <c r="A20" s="89" t="s">
        <v>177</v>
      </c>
      <c r="B20" s="89" t="s">
        <v>74</v>
      </c>
      <c r="C20" s="89">
        <v>5.6000000000000001E-2</v>
      </c>
      <c r="D20" s="89">
        <v>2.56</v>
      </c>
      <c r="E20" s="89">
        <v>0.2</v>
      </c>
      <c r="F20" s="89">
        <v>2.75</v>
      </c>
      <c r="G20" s="89">
        <v>0.33400000000000002</v>
      </c>
      <c r="H20" s="89">
        <v>2.8</v>
      </c>
      <c r="I20" s="89" t="s">
        <v>127</v>
      </c>
      <c r="J20" s="89" t="s">
        <v>127</v>
      </c>
    </row>
    <row r="21" spans="1:10" x14ac:dyDescent="0.3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ht="22.05" customHeight="1" x14ac:dyDescent="0.3">
      <c r="A22" s="37" t="s">
        <v>167</v>
      </c>
      <c r="B22" s="37"/>
      <c r="C22" s="37"/>
      <c r="D22" s="37"/>
      <c r="E22" s="37"/>
      <c r="F22" s="37"/>
      <c r="G22" s="37"/>
      <c r="H22" s="37"/>
      <c r="I22" s="37"/>
      <c r="J22" s="37"/>
    </row>
    <row r="23" spans="1:10" ht="19.95" customHeight="1" x14ac:dyDescent="0.3">
      <c r="A23" s="38" t="s">
        <v>134</v>
      </c>
      <c r="B23" s="39" t="s">
        <v>106</v>
      </c>
      <c r="C23" s="39"/>
      <c r="D23" s="39"/>
      <c r="E23" s="39"/>
      <c r="F23" s="39"/>
      <c r="G23" s="39"/>
      <c r="H23" s="39"/>
      <c r="I23" s="39"/>
      <c r="J23" s="39"/>
    </row>
    <row r="24" spans="1:10" x14ac:dyDescent="0.3">
      <c r="A24" s="40">
        <v>1</v>
      </c>
      <c r="B24" s="43">
        <v>0.75</v>
      </c>
      <c r="C24" s="4"/>
      <c r="D24" s="4"/>
      <c r="E24" s="4"/>
      <c r="F24" s="4"/>
      <c r="G24" s="4"/>
      <c r="H24" s="4"/>
      <c r="I24" s="4"/>
      <c r="J24" s="4"/>
    </row>
    <row r="25" spans="1:10" x14ac:dyDescent="0.3">
      <c r="A25" s="40">
        <v>2</v>
      </c>
      <c r="B25" s="43">
        <v>0.88</v>
      </c>
      <c r="C25" s="4"/>
      <c r="D25" s="4"/>
      <c r="E25" s="4"/>
      <c r="F25" s="4"/>
      <c r="G25" s="4"/>
      <c r="H25" s="4"/>
      <c r="I25" s="4"/>
      <c r="J25" s="4"/>
    </row>
    <row r="26" spans="1:10" x14ac:dyDescent="0.3">
      <c r="A26" s="40">
        <v>3</v>
      </c>
      <c r="B26" s="43">
        <v>1</v>
      </c>
      <c r="C26" s="4"/>
      <c r="D26" s="4"/>
      <c r="E26" s="4"/>
      <c r="F26" s="4"/>
      <c r="G26" s="4"/>
      <c r="H26" s="4"/>
      <c r="I26" s="4"/>
      <c r="J26" s="4"/>
    </row>
    <row r="27" spans="1:10" x14ac:dyDescent="0.3">
      <c r="A27" s="40">
        <v>4</v>
      </c>
      <c r="B27" s="43">
        <v>1.1499999999999999</v>
      </c>
      <c r="C27" s="4"/>
      <c r="D27" s="4"/>
      <c r="E27" s="4"/>
      <c r="F27" s="4"/>
      <c r="G27" s="4"/>
      <c r="H27" s="4"/>
      <c r="I27" s="4"/>
      <c r="J27" s="4"/>
    </row>
    <row r="28" spans="1:10" x14ac:dyDescent="0.3">
      <c r="A28" s="40">
        <v>5</v>
      </c>
      <c r="B28" s="43">
        <v>1.3</v>
      </c>
      <c r="C28" s="4"/>
      <c r="D28" s="4"/>
      <c r="E28" s="4"/>
      <c r="F28" s="4"/>
      <c r="G28" s="4"/>
      <c r="H28" s="4"/>
      <c r="I28" s="4"/>
      <c r="J28" s="4"/>
    </row>
    <row r="29" spans="1:10" x14ac:dyDescent="0.3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3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ht="22.05" customHeight="1" x14ac:dyDescent="0.3">
      <c r="A31" s="37" t="s">
        <v>128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ht="19.95" customHeight="1" x14ac:dyDescent="0.3">
      <c r="A32" s="38" t="s">
        <v>129</v>
      </c>
      <c r="B32" s="39">
        <f>POWER(1.04, 0.5)</f>
        <v>1.019803902718557</v>
      </c>
      <c r="C32" s="39"/>
      <c r="D32" s="39"/>
      <c r="E32" s="39"/>
      <c r="F32" s="39"/>
      <c r="G32" s="39"/>
      <c r="H32" s="39"/>
      <c r="I32" s="39"/>
      <c r="J32" s="39"/>
    </row>
    <row r="33" spans="1:10" x14ac:dyDescent="0.3">
      <c r="A33" s="40" t="s">
        <v>130</v>
      </c>
      <c r="B33" s="43">
        <v>0.25</v>
      </c>
      <c r="C33" s="4"/>
      <c r="D33" s="4"/>
      <c r="E33" s="4"/>
      <c r="F33" s="4"/>
      <c r="G33" s="4"/>
      <c r="H33" s="4"/>
      <c r="I33" s="4"/>
      <c r="J33" s="4"/>
    </row>
    <row r="34" spans="1:10" x14ac:dyDescent="0.3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ht="22.05" customHeight="1" x14ac:dyDescent="0.3">
      <c r="A35" s="37" t="s">
        <v>131</v>
      </c>
      <c r="B35" s="37"/>
      <c r="C35" s="37"/>
      <c r="D35" s="37"/>
      <c r="E35" s="37"/>
      <c r="F35" s="37"/>
      <c r="G35" s="37"/>
      <c r="H35" s="37"/>
      <c r="I35" s="37"/>
      <c r="J35" s="37"/>
    </row>
    <row r="36" spans="1:10" ht="19.95" customHeight="1" x14ac:dyDescent="0.3">
      <c r="A36" s="38" t="s">
        <v>13</v>
      </c>
      <c r="B36" s="39" t="s">
        <v>14</v>
      </c>
      <c r="C36" s="39" t="s">
        <v>15</v>
      </c>
      <c r="D36" s="39" t="s">
        <v>16</v>
      </c>
      <c r="E36" s="39" t="s">
        <v>17</v>
      </c>
      <c r="F36" s="39"/>
      <c r="G36" s="39"/>
      <c r="H36" s="39"/>
      <c r="I36" s="39"/>
      <c r="J36" s="39"/>
    </row>
    <row r="37" spans="1:10" x14ac:dyDescent="0.3">
      <c r="A37" s="40">
        <v>-1.282</v>
      </c>
      <c r="B37" s="43">
        <v>-0.67400000000000004</v>
      </c>
      <c r="C37" s="43">
        <v>0</v>
      </c>
      <c r="D37" s="43">
        <v>0.67400000000000004</v>
      </c>
      <c r="E37" s="43">
        <v>1.282</v>
      </c>
      <c r="F37" s="4"/>
      <c r="G37" s="4"/>
      <c r="H37" s="4"/>
      <c r="I37" s="4"/>
      <c r="J37" s="4"/>
    </row>
    <row r="38" spans="1:10" x14ac:dyDescent="0.3">
      <c r="A38" s="80" t="s">
        <v>132</v>
      </c>
    </row>
    <row r="39" spans="1:10" x14ac:dyDescent="0.3">
      <c r="A39" s="81" t="s">
        <v>119</v>
      </c>
      <c r="B39" s="81" t="s">
        <v>120</v>
      </c>
      <c r="C39" s="81" t="s">
        <v>121</v>
      </c>
      <c r="D39" s="81" t="s">
        <v>122</v>
      </c>
      <c r="E39" s="81" t="s">
        <v>123</v>
      </c>
      <c r="F39" s="81" t="s">
        <v>124</v>
      </c>
      <c r="G39" s="81" t="s">
        <v>125</v>
      </c>
      <c r="H39" s="81" t="s">
        <v>126</v>
      </c>
    </row>
    <row r="40" spans="1:10" x14ac:dyDescent="0.3">
      <c r="A40" s="82">
        <v>0</v>
      </c>
      <c r="B40" s="82">
        <v>0.05</v>
      </c>
      <c r="C40" s="82">
        <v>0.15</v>
      </c>
      <c r="D40" s="82">
        <v>0.25</v>
      </c>
      <c r="E40" s="82">
        <v>0.4</v>
      </c>
      <c r="F40" s="82">
        <v>0.6</v>
      </c>
      <c r="G40" s="82">
        <v>0.8</v>
      </c>
      <c r="H40" s="82">
        <v>1</v>
      </c>
    </row>
  </sheetData>
  <pageMargins left="0.75" right="0.75" top="1" bottom="1" header="0.5" footer="0.5"/>
  <ignoredErrors>
    <ignoredError sqref="A1:U60" numberStoredAsText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M46"/>
  <sheetViews>
    <sheetView showGridLines="0" workbookViewId="0"/>
  </sheetViews>
  <sheetFormatPr defaultRowHeight="14.4" x14ac:dyDescent="0.3"/>
  <cols>
    <col min="1" max="1" width="20" customWidth="1"/>
    <col min="2" max="13" width="14" customWidth="1"/>
  </cols>
  <sheetData>
    <row r="1" spans="1:13" x14ac:dyDescent="0.3">
      <c r="A1" s="40" t="s">
        <v>178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3">
      <c r="A2" s="40" t="s">
        <v>12</v>
      </c>
      <c r="B2" s="43" t="s">
        <v>143</v>
      </c>
      <c r="C2" s="43" t="s">
        <v>151</v>
      </c>
      <c r="D2" s="43" t="s">
        <v>152</v>
      </c>
      <c r="E2" s="43" t="s">
        <v>153</v>
      </c>
      <c r="F2" s="43" t="s">
        <v>154</v>
      </c>
      <c r="G2" s="43" t="s">
        <v>155</v>
      </c>
      <c r="H2" s="43" t="s">
        <v>179</v>
      </c>
      <c r="I2" s="43" t="s">
        <v>180</v>
      </c>
      <c r="J2" s="43" t="s">
        <v>181</v>
      </c>
      <c r="K2" s="43" t="s">
        <v>182</v>
      </c>
      <c r="L2" s="43" t="s">
        <v>183</v>
      </c>
      <c r="M2" s="43" t="s">
        <v>184</v>
      </c>
    </row>
    <row r="3" spans="1:13" x14ac:dyDescent="0.3">
      <c r="A3" s="40" t="s">
        <v>119</v>
      </c>
      <c r="B3" s="43" t="s">
        <v>18</v>
      </c>
      <c r="C3" s="43">
        <v>90</v>
      </c>
      <c r="D3" s="43">
        <v>102</v>
      </c>
      <c r="E3" s="43">
        <v>125</v>
      </c>
      <c r="F3" s="43">
        <v>125</v>
      </c>
      <c r="G3" s="43">
        <v>150</v>
      </c>
      <c r="H3" s="43">
        <v>100</v>
      </c>
      <c r="I3" s="43">
        <v>124</v>
      </c>
      <c r="J3" s="43">
        <v>130</v>
      </c>
      <c r="K3" s="43">
        <v>162</v>
      </c>
      <c r="L3" s="43">
        <v>200</v>
      </c>
      <c r="M3" s="43">
        <v>1.05</v>
      </c>
    </row>
    <row r="4" spans="1:13" x14ac:dyDescent="0.3">
      <c r="A4" s="40" t="s">
        <v>120</v>
      </c>
      <c r="B4" s="43" t="s">
        <v>20</v>
      </c>
      <c r="C4" s="43">
        <v>130</v>
      </c>
      <c r="D4" s="43">
        <v>149</v>
      </c>
      <c r="E4" s="43">
        <v>170</v>
      </c>
      <c r="F4" s="43">
        <v>182</v>
      </c>
      <c r="G4" s="43">
        <v>210</v>
      </c>
      <c r="H4" s="43">
        <v>150</v>
      </c>
      <c r="I4" s="43">
        <v>183</v>
      </c>
      <c r="J4" s="43">
        <v>220</v>
      </c>
      <c r="K4" s="43">
        <v>261</v>
      </c>
      <c r="L4" s="43">
        <v>310</v>
      </c>
      <c r="M4" s="43">
        <v>1.08</v>
      </c>
    </row>
    <row r="5" spans="1:13" x14ac:dyDescent="0.3">
      <c r="A5" s="40" t="s">
        <v>121</v>
      </c>
      <c r="B5" s="43" t="s">
        <v>95</v>
      </c>
      <c r="C5" s="43">
        <v>170</v>
      </c>
      <c r="D5" s="43">
        <v>196</v>
      </c>
      <c r="E5" s="43">
        <v>229</v>
      </c>
      <c r="F5" s="43">
        <v>258</v>
      </c>
      <c r="G5" s="43">
        <v>300</v>
      </c>
      <c r="H5" s="43">
        <v>210</v>
      </c>
      <c r="I5" s="43">
        <v>252</v>
      </c>
      <c r="J5" s="43">
        <v>312</v>
      </c>
      <c r="K5" s="43">
        <v>366</v>
      </c>
      <c r="L5" s="43">
        <v>430</v>
      </c>
      <c r="M5" s="43">
        <v>1.1200000000000001</v>
      </c>
    </row>
    <row r="6" spans="1:13" x14ac:dyDescent="0.3">
      <c r="A6" s="40" t="s">
        <v>122</v>
      </c>
      <c r="B6" s="43" t="s">
        <v>81</v>
      </c>
      <c r="C6" s="43">
        <v>200</v>
      </c>
      <c r="D6" s="43">
        <v>225</v>
      </c>
      <c r="E6" s="43">
        <v>292</v>
      </c>
      <c r="F6" s="43">
        <v>344</v>
      </c>
      <c r="G6" s="43">
        <v>400</v>
      </c>
      <c r="H6" s="43">
        <v>270</v>
      </c>
      <c r="I6" s="43">
        <v>330</v>
      </c>
      <c r="J6" s="43">
        <v>396</v>
      </c>
      <c r="K6" s="43">
        <v>474</v>
      </c>
      <c r="L6" s="43">
        <v>580</v>
      </c>
      <c r="M6" s="43">
        <v>1.4</v>
      </c>
    </row>
    <row r="7" spans="1:13" x14ac:dyDescent="0.3">
      <c r="A7" s="40" t="s">
        <v>123</v>
      </c>
      <c r="B7" s="43" t="s">
        <v>96</v>
      </c>
      <c r="C7" s="43">
        <v>250</v>
      </c>
      <c r="D7" s="43">
        <v>285</v>
      </c>
      <c r="E7" s="43">
        <v>325</v>
      </c>
      <c r="F7" s="43">
        <v>505</v>
      </c>
      <c r="G7" s="43">
        <v>650</v>
      </c>
      <c r="H7" s="43">
        <v>300</v>
      </c>
      <c r="I7" s="43">
        <v>389</v>
      </c>
      <c r="J7" s="43">
        <v>513</v>
      </c>
      <c r="K7" s="43">
        <v>650</v>
      </c>
      <c r="L7" s="43">
        <v>850</v>
      </c>
      <c r="M7" s="43">
        <v>1.75</v>
      </c>
    </row>
    <row r="8" spans="1:13" x14ac:dyDescent="0.3">
      <c r="A8" s="40" t="s">
        <v>124</v>
      </c>
      <c r="B8" s="43" t="s">
        <v>97</v>
      </c>
      <c r="C8" s="43">
        <v>350</v>
      </c>
      <c r="D8" s="43">
        <v>400</v>
      </c>
      <c r="E8" s="43">
        <v>500</v>
      </c>
      <c r="F8" s="43">
        <v>700</v>
      </c>
      <c r="G8" s="43">
        <v>900</v>
      </c>
      <c r="H8" s="43">
        <v>400</v>
      </c>
      <c r="I8" s="43">
        <v>540</v>
      </c>
      <c r="J8" s="43">
        <v>700</v>
      </c>
      <c r="K8" s="43">
        <v>860</v>
      </c>
      <c r="L8" s="43">
        <v>1200</v>
      </c>
      <c r="M8" s="43">
        <v>2.85</v>
      </c>
    </row>
    <row r="9" spans="1:13" x14ac:dyDescent="0.3">
      <c r="A9" s="40" t="s">
        <v>125</v>
      </c>
      <c r="B9" s="43" t="s">
        <v>98</v>
      </c>
      <c r="C9" s="43">
        <v>400</v>
      </c>
      <c r="D9" s="43">
        <v>500</v>
      </c>
      <c r="E9" s="43">
        <v>700</v>
      </c>
      <c r="F9" s="43">
        <v>1050</v>
      </c>
      <c r="G9" s="43">
        <v>1400</v>
      </c>
      <c r="H9" s="43">
        <v>550</v>
      </c>
      <c r="I9" s="43">
        <v>753</v>
      </c>
      <c r="J9" s="43">
        <v>1040</v>
      </c>
      <c r="K9" s="43">
        <v>1569</v>
      </c>
      <c r="L9" s="43">
        <v>2200</v>
      </c>
      <c r="M9" s="43">
        <v>3</v>
      </c>
    </row>
    <row r="10" spans="1:13" x14ac:dyDescent="0.3">
      <c r="A10" s="40" t="s">
        <v>126</v>
      </c>
      <c r="B10" s="43" t="s">
        <v>99</v>
      </c>
      <c r="C10" s="43">
        <v>600</v>
      </c>
      <c r="D10" s="43">
        <v>775</v>
      </c>
      <c r="E10" s="43">
        <v>1100</v>
      </c>
      <c r="F10" s="43">
        <v>1725</v>
      </c>
      <c r="G10" s="43">
        <v>2500</v>
      </c>
      <c r="H10" s="43">
        <v>800</v>
      </c>
      <c r="I10" s="43">
        <v>1064</v>
      </c>
      <c r="J10" s="43">
        <v>1600</v>
      </c>
      <c r="K10" s="43">
        <v>3398</v>
      </c>
      <c r="L10" s="43">
        <v>5000</v>
      </c>
      <c r="M10" s="43">
        <v>5</v>
      </c>
    </row>
    <row r="11" spans="1:13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3">
      <c r="A13" s="40" t="s">
        <v>185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">
      <c r="A14" s="40" t="s">
        <v>12</v>
      </c>
      <c r="B14" s="43" t="s">
        <v>143</v>
      </c>
      <c r="C14" s="43" t="s">
        <v>151</v>
      </c>
      <c r="D14" s="4"/>
      <c r="E14" s="4"/>
      <c r="F14" s="4"/>
      <c r="G14" s="4"/>
      <c r="H14" s="43" t="s">
        <v>179</v>
      </c>
      <c r="I14" s="4"/>
      <c r="J14" s="4"/>
      <c r="K14" s="4"/>
      <c r="L14" s="4"/>
      <c r="M14" s="4"/>
    </row>
    <row r="15" spans="1:13" x14ac:dyDescent="0.3">
      <c r="A15" s="40" t="s">
        <v>119</v>
      </c>
      <c r="B15" s="43" t="s">
        <v>18</v>
      </c>
      <c r="C15" s="43">
        <v>60</v>
      </c>
      <c r="D15" s="43">
        <v>72</v>
      </c>
      <c r="E15" s="43">
        <v>85</v>
      </c>
      <c r="F15" s="43">
        <v>100</v>
      </c>
      <c r="G15" s="43">
        <v>120</v>
      </c>
      <c r="H15" s="43">
        <v>65</v>
      </c>
      <c r="I15" s="43">
        <v>78</v>
      </c>
      <c r="J15" s="43">
        <v>95</v>
      </c>
      <c r="K15" s="43">
        <v>112</v>
      </c>
      <c r="L15" s="43">
        <v>135</v>
      </c>
      <c r="M15" s="4"/>
    </row>
    <row r="16" spans="1:13" x14ac:dyDescent="0.3">
      <c r="A16" s="40" t="s">
        <v>120</v>
      </c>
      <c r="B16" s="43" t="s">
        <v>19</v>
      </c>
      <c r="C16" s="43">
        <v>75</v>
      </c>
      <c r="D16" s="43">
        <v>88</v>
      </c>
      <c r="E16" s="43">
        <v>100</v>
      </c>
      <c r="F16" s="43">
        <v>120</v>
      </c>
      <c r="G16" s="43">
        <v>145</v>
      </c>
      <c r="H16" s="43">
        <v>80</v>
      </c>
      <c r="I16" s="43">
        <v>95</v>
      </c>
      <c r="J16" s="43">
        <v>112</v>
      </c>
      <c r="K16" s="43">
        <v>135</v>
      </c>
      <c r="L16" s="43">
        <v>165</v>
      </c>
      <c r="M16" s="4"/>
    </row>
    <row r="17" spans="1:13" x14ac:dyDescent="0.3">
      <c r="A17" s="40" t="s">
        <v>121</v>
      </c>
      <c r="B17" s="43" t="s">
        <v>20</v>
      </c>
      <c r="C17" s="43">
        <v>85</v>
      </c>
      <c r="D17" s="43">
        <v>100</v>
      </c>
      <c r="E17" s="43">
        <v>120</v>
      </c>
      <c r="F17" s="43">
        <v>145</v>
      </c>
      <c r="G17" s="43">
        <v>175</v>
      </c>
      <c r="H17" s="43">
        <v>95</v>
      </c>
      <c r="I17" s="43">
        <v>115</v>
      </c>
      <c r="J17" s="43">
        <v>138</v>
      </c>
      <c r="K17" s="43">
        <v>165</v>
      </c>
      <c r="L17" s="43">
        <v>200</v>
      </c>
      <c r="M17" s="4"/>
    </row>
    <row r="18" spans="1:13" x14ac:dyDescent="0.3">
      <c r="A18" s="40" t="s">
        <v>122</v>
      </c>
      <c r="B18" s="43" t="s">
        <v>100</v>
      </c>
      <c r="C18" s="43">
        <v>100</v>
      </c>
      <c r="D18" s="43">
        <v>120</v>
      </c>
      <c r="E18" s="43">
        <v>144</v>
      </c>
      <c r="F18" s="43">
        <v>188</v>
      </c>
      <c r="G18" s="43">
        <v>215</v>
      </c>
      <c r="H18" s="43">
        <v>115</v>
      </c>
      <c r="I18" s="43">
        <v>136</v>
      </c>
      <c r="J18" s="43">
        <v>166</v>
      </c>
      <c r="K18" s="43">
        <v>190</v>
      </c>
      <c r="L18" s="43">
        <v>240</v>
      </c>
      <c r="M18" s="4"/>
    </row>
    <row r="19" spans="1:13" x14ac:dyDescent="0.3">
      <c r="A19" s="40" t="s">
        <v>123</v>
      </c>
      <c r="B19" s="43" t="s">
        <v>48</v>
      </c>
      <c r="C19" s="43">
        <v>145</v>
      </c>
      <c r="D19" s="43">
        <v>175</v>
      </c>
      <c r="E19" s="43">
        <v>214</v>
      </c>
      <c r="F19" s="43">
        <v>223</v>
      </c>
      <c r="G19" s="43">
        <v>265</v>
      </c>
      <c r="H19" s="43">
        <v>180</v>
      </c>
      <c r="I19" s="43">
        <v>223</v>
      </c>
      <c r="J19" s="43">
        <v>247</v>
      </c>
      <c r="K19" s="43">
        <v>303</v>
      </c>
      <c r="L19" s="43">
        <v>380</v>
      </c>
      <c r="M19" s="4"/>
    </row>
    <row r="20" spans="1:13" x14ac:dyDescent="0.3">
      <c r="A20" s="40" t="s">
        <v>124</v>
      </c>
      <c r="B20" s="43" t="s">
        <v>101</v>
      </c>
      <c r="C20" s="43">
        <v>200</v>
      </c>
      <c r="D20" s="43">
        <v>250</v>
      </c>
      <c r="E20" s="43">
        <v>290</v>
      </c>
      <c r="F20" s="43">
        <v>318</v>
      </c>
      <c r="G20" s="43">
        <v>380</v>
      </c>
      <c r="H20" s="43">
        <v>275</v>
      </c>
      <c r="I20" s="43">
        <v>345</v>
      </c>
      <c r="J20" s="43">
        <v>394</v>
      </c>
      <c r="K20" s="43">
        <v>463</v>
      </c>
      <c r="L20" s="43">
        <v>550</v>
      </c>
      <c r="M20" s="4"/>
    </row>
    <row r="21" spans="1:13" x14ac:dyDescent="0.3">
      <c r="A21" s="40" t="s">
        <v>125</v>
      </c>
      <c r="B21" s="43" t="s">
        <v>102</v>
      </c>
      <c r="C21" s="43">
        <v>400</v>
      </c>
      <c r="D21" s="43">
        <v>556</v>
      </c>
      <c r="E21" s="43">
        <v>697</v>
      </c>
      <c r="F21" s="43">
        <v>819</v>
      </c>
      <c r="G21" s="43">
        <v>900</v>
      </c>
      <c r="H21" s="43">
        <v>500</v>
      </c>
      <c r="I21" s="43">
        <v>777</v>
      </c>
      <c r="J21" s="43">
        <v>819</v>
      </c>
      <c r="K21" s="43">
        <v>824</v>
      </c>
      <c r="L21" s="43">
        <v>1000</v>
      </c>
      <c r="M21" s="4"/>
    </row>
    <row r="22" spans="1:13" x14ac:dyDescent="0.3">
      <c r="A22" s="40" t="s">
        <v>126</v>
      </c>
      <c r="B22" s="43" t="s">
        <v>103</v>
      </c>
      <c r="C22" s="43">
        <v>500</v>
      </c>
      <c r="D22" s="43">
        <v>650</v>
      </c>
      <c r="E22" s="43">
        <v>750</v>
      </c>
      <c r="F22" s="43">
        <v>900</v>
      </c>
      <c r="G22" s="43">
        <v>1050</v>
      </c>
      <c r="H22" s="43">
        <v>650</v>
      </c>
      <c r="I22" s="43">
        <v>825</v>
      </c>
      <c r="J22" s="43">
        <v>1000</v>
      </c>
      <c r="K22" s="43">
        <v>1200</v>
      </c>
      <c r="L22" s="43">
        <v>1450</v>
      </c>
      <c r="M22" s="4"/>
    </row>
    <row r="23" spans="1:13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22.05" customHeight="1" x14ac:dyDescent="0.3">
      <c r="A25" s="37" t="s">
        <v>167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ht="19.95" customHeight="1" x14ac:dyDescent="0.3">
      <c r="A26" s="38" t="s">
        <v>134</v>
      </c>
      <c r="B26" s="39" t="s">
        <v>106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 x14ac:dyDescent="0.3">
      <c r="A27" s="40">
        <v>1</v>
      </c>
      <c r="B27" s="43">
        <v>0.7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3">
      <c r="A28" s="40">
        <v>2</v>
      </c>
      <c r="B28" s="43">
        <v>0.85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3">
      <c r="A29" s="40">
        <v>3</v>
      </c>
      <c r="B29" s="43">
        <v>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3">
      <c r="A30" s="40">
        <v>4</v>
      </c>
      <c r="B30" s="43">
        <v>1.2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3">
      <c r="A31" s="40">
        <v>5</v>
      </c>
      <c r="B31" s="43">
        <v>1.45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22.05" customHeight="1" x14ac:dyDescent="0.3">
      <c r="A33" s="37" t="s">
        <v>128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</row>
    <row r="34" spans="1:13" ht="19.95" customHeight="1" x14ac:dyDescent="0.3">
      <c r="A34" s="38" t="s">
        <v>129</v>
      </c>
      <c r="B34" s="39">
        <f>POWER(1.04, 0.5)</f>
        <v>1.019803902718557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3" x14ac:dyDescent="0.3">
      <c r="A35" s="40" t="s">
        <v>130</v>
      </c>
      <c r="B35" s="43">
        <v>0.25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22.05" customHeight="1" x14ac:dyDescent="0.3">
      <c r="A37" s="37" t="s">
        <v>131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</row>
    <row r="38" spans="1:13" ht="19.95" customHeight="1" x14ac:dyDescent="0.3">
      <c r="A38" s="38" t="s">
        <v>13</v>
      </c>
      <c r="B38" s="39" t="s">
        <v>14</v>
      </c>
      <c r="C38" s="39" t="s">
        <v>15</v>
      </c>
      <c r="D38" s="39" t="s">
        <v>16</v>
      </c>
      <c r="E38" s="39" t="s">
        <v>17</v>
      </c>
      <c r="F38" s="39"/>
      <c r="G38" s="39"/>
      <c r="H38" s="39"/>
      <c r="I38" s="39"/>
      <c r="J38" s="39"/>
      <c r="K38" s="39"/>
      <c r="L38" s="39"/>
      <c r="M38" s="39"/>
    </row>
    <row r="39" spans="1:13" x14ac:dyDescent="0.3">
      <c r="A39" s="40">
        <v>-1.282</v>
      </c>
      <c r="B39" s="43">
        <v>-0.67400000000000004</v>
      </c>
      <c r="C39" s="43">
        <v>0</v>
      </c>
      <c r="D39" s="43">
        <v>0.67400000000000004</v>
      </c>
      <c r="E39" s="43">
        <v>1.282</v>
      </c>
      <c r="F39" s="4"/>
      <c r="G39" s="4"/>
      <c r="H39" s="4"/>
      <c r="I39" s="4"/>
      <c r="J39" s="4"/>
      <c r="K39" s="4"/>
      <c r="L39" s="4"/>
      <c r="M39" s="4"/>
    </row>
    <row r="40" spans="1:13" x14ac:dyDescent="0.3">
      <c r="A40" s="80"/>
    </row>
    <row r="41" spans="1:13" x14ac:dyDescent="0.3">
      <c r="A41" s="81"/>
      <c r="B41" s="81"/>
      <c r="C41" s="81"/>
      <c r="D41" s="81"/>
      <c r="E41" s="81"/>
      <c r="F41" s="81"/>
      <c r="G41" s="81"/>
      <c r="H41" s="81"/>
    </row>
    <row r="42" spans="1:13" x14ac:dyDescent="0.3">
      <c r="A42" s="82"/>
      <c r="B42" s="82"/>
      <c r="C42" s="82"/>
      <c r="D42" s="82"/>
      <c r="E42" s="82"/>
      <c r="F42" s="82"/>
      <c r="G42" s="82"/>
      <c r="H42" s="82"/>
    </row>
    <row r="44" spans="1:13" x14ac:dyDescent="0.3">
      <c r="A44" t="s">
        <v>132</v>
      </c>
    </row>
    <row r="45" spans="1:13" x14ac:dyDescent="0.3">
      <c r="A45" t="s">
        <v>119</v>
      </c>
      <c r="B45" t="s">
        <v>120</v>
      </c>
      <c r="C45" t="s">
        <v>121</v>
      </c>
      <c r="D45" t="s">
        <v>122</v>
      </c>
      <c r="E45" t="s">
        <v>123</v>
      </c>
      <c r="F45" t="s">
        <v>124</v>
      </c>
      <c r="G45" t="s">
        <v>125</v>
      </c>
      <c r="H45" t="s">
        <v>126</v>
      </c>
    </row>
    <row r="46" spans="1:13" x14ac:dyDescent="0.3">
      <c r="A46">
        <v>0</v>
      </c>
      <c r="B46">
        <v>0.05</v>
      </c>
      <c r="C46">
        <v>0.15</v>
      </c>
      <c r="D46">
        <v>0.25</v>
      </c>
      <c r="E46">
        <v>0.4</v>
      </c>
      <c r="F46">
        <v>0.6</v>
      </c>
      <c r="G46">
        <v>0.8</v>
      </c>
      <c r="H46">
        <v>1</v>
      </c>
    </row>
  </sheetData>
  <pageMargins left="0.75" right="0.75" top="1" bottom="1" header="0.5" footer="0.5"/>
  <ignoredErrors>
    <ignoredError sqref="A1:U60" numberStoredAsText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M46"/>
  <sheetViews>
    <sheetView showGridLines="0" workbookViewId="0"/>
  </sheetViews>
  <sheetFormatPr defaultRowHeight="14.4" x14ac:dyDescent="0.3"/>
  <cols>
    <col min="1" max="1" width="20" customWidth="1"/>
    <col min="2" max="13" width="14" customWidth="1"/>
  </cols>
  <sheetData>
    <row r="1" spans="1:13" x14ac:dyDescent="0.3">
      <c r="A1" s="40" t="s">
        <v>178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3">
      <c r="A2" s="40" t="s">
        <v>12</v>
      </c>
      <c r="B2" s="43" t="s">
        <v>143</v>
      </c>
      <c r="C2" s="43" t="s">
        <v>151</v>
      </c>
      <c r="D2" s="4"/>
      <c r="E2" s="4"/>
      <c r="F2" s="4"/>
      <c r="G2" s="4"/>
      <c r="H2" s="43" t="s">
        <v>179</v>
      </c>
      <c r="I2" s="4"/>
      <c r="J2" s="4"/>
      <c r="K2" s="4"/>
      <c r="L2" s="4"/>
      <c r="M2" s="43" t="s">
        <v>184</v>
      </c>
    </row>
    <row r="3" spans="1:13" x14ac:dyDescent="0.3">
      <c r="A3" s="40" t="s">
        <v>119</v>
      </c>
      <c r="B3" s="43" t="s">
        <v>18</v>
      </c>
      <c r="C3" s="43">
        <v>85</v>
      </c>
      <c r="D3" s="43">
        <v>95</v>
      </c>
      <c r="E3" s="43">
        <v>115</v>
      </c>
      <c r="F3" s="43">
        <v>135</v>
      </c>
      <c r="G3" s="43">
        <v>160</v>
      </c>
      <c r="H3" s="43">
        <v>95</v>
      </c>
      <c r="I3" s="43">
        <v>115</v>
      </c>
      <c r="J3" s="43">
        <v>150</v>
      </c>
      <c r="K3" s="43">
        <v>200</v>
      </c>
      <c r="L3" s="43">
        <v>275</v>
      </c>
      <c r="M3" s="43">
        <v>1.03</v>
      </c>
    </row>
    <row r="4" spans="1:13" x14ac:dyDescent="0.3">
      <c r="A4" s="40" t="s">
        <v>120</v>
      </c>
      <c r="B4" s="43" t="s">
        <v>19</v>
      </c>
      <c r="C4" s="43">
        <v>110</v>
      </c>
      <c r="D4" s="43">
        <v>130</v>
      </c>
      <c r="E4" s="43">
        <v>155</v>
      </c>
      <c r="F4" s="43">
        <v>180</v>
      </c>
      <c r="G4" s="43">
        <v>210</v>
      </c>
      <c r="H4" s="43">
        <v>135</v>
      </c>
      <c r="I4" s="43">
        <v>175</v>
      </c>
      <c r="J4" s="43">
        <v>235</v>
      </c>
      <c r="K4" s="43">
        <v>325</v>
      </c>
      <c r="L4" s="43">
        <v>450</v>
      </c>
      <c r="M4" s="43">
        <v>1.05</v>
      </c>
    </row>
    <row r="5" spans="1:13" x14ac:dyDescent="0.3">
      <c r="A5" s="40" t="s">
        <v>121</v>
      </c>
      <c r="B5" s="43" t="s">
        <v>20</v>
      </c>
      <c r="C5" s="43">
        <v>140</v>
      </c>
      <c r="D5" s="43">
        <v>165</v>
      </c>
      <c r="E5" s="43">
        <v>195</v>
      </c>
      <c r="F5" s="43">
        <v>230</v>
      </c>
      <c r="G5" s="43">
        <v>270</v>
      </c>
      <c r="H5" s="43">
        <v>190</v>
      </c>
      <c r="I5" s="43">
        <v>260</v>
      </c>
      <c r="J5" s="43">
        <v>375</v>
      </c>
      <c r="K5" s="43">
        <v>525</v>
      </c>
      <c r="L5" s="43">
        <v>725</v>
      </c>
      <c r="M5" s="43">
        <v>1.08</v>
      </c>
    </row>
    <row r="6" spans="1:13" x14ac:dyDescent="0.3">
      <c r="A6" s="40" t="s">
        <v>122</v>
      </c>
      <c r="B6" s="43" t="s">
        <v>21</v>
      </c>
      <c r="C6" s="43">
        <v>175</v>
      </c>
      <c r="D6" s="43">
        <v>210</v>
      </c>
      <c r="E6" s="43">
        <v>260</v>
      </c>
      <c r="F6" s="43">
        <v>310</v>
      </c>
      <c r="G6" s="43">
        <v>375</v>
      </c>
      <c r="H6" s="43">
        <v>275</v>
      </c>
      <c r="I6" s="43">
        <v>400</v>
      </c>
      <c r="J6" s="43">
        <v>600</v>
      </c>
      <c r="K6" s="43">
        <v>900</v>
      </c>
      <c r="L6" s="43">
        <v>1300</v>
      </c>
      <c r="M6" s="43">
        <v>1.1499999999999999</v>
      </c>
    </row>
    <row r="7" spans="1:13" x14ac:dyDescent="0.3">
      <c r="A7" s="40" t="s">
        <v>123</v>
      </c>
      <c r="B7" s="43" t="s">
        <v>22</v>
      </c>
      <c r="C7" s="43">
        <v>225</v>
      </c>
      <c r="D7" s="43">
        <v>275</v>
      </c>
      <c r="E7" s="43">
        <v>350</v>
      </c>
      <c r="F7" s="43">
        <v>425</v>
      </c>
      <c r="G7" s="43">
        <v>500</v>
      </c>
      <c r="H7" s="43">
        <v>450</v>
      </c>
      <c r="I7" s="43">
        <v>700</v>
      </c>
      <c r="J7" s="43">
        <v>1100</v>
      </c>
      <c r="K7" s="43">
        <v>1700</v>
      </c>
      <c r="L7" s="43">
        <v>2500</v>
      </c>
      <c r="M7" s="43">
        <v>1.3</v>
      </c>
    </row>
    <row r="8" spans="1:13" x14ac:dyDescent="0.3">
      <c r="A8" s="40" t="s">
        <v>124</v>
      </c>
      <c r="B8" s="43" t="s">
        <v>23</v>
      </c>
      <c r="C8" s="43">
        <v>275</v>
      </c>
      <c r="D8" s="43">
        <v>325</v>
      </c>
      <c r="E8" s="43">
        <v>400</v>
      </c>
      <c r="F8" s="43">
        <v>500</v>
      </c>
      <c r="G8" s="43">
        <v>600</v>
      </c>
      <c r="H8" s="43">
        <v>700</v>
      </c>
      <c r="I8" s="43">
        <v>1200</v>
      </c>
      <c r="J8" s="43">
        <v>2000</v>
      </c>
      <c r="K8" s="43">
        <v>3500</v>
      </c>
      <c r="L8" s="43">
        <v>5500</v>
      </c>
      <c r="M8" s="43">
        <v>1.5</v>
      </c>
    </row>
    <row r="9" spans="1:13" x14ac:dyDescent="0.3">
      <c r="A9" s="40" t="s">
        <v>125</v>
      </c>
      <c r="B9" s="43" t="s">
        <v>24</v>
      </c>
      <c r="C9" s="43">
        <v>325</v>
      </c>
      <c r="D9" s="43">
        <v>400</v>
      </c>
      <c r="E9" s="43">
        <v>500</v>
      </c>
      <c r="F9" s="43">
        <v>600</v>
      </c>
      <c r="G9" s="43">
        <v>750</v>
      </c>
      <c r="H9" s="43">
        <v>1100</v>
      </c>
      <c r="I9" s="43">
        <v>2000</v>
      </c>
      <c r="J9" s="43">
        <v>3500</v>
      </c>
      <c r="K9" s="43">
        <v>6000</v>
      </c>
      <c r="L9" s="43">
        <v>10000</v>
      </c>
      <c r="M9" s="43">
        <v>1.75</v>
      </c>
    </row>
    <row r="10" spans="1:13" x14ac:dyDescent="0.3">
      <c r="A10" s="40" t="s">
        <v>126</v>
      </c>
      <c r="B10" s="43" t="s">
        <v>25</v>
      </c>
      <c r="C10" s="43">
        <v>400</v>
      </c>
      <c r="D10" s="43">
        <v>500</v>
      </c>
      <c r="E10" s="43">
        <v>650</v>
      </c>
      <c r="F10" s="43">
        <v>800</v>
      </c>
      <c r="G10" s="43">
        <v>1000</v>
      </c>
      <c r="H10" s="43">
        <v>1800</v>
      </c>
      <c r="I10" s="43">
        <v>3500</v>
      </c>
      <c r="J10" s="43">
        <v>6000</v>
      </c>
      <c r="K10" s="43">
        <v>12000</v>
      </c>
      <c r="L10" s="43">
        <v>20000</v>
      </c>
      <c r="M10" s="43">
        <v>2</v>
      </c>
    </row>
    <row r="11" spans="1:13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3">
      <c r="A13" s="40" t="s">
        <v>185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">
      <c r="A14" s="40" t="s">
        <v>12</v>
      </c>
      <c r="B14" s="43" t="s">
        <v>143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3">
      <c r="A15" s="40" t="s">
        <v>119</v>
      </c>
      <c r="B15" s="43" t="s">
        <v>27</v>
      </c>
      <c r="C15" s="43">
        <v>68</v>
      </c>
      <c r="D15" s="43">
        <v>76</v>
      </c>
      <c r="E15" s="43">
        <v>92</v>
      </c>
      <c r="F15" s="43">
        <v>108</v>
      </c>
      <c r="G15" s="43">
        <v>128</v>
      </c>
      <c r="H15" s="43">
        <v>72</v>
      </c>
      <c r="I15" s="43">
        <v>83</v>
      </c>
      <c r="J15" s="43">
        <v>105</v>
      </c>
      <c r="K15" s="43">
        <v>130</v>
      </c>
      <c r="L15" s="43">
        <v>165</v>
      </c>
      <c r="M15" s="4"/>
    </row>
    <row r="16" spans="1:13" x14ac:dyDescent="0.3">
      <c r="A16" s="40" t="s">
        <v>120</v>
      </c>
      <c r="B16" s="43" t="s">
        <v>28</v>
      </c>
      <c r="C16" s="43">
        <v>94</v>
      </c>
      <c r="D16" s="43">
        <v>111</v>
      </c>
      <c r="E16" s="43">
        <v>132</v>
      </c>
      <c r="F16" s="43">
        <v>153</v>
      </c>
      <c r="G16" s="43">
        <v>179</v>
      </c>
      <c r="H16" s="43">
        <v>104</v>
      </c>
      <c r="I16" s="43">
        <v>128</v>
      </c>
      <c r="J16" s="43">
        <v>162</v>
      </c>
      <c r="K16" s="43">
        <v>210</v>
      </c>
      <c r="L16" s="43">
        <v>270</v>
      </c>
      <c r="M16" s="4"/>
    </row>
    <row r="17" spans="1:13" x14ac:dyDescent="0.3">
      <c r="A17" s="40" t="s">
        <v>121</v>
      </c>
      <c r="B17" s="43" t="s">
        <v>29</v>
      </c>
      <c r="C17" s="43">
        <v>119</v>
      </c>
      <c r="D17" s="43">
        <v>140</v>
      </c>
      <c r="E17" s="43">
        <v>166</v>
      </c>
      <c r="F17" s="43">
        <v>196</v>
      </c>
      <c r="G17" s="43">
        <v>230</v>
      </c>
      <c r="H17" s="43">
        <v>135</v>
      </c>
      <c r="I17" s="43">
        <v>167</v>
      </c>
      <c r="J17" s="43">
        <v>215</v>
      </c>
      <c r="K17" s="43">
        <v>290</v>
      </c>
      <c r="L17" s="43">
        <v>380</v>
      </c>
      <c r="M17" s="4"/>
    </row>
    <row r="18" spans="1:13" x14ac:dyDescent="0.3">
      <c r="A18" s="40" t="s">
        <v>122</v>
      </c>
      <c r="B18" s="43" t="s">
        <v>67</v>
      </c>
      <c r="C18" s="43">
        <v>154</v>
      </c>
      <c r="D18" s="43">
        <v>185</v>
      </c>
      <c r="E18" s="43">
        <v>229</v>
      </c>
      <c r="F18" s="43">
        <v>273</v>
      </c>
      <c r="G18" s="43">
        <v>330</v>
      </c>
      <c r="H18" s="43">
        <v>185</v>
      </c>
      <c r="I18" s="43">
        <v>235</v>
      </c>
      <c r="J18" s="43">
        <v>330</v>
      </c>
      <c r="K18" s="43">
        <v>475</v>
      </c>
      <c r="L18" s="43">
        <v>650</v>
      </c>
      <c r="M18" s="4"/>
    </row>
    <row r="19" spans="1:13" x14ac:dyDescent="0.3">
      <c r="A19" s="40" t="s">
        <v>123</v>
      </c>
      <c r="B19" s="43" t="s">
        <v>68</v>
      </c>
      <c r="C19" s="43">
        <v>203</v>
      </c>
      <c r="D19" s="43">
        <v>248</v>
      </c>
      <c r="E19" s="43">
        <v>315</v>
      </c>
      <c r="F19" s="43">
        <v>383</v>
      </c>
      <c r="G19" s="43">
        <v>450</v>
      </c>
      <c r="H19" s="43">
        <v>260</v>
      </c>
      <c r="I19" s="43">
        <v>380</v>
      </c>
      <c r="J19" s="43">
        <v>560</v>
      </c>
      <c r="K19" s="43">
        <v>810</v>
      </c>
      <c r="L19" s="43">
        <v>1100</v>
      </c>
      <c r="M19" s="4"/>
    </row>
    <row r="20" spans="1:13" x14ac:dyDescent="0.3">
      <c r="A20" s="40" t="s">
        <v>124</v>
      </c>
      <c r="B20" s="43" t="s">
        <v>69</v>
      </c>
      <c r="C20" s="43">
        <v>261</v>
      </c>
      <c r="D20" s="43">
        <v>309</v>
      </c>
      <c r="E20" s="43">
        <v>380</v>
      </c>
      <c r="F20" s="43">
        <v>475</v>
      </c>
      <c r="G20" s="43">
        <v>570</v>
      </c>
      <c r="H20" s="43">
        <v>410</v>
      </c>
      <c r="I20" s="43">
        <v>650</v>
      </c>
      <c r="J20" s="43">
        <v>1000</v>
      </c>
      <c r="K20" s="43">
        <v>1600</v>
      </c>
      <c r="L20" s="43">
        <v>2400</v>
      </c>
      <c r="M20" s="4"/>
    </row>
    <row r="21" spans="1:13" x14ac:dyDescent="0.3">
      <c r="A21" s="40" t="s">
        <v>125</v>
      </c>
      <c r="B21" s="43" t="s">
        <v>33</v>
      </c>
      <c r="C21" s="43">
        <v>325</v>
      </c>
      <c r="D21" s="43">
        <v>400</v>
      </c>
      <c r="E21" s="43">
        <v>500</v>
      </c>
      <c r="F21" s="43">
        <v>600</v>
      </c>
      <c r="G21" s="43">
        <v>750</v>
      </c>
      <c r="H21" s="43">
        <v>575</v>
      </c>
      <c r="I21" s="43">
        <v>950</v>
      </c>
      <c r="J21" s="43">
        <v>1500</v>
      </c>
      <c r="K21" s="43">
        <v>2500</v>
      </c>
      <c r="L21" s="43">
        <v>4000</v>
      </c>
      <c r="M21" s="4"/>
    </row>
    <row r="22" spans="1:13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22.05" customHeight="1" x14ac:dyDescent="0.3">
      <c r="A24" s="37" t="s">
        <v>186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1:13" ht="19.95" customHeight="1" x14ac:dyDescent="0.3">
      <c r="A25" s="38" t="s">
        <v>187</v>
      </c>
      <c r="B25" s="39" t="s">
        <v>106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x14ac:dyDescent="0.3">
      <c r="A26" s="40">
        <v>1</v>
      </c>
      <c r="B26" s="43">
        <v>0.65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3">
      <c r="A27" s="40">
        <v>2</v>
      </c>
      <c r="B27" s="43">
        <v>0.82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3">
      <c r="A28" s="40">
        <v>3</v>
      </c>
      <c r="B28" s="43">
        <v>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3">
      <c r="A29" s="40">
        <v>4</v>
      </c>
      <c r="B29" s="43">
        <v>1.2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3">
      <c r="A30" s="40">
        <v>5</v>
      </c>
      <c r="B30" s="43">
        <v>1.5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22.05" customHeight="1" x14ac:dyDescent="0.3">
      <c r="A33" s="37" t="s">
        <v>128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</row>
    <row r="34" spans="1:13" ht="19.95" customHeight="1" x14ac:dyDescent="0.3">
      <c r="A34" s="38" t="s">
        <v>129</v>
      </c>
      <c r="B34" s="39">
        <f>POWER(1.04, 0.5)</f>
        <v>1.019803902718557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3" x14ac:dyDescent="0.3">
      <c r="A35" s="40" t="s">
        <v>130</v>
      </c>
      <c r="B35" s="43">
        <v>0.25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22.05" customHeight="1" x14ac:dyDescent="0.3">
      <c r="A37" s="37" t="s">
        <v>131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</row>
    <row r="38" spans="1:13" ht="19.95" customHeight="1" x14ac:dyDescent="0.3">
      <c r="A38" s="38" t="s">
        <v>13</v>
      </c>
      <c r="B38" s="39" t="s">
        <v>14</v>
      </c>
      <c r="C38" s="39" t="s">
        <v>15</v>
      </c>
      <c r="D38" s="39" t="s">
        <v>16</v>
      </c>
      <c r="E38" s="39" t="s">
        <v>17</v>
      </c>
      <c r="F38" s="39"/>
      <c r="G38" s="39"/>
      <c r="H38" s="39"/>
      <c r="I38" s="39"/>
      <c r="J38" s="39"/>
      <c r="K38" s="39"/>
      <c r="L38" s="39"/>
      <c r="M38" s="39"/>
    </row>
    <row r="39" spans="1:13" x14ac:dyDescent="0.3">
      <c r="A39" s="40">
        <v>-1.282</v>
      </c>
      <c r="B39" s="43">
        <v>-0.67400000000000004</v>
      </c>
      <c r="C39" s="43">
        <v>0</v>
      </c>
      <c r="D39" s="43">
        <v>0.67400000000000004</v>
      </c>
      <c r="E39" s="43">
        <v>1.282</v>
      </c>
      <c r="F39" s="4"/>
      <c r="G39" s="4"/>
      <c r="H39" s="4"/>
      <c r="I39" s="4"/>
      <c r="J39" s="4"/>
      <c r="K39" s="4"/>
      <c r="L39" s="4"/>
      <c r="M39" s="4"/>
    </row>
    <row r="40" spans="1:13" x14ac:dyDescent="0.3">
      <c r="A40" s="80"/>
    </row>
    <row r="41" spans="1:13" x14ac:dyDescent="0.3">
      <c r="A41" s="81"/>
      <c r="B41" s="81"/>
      <c r="C41" s="81"/>
      <c r="D41" s="81"/>
      <c r="E41" s="81"/>
      <c r="F41" s="81"/>
      <c r="G41" s="81"/>
      <c r="H41" s="81"/>
    </row>
    <row r="42" spans="1:13" x14ac:dyDescent="0.3">
      <c r="A42" s="82"/>
      <c r="B42" s="82"/>
      <c r="C42" s="82"/>
      <c r="D42" s="82"/>
      <c r="E42" s="82"/>
      <c r="F42" s="82"/>
      <c r="G42" s="82"/>
      <c r="H42" s="82"/>
    </row>
    <row r="44" spans="1:13" x14ac:dyDescent="0.3">
      <c r="A44" t="s">
        <v>132</v>
      </c>
    </row>
    <row r="45" spans="1:13" x14ac:dyDescent="0.3">
      <c r="A45" t="s">
        <v>119</v>
      </c>
      <c r="B45" t="s">
        <v>120</v>
      </c>
      <c r="C45" t="s">
        <v>121</v>
      </c>
      <c r="D45" t="s">
        <v>122</v>
      </c>
      <c r="E45" t="s">
        <v>123</v>
      </c>
      <c r="F45" t="s">
        <v>124</v>
      </c>
      <c r="G45" t="s">
        <v>125</v>
      </c>
      <c r="H45" t="s">
        <v>126</v>
      </c>
    </row>
    <row r="46" spans="1:13" x14ac:dyDescent="0.3">
      <c r="A46">
        <v>0</v>
      </c>
      <c r="B46">
        <v>0.05</v>
      </c>
      <c r="C46">
        <v>0.15</v>
      </c>
      <c r="D46">
        <v>0.25</v>
      </c>
      <c r="E46">
        <v>0.4</v>
      </c>
      <c r="F46">
        <v>0.6</v>
      </c>
      <c r="G46">
        <v>0.8</v>
      </c>
      <c r="H46">
        <v>1</v>
      </c>
    </row>
  </sheetData>
  <pageMargins left="0.75" right="0.75" top="1" bottom="1" header="0.5" footer="0.5"/>
  <ignoredErrors>
    <ignoredError sqref="A1:U60" numberStoredAsText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W35"/>
  <sheetViews>
    <sheetView showGridLines="0" workbookViewId="0">
      <selection activeCell="G8" sqref="G8"/>
    </sheetView>
  </sheetViews>
  <sheetFormatPr defaultRowHeight="14.4" x14ac:dyDescent="0.3"/>
  <cols>
    <col min="1" max="1" width="22" customWidth="1"/>
    <col min="2" max="21" width="13" customWidth="1"/>
    <col min="23" max="23" width="13" hidden="1" customWidth="1"/>
  </cols>
  <sheetData>
    <row r="1" spans="1:23" ht="28.05" customHeight="1" x14ac:dyDescent="0.3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4"/>
      <c r="W1" s="4" t="s">
        <v>35</v>
      </c>
    </row>
    <row r="2" spans="1:23" ht="22.05" customHeight="1" x14ac:dyDescent="0.3">
      <c r="A2" s="92" t="s">
        <v>55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4"/>
      <c r="W2" s="4">
        <f>VLOOKUP(D8,PF_Params!A3:B8,2,FALSE)</f>
        <v>1</v>
      </c>
    </row>
    <row r="3" spans="1:23" ht="3" customHeight="1" x14ac:dyDescent="0.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4"/>
      <c r="W3" s="4" t="s">
        <v>3</v>
      </c>
    </row>
    <row r="4" spans="1:23" ht="6" customHeigh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8"/>
      <c r="V4" s="4"/>
      <c r="W4" s="4">
        <f>PF_Params!B53</f>
        <v>1.019803902718557</v>
      </c>
    </row>
    <row r="5" spans="1:23" ht="28.05" customHeight="1" x14ac:dyDescent="0.3">
      <c r="A5" s="103" t="s">
        <v>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4"/>
      <c r="W5" s="4" t="s">
        <v>56</v>
      </c>
    </row>
    <row r="6" spans="1:23" ht="6" customHeight="1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4"/>
      <c r="W6" s="49">
        <f>VLOOKUP(G8,PF_Params!A24:B28,2,FALSE)</f>
        <v>0</v>
      </c>
    </row>
    <row r="7" spans="1:23" ht="18" customHeight="1" thickBot="1" x14ac:dyDescent="0.35">
      <c r="A7" s="9" t="s">
        <v>37</v>
      </c>
      <c r="B7" s="28"/>
      <c r="C7" s="28"/>
      <c r="D7" s="105" t="s">
        <v>38</v>
      </c>
      <c r="E7" s="91"/>
      <c r="F7" s="91"/>
      <c r="G7" s="9" t="s">
        <v>39</v>
      </c>
      <c r="H7" s="28"/>
      <c r="I7" s="77" t="s">
        <v>6</v>
      </c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4"/>
      <c r="W7" s="4" t="s">
        <v>57</v>
      </c>
    </row>
    <row r="8" spans="1:23" ht="18" customHeight="1" thickBot="1" x14ac:dyDescent="0.35">
      <c r="A8" s="44">
        <v>50</v>
      </c>
      <c r="B8" s="28"/>
      <c r="C8" s="28"/>
      <c r="D8" s="94" t="s">
        <v>58</v>
      </c>
      <c r="E8" s="95"/>
      <c r="F8" s="96"/>
      <c r="G8" s="44">
        <v>3</v>
      </c>
      <c r="H8" s="28"/>
      <c r="I8" s="78">
        <v>0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4"/>
      <c r="W8" s="4">
        <f>VLOOKUP(G8,PF_Params!A24:C28,3,FALSE)</f>
        <v>0</v>
      </c>
    </row>
    <row r="9" spans="1:23" ht="13.95" customHeight="1" x14ac:dyDescent="0.3">
      <c r="A9" s="35" t="s">
        <v>59</v>
      </c>
      <c r="B9" s="28"/>
      <c r="C9" s="28"/>
      <c r="D9" s="104" t="s">
        <v>60</v>
      </c>
      <c r="E9" s="91"/>
      <c r="F9" s="91"/>
      <c r="G9" s="35" t="s">
        <v>7</v>
      </c>
      <c r="H9" s="28"/>
      <c r="I9" s="79" t="s">
        <v>8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4"/>
      <c r="W9" s="4" t="s">
        <v>61</v>
      </c>
    </row>
    <row r="10" spans="1:23" ht="6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>
        <f ca="1">IF(A8&lt;=PF_Params!A13,PF_Params!B13,IF(A8&gt;=PF_Params!A19,PF_Params!B19,FORECAST(A8,OFFSET(PF_Params!B13,MATCH(A8,PF_Params!A13:A19,1)-1,0,2),OFFSET(PF_Params!A13,MATCH(A8,PF_Params!A13:A19,1)-1,0,2))))</f>
        <v>575</v>
      </c>
    </row>
    <row r="11" spans="1:23" ht="22.05" customHeight="1" x14ac:dyDescent="0.3">
      <c r="A11" s="107" t="str">
        <f>"Investment Professionals ("&amp;TEXT(A8,"$#,##0")&amp;"B AUM, C"&amp;G8&amp;")"</f>
        <v>Investment Professionals ($50B AUM, C3)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4"/>
      <c r="W11" s="4" t="s">
        <v>62</v>
      </c>
    </row>
    <row r="12" spans="1:23" ht="19.95" customHeight="1" x14ac:dyDescent="0.3">
      <c r="A12" s="13"/>
      <c r="B12" s="97" t="s">
        <v>9</v>
      </c>
      <c r="C12" s="98"/>
      <c r="D12" s="98"/>
      <c r="E12" s="98"/>
      <c r="F12" s="98"/>
      <c r="G12" s="102" t="s">
        <v>44</v>
      </c>
      <c r="H12" s="98"/>
      <c r="I12" s="98"/>
      <c r="J12" s="98"/>
      <c r="K12" s="98"/>
      <c r="L12" s="99" t="s">
        <v>45</v>
      </c>
      <c r="M12" s="98"/>
      <c r="N12" s="98"/>
      <c r="O12" s="98"/>
      <c r="P12" s="98"/>
      <c r="Q12" s="102" t="s">
        <v>46</v>
      </c>
      <c r="R12" s="98"/>
      <c r="S12" s="98"/>
      <c r="T12" s="98"/>
      <c r="U12" s="98"/>
      <c r="V12" s="4"/>
      <c r="W12" s="4">
        <f ca="1">IF(A8&lt;=PF_Params!D13,PF_Params!E13,IF(A8&gt;=PF_Params!D19,PF_Params!E19,FORECAST(A8,OFFSET(PF_Params!E13,MATCH(A8,PF_Params!D13:D19,1)-1,0,2),OFFSET(PF_Params!D13,MATCH(A8,PF_Params!D13:D19,1)-1,0,2))))</f>
        <v>0.89999999999999991</v>
      </c>
    </row>
    <row r="13" spans="1:23" ht="19.95" customHeight="1" x14ac:dyDescent="0.3">
      <c r="A13" s="14" t="s">
        <v>12</v>
      </c>
      <c r="B13" s="15" t="s">
        <v>13</v>
      </c>
      <c r="C13" s="16" t="s">
        <v>14</v>
      </c>
      <c r="D13" s="16" t="s">
        <v>15</v>
      </c>
      <c r="E13" s="16" t="s">
        <v>16</v>
      </c>
      <c r="F13" s="16" t="s">
        <v>17</v>
      </c>
      <c r="G13" s="15" t="s">
        <v>13</v>
      </c>
      <c r="H13" s="16" t="s">
        <v>14</v>
      </c>
      <c r="I13" s="16" t="s">
        <v>15</v>
      </c>
      <c r="J13" s="16" t="s">
        <v>16</v>
      </c>
      <c r="K13" s="16" t="s">
        <v>17</v>
      </c>
      <c r="L13" s="15" t="s">
        <v>13</v>
      </c>
      <c r="M13" s="16" t="s">
        <v>14</v>
      </c>
      <c r="N13" s="16" t="s">
        <v>15</v>
      </c>
      <c r="O13" s="16" t="s">
        <v>16</v>
      </c>
      <c r="P13" s="16" t="s">
        <v>17</v>
      </c>
      <c r="Q13" s="15" t="s">
        <v>13</v>
      </c>
      <c r="R13" s="16" t="s">
        <v>14</v>
      </c>
      <c r="S13" s="16" t="s">
        <v>15</v>
      </c>
      <c r="T13" s="16" t="s">
        <v>16</v>
      </c>
      <c r="U13" s="16" t="s">
        <v>17</v>
      </c>
      <c r="V13" s="4"/>
      <c r="W13" s="4" t="s">
        <v>63</v>
      </c>
    </row>
    <row r="14" spans="1:23" ht="18" customHeight="1" x14ac:dyDescent="0.3">
      <c r="A14" s="17" t="s">
        <v>18</v>
      </c>
      <c r="B14" s="18">
        <f ca="1">ROUND($W$14*PF_Params!C33*$W$2*$W$4*(1+PF_Params!A58*PF_Params!$B$54),0)</f>
        <v>47814</v>
      </c>
      <c r="C14" s="19">
        <f ca="1">ROUND($W$14*PF_Params!C33*$W$2*$W$4*(1+PF_Params!B58*PF_Params!$B$54),0)</f>
        <v>58510</v>
      </c>
      <c r="D14" s="20">
        <f ca="1">ROUND($W$14*PF_Params!C33*$W$2*$W$4*(1+PF_Params!C58*PF_Params!$B$54),0)</f>
        <v>70366</v>
      </c>
      <c r="E14" s="19">
        <f ca="1">ROUND($W$14*PF_Params!C33*$W$2*$W$4*(1+PF_Params!D58*PF_Params!$B$54),0)</f>
        <v>82223</v>
      </c>
      <c r="F14" s="19">
        <f ca="1">ROUND($W$14*PF_Params!C33*$W$2*$W$4*(1+PF_Params!E58*PF_Params!$B$54),0)</f>
        <v>92919</v>
      </c>
      <c r="G14" s="18">
        <f ca="1">ROUND(($W$14*PF_Params!C33+$W$14*PF_Params!C33*$W$16*PF_Params!B45)*$W$2*$W$4*(1+PF_Params!A58*PF_Params!$B$54)*(1+$I$8/100*PF_Params!A61),0)</f>
        <v>67179</v>
      </c>
      <c r="H14" s="19">
        <f ca="1">ROUND(($W$14*PF_Params!C33+$W$14*PF_Params!C33*$W$16*PF_Params!B46)*$W$2*$W$4*(1+PF_Params!B58*PF_Params!$B$54)*(1+$I$8/100*PF_Params!A61),0)</f>
        <v>87472</v>
      </c>
      <c r="I14" s="20">
        <f ca="1">ROUND(($W$14*PF_Params!C33+$W$14*PF_Params!C33*$W$16*PF_Params!B47)*$W$2*$W$4*(1+PF_Params!C58*PF_Params!$B$54)*(1+$I$8/100*PF_Params!A61),0)</f>
        <v>108364</v>
      </c>
      <c r="J14" s="19">
        <f ca="1">ROUND(($W$14*PF_Params!C33+$W$14*PF_Params!C33*$W$16*PF_Params!B48)*$W$2*$W$4*(1+PF_Params!D58*PF_Params!$B$54)*(1+$I$8/100*PF_Params!A61),0)</f>
        <v>134024</v>
      </c>
      <c r="K14" s="19">
        <f ca="1">ROUND(($W$14*PF_Params!C33+$W$14*PF_Params!C33*$W$16*PF_Params!B49)*$W$2*$W$4*(1+PF_Params!E58*PF_Params!$B$54)*(1+$I$8/100*PF_Params!A61),0)</f>
        <v>155639</v>
      </c>
      <c r="L14" s="18">
        <f ca="1">ROUND(($W$14*PF_Params!C33+$W$14*PF_Params!C33*$W$16*0.8)*$W$2*$W$4*(1+PF_Params!A58*PF_Params!$B$54)*(1+$I$8/100*PF_Params!A61),0)</f>
        <v>82240</v>
      </c>
      <c r="M14" s="19">
        <f ca="1">ROUND(($W$14*PF_Params!C33+$W$14*PF_Params!C33*$W$16*0.8)*$W$2*$W$4*(1+PF_Params!B58*PF_Params!$B$54)*(1+$I$8/100*PF_Params!A61),0)</f>
        <v>100637</v>
      </c>
      <c r="N14" s="20">
        <f ca="1">ROUND(($W$14*PF_Params!C33+$W$14*PF_Params!C33*$W$16*0.8)*$W$2*$W$4*(1+PF_Params!C58*PF_Params!$B$54)*(1+$I$8/100*PF_Params!A61),0)</f>
        <v>121030</v>
      </c>
      <c r="O14" s="19">
        <f ca="1">ROUND(($W$14*PF_Params!C33+$W$14*PF_Params!C33*$W$16*0.8)*$W$2*$W$4*(1+PF_Params!D58*PF_Params!$B$54)*(1+$I$8/100*PF_Params!A61),0)</f>
        <v>141424</v>
      </c>
      <c r="P14" s="19">
        <f ca="1">ROUND(($W$14*PF_Params!C33+$W$14*PF_Params!C33*$W$16*0.8)*$W$2*$W$4*(1+PF_Params!E58*PF_Params!$B$54)*(1+$I$8/100*PF_Params!A61),0)</f>
        <v>159821</v>
      </c>
      <c r="Q14" s="18">
        <f ca="1">ROUND(($W$14*PF_Params!C33+$W$14*PF_Params!C33*$W$16)*$W$2*$W$4*(1+PF_Params!A58*PF_Params!$B$54)*(1+$I$8/100*PF_Params!A61),0)</f>
        <v>90847</v>
      </c>
      <c r="R14" s="19">
        <f ca="1">ROUND(($W$14*PF_Params!C33+$W$14*PF_Params!C33*$W$16)*$W$2*$W$4*(1+PF_Params!B58*PF_Params!$B$54)*(1+$I$8/100*PF_Params!A61),0)</f>
        <v>111168</v>
      </c>
      <c r="S14" s="20">
        <f ca="1">ROUND(($W$14*PF_Params!C33+$W$14*PF_Params!C33*$W$16)*$W$2*$W$4*(1+PF_Params!C58*PF_Params!$B$54)*(1+$I$8/100*PF_Params!A61),0)</f>
        <v>133696</v>
      </c>
      <c r="T14" s="19">
        <f ca="1">ROUND(($W$14*PF_Params!C33+$W$14*PF_Params!C33*$W$16)*$W$2*$W$4*(1+PF_Params!D58*PF_Params!$B$54)*(1+$I$8/100*PF_Params!A61),0)</f>
        <v>156224</v>
      </c>
      <c r="U14" s="19">
        <f ca="1">ROUND(($W$14*PF_Params!C33+$W$14*PF_Params!C33*$W$16)*$W$2*$W$4*(1+PF_Params!E58*PF_Params!$B$54)*(1+$I$8/100*PF_Params!A61),0)</f>
        <v>176546</v>
      </c>
      <c r="V14" s="4"/>
      <c r="W14" s="4">
        <f ca="1">W10*(1+W6)*1000</f>
        <v>575000</v>
      </c>
    </row>
    <row r="15" spans="1:23" ht="18" customHeight="1" x14ac:dyDescent="0.3">
      <c r="A15" s="21" t="s">
        <v>19</v>
      </c>
      <c r="B15" s="22">
        <f ca="1">ROUND($W$14*PF_Params!C34*$W$2*$W$4*(1+PF_Params!A58*PF_Params!$B$54),0)</f>
        <v>61760</v>
      </c>
      <c r="C15" s="23">
        <f ca="1">ROUND($W$14*PF_Params!C34*$W$2*$W$4*(1+PF_Params!B58*PF_Params!$B$54),0)</f>
        <v>75575</v>
      </c>
      <c r="D15" s="20">
        <f ca="1">ROUND($W$14*PF_Params!C34*$W$2*$W$4*(1+PF_Params!C58*PF_Params!$B$54),0)</f>
        <v>90890</v>
      </c>
      <c r="E15" s="23">
        <f ca="1">ROUND($W$14*PF_Params!C34*$W$2*$W$4*(1+PF_Params!D58*PF_Params!$B$54),0)</f>
        <v>106205</v>
      </c>
      <c r="F15" s="23">
        <f ca="1">ROUND($W$14*PF_Params!C34*$W$2*$W$4*(1+PF_Params!E58*PF_Params!$B$54),0)</f>
        <v>120020</v>
      </c>
      <c r="G15" s="22">
        <f ca="1">ROUND(($W$14*PF_Params!C34+$W$14*PF_Params!C34*$W$16*PF_Params!B45)*$W$2*$W$4*(1+PF_Params!A58*PF_Params!$B$54)*(1+$I$8/100*PF_Params!B61),0)</f>
        <v>86772</v>
      </c>
      <c r="H15" s="23">
        <f ca="1">ROUND(($W$14*PF_Params!C34+$W$14*PF_Params!C34*$W$16*PF_Params!B46)*$W$2*$W$4*(1+PF_Params!B58*PF_Params!$B$54)*(1+$I$8/100*PF_Params!B61),0)</f>
        <v>112985</v>
      </c>
      <c r="I15" s="20">
        <f ca="1">ROUND(($W$14*PF_Params!C34+$W$14*PF_Params!C34*$W$16*PF_Params!B47)*$W$2*$W$4*(1+PF_Params!C58*PF_Params!$B$54)*(1+$I$8/100*PF_Params!B61),0)</f>
        <v>139971</v>
      </c>
      <c r="J15" s="23">
        <f ca="1">ROUND(($W$14*PF_Params!C34+$W$14*PF_Params!C34*$W$16*PF_Params!B48)*$W$2*$W$4*(1+PF_Params!D58*PF_Params!$B$54)*(1+$I$8/100*PF_Params!B61),0)</f>
        <v>173114</v>
      </c>
      <c r="K15" s="23">
        <f ca="1">ROUND(($W$14*PF_Params!C34+$W$14*PF_Params!C34*$W$16*PF_Params!B49)*$W$2*$W$4*(1+PF_Params!E58*PF_Params!$B$54)*(1+$I$8/100*PF_Params!B61),0)</f>
        <v>201034</v>
      </c>
      <c r="L15" s="22">
        <f ca="1">ROUND(($W$14*PF_Params!C34+$W$14*PF_Params!C34*$W$16*0.8)*$W$2*$W$4*(1+PF_Params!A58*PF_Params!$B$54)*(1+$I$8/100*PF_Params!B61),0)</f>
        <v>106227</v>
      </c>
      <c r="M15" s="23">
        <f ca="1">ROUND(($W$14*PF_Params!C34+$W$14*PF_Params!C34*$W$16*0.8)*$W$2*$W$4*(1+PF_Params!B58*PF_Params!$B$54)*(1+$I$8/100*PF_Params!B61),0)</f>
        <v>129989</v>
      </c>
      <c r="N15" s="20">
        <f ca="1">ROUND(($W$14*PF_Params!C34+$W$14*PF_Params!C34*$W$16*0.8)*$W$2*$W$4*(1+PF_Params!C58*PF_Params!$B$54)*(1+$I$8/100*PF_Params!B61),0)</f>
        <v>156331</v>
      </c>
      <c r="O15" s="23">
        <f ca="1">ROUND(($W$14*PF_Params!C34+$W$14*PF_Params!C34*$W$16*0.8)*$W$2*$W$4*(1+PF_Params!D58*PF_Params!$B$54)*(1+$I$8/100*PF_Params!B61),0)</f>
        <v>182673</v>
      </c>
      <c r="P15" s="23">
        <f ca="1">ROUND(($W$14*PF_Params!C34+$W$14*PF_Params!C34*$W$16*0.8)*$W$2*$W$4*(1+PF_Params!E58*PF_Params!$B$54)*(1+$I$8/100*PF_Params!B61),0)</f>
        <v>206435</v>
      </c>
      <c r="Q15" s="22">
        <f ca="1">ROUND(($W$14*PF_Params!C34+$W$14*PF_Params!C34*$W$16)*$W$2*$W$4*(1+PF_Params!A58*PF_Params!$B$54)*(1+$I$8/100*PF_Params!B61),0)</f>
        <v>117344</v>
      </c>
      <c r="R15" s="23">
        <f ca="1">ROUND(($W$14*PF_Params!C34+$W$14*PF_Params!C34*$W$16)*$W$2*$W$4*(1+PF_Params!B58*PF_Params!$B$54)*(1+$I$8/100*PF_Params!B61),0)</f>
        <v>143593</v>
      </c>
      <c r="S15" s="20">
        <f ca="1">ROUND(($W$14*PF_Params!C34+$W$14*PF_Params!C34*$W$16)*$W$2*$W$4*(1+PF_Params!C58*PF_Params!$B$54)*(1+$I$8/100*PF_Params!B61),0)</f>
        <v>172691</v>
      </c>
      <c r="T15" s="23">
        <f ca="1">ROUND(($W$14*PF_Params!C34+$W$14*PF_Params!C34*$W$16)*$W$2*$W$4*(1+PF_Params!D58*PF_Params!$B$54)*(1+$I$8/100*PF_Params!B61),0)</f>
        <v>201789</v>
      </c>
      <c r="U15" s="23">
        <f ca="1">ROUND(($W$14*PF_Params!C34+$W$14*PF_Params!C34*$W$16)*$W$2*$W$4*(1+PF_Params!E58*PF_Params!$B$54)*(1+$I$8/100*PF_Params!B61),0)</f>
        <v>228039</v>
      </c>
      <c r="V15" s="4"/>
      <c r="W15" s="4" t="s">
        <v>64</v>
      </c>
    </row>
    <row r="16" spans="1:23" ht="18" customHeight="1" x14ac:dyDescent="0.3">
      <c r="A16" s="17" t="s">
        <v>20</v>
      </c>
      <c r="B16" s="18">
        <f ca="1">ROUND($W$14*PF_Params!C35*$W$2*$W$4*(1+PF_Params!A58*PF_Params!$B$54),0)</f>
        <v>79690</v>
      </c>
      <c r="C16" s="19">
        <f ca="1">ROUND($W$14*PF_Params!C35*$W$2*$W$4*(1+PF_Params!B58*PF_Params!$B$54),0)</f>
        <v>97516</v>
      </c>
      <c r="D16" s="20">
        <f ca="1">ROUND($W$14*PF_Params!C35*$W$2*$W$4*(1+PF_Params!C58*PF_Params!$B$54),0)</f>
        <v>117277</v>
      </c>
      <c r="E16" s="19">
        <f ca="1">ROUND($W$14*PF_Params!C35*$W$2*$W$4*(1+PF_Params!D58*PF_Params!$B$54),0)</f>
        <v>137039</v>
      </c>
      <c r="F16" s="19">
        <f ca="1">ROUND($W$14*PF_Params!C35*$W$2*$W$4*(1+PF_Params!E58*PF_Params!$B$54),0)</f>
        <v>154865</v>
      </c>
      <c r="G16" s="18">
        <f ca="1">ROUND(($W$14*PF_Params!C35+$W$14*PF_Params!C35*$W$16*PF_Params!B45)*$W$2*$W$4*(1+PF_Params!A58*PF_Params!$B$54)*(1+$I$8/100*PF_Params!C61),0)</f>
        <v>111964</v>
      </c>
      <c r="H16" s="19">
        <f ca="1">ROUND(($W$14*PF_Params!C35+$W$14*PF_Params!C35*$W$16*PF_Params!B46)*$W$2*$W$4*(1+PF_Params!B58*PF_Params!$B$54)*(1+$I$8/100*PF_Params!C61),0)</f>
        <v>145787</v>
      </c>
      <c r="I16" s="20">
        <f ca="1">ROUND(($W$14*PF_Params!C35+$W$14*PF_Params!C35*$W$16*PF_Params!B47)*$W$2*$W$4*(1+PF_Params!C58*PF_Params!$B$54)*(1+$I$8/100*PF_Params!C61),0)</f>
        <v>180607</v>
      </c>
      <c r="J16" s="19">
        <f ca="1">ROUND(($W$14*PF_Params!C35+$W$14*PF_Params!C35*$W$16*PF_Params!B48)*$W$2*$W$4*(1+PF_Params!D58*PF_Params!$B$54)*(1+$I$8/100*PF_Params!C61),0)</f>
        <v>223373</v>
      </c>
      <c r="K16" s="19">
        <f ca="1">ROUND(($W$14*PF_Params!C35+$W$14*PF_Params!C35*$W$16*PF_Params!B49)*$W$2*$W$4*(1+PF_Params!E58*PF_Params!$B$54)*(1+$I$8/100*PF_Params!C61),0)</f>
        <v>259399</v>
      </c>
      <c r="L16" s="18">
        <f ca="1">ROUND(($W$14*PF_Params!C35+$W$14*PF_Params!C35*$W$16*0.8)*$W$2*$W$4*(1+PF_Params!A58*PF_Params!$B$54)*(1+$I$8/100*PF_Params!C61),0)</f>
        <v>137067</v>
      </c>
      <c r="M16" s="19">
        <f ca="1">ROUND(($W$14*PF_Params!C35+$W$14*PF_Params!C35*$W$16*0.8)*$W$2*$W$4*(1+PF_Params!B58*PF_Params!$B$54)*(1+$I$8/100*PF_Params!C61),0)</f>
        <v>167728</v>
      </c>
      <c r="N16" s="20">
        <f ca="1">ROUND(($W$14*PF_Params!C35+$W$14*PF_Params!C35*$W$16*0.8)*$W$2*$W$4*(1+PF_Params!C58*PF_Params!$B$54)*(1+$I$8/100*PF_Params!C61),0)</f>
        <v>201717</v>
      </c>
      <c r="O16" s="19">
        <f ca="1">ROUND(($W$14*PF_Params!C35+$W$14*PF_Params!C35*$W$16*0.8)*$W$2*$W$4*(1+PF_Params!D58*PF_Params!$B$54)*(1+$I$8/100*PF_Params!C61),0)</f>
        <v>235707</v>
      </c>
      <c r="P16" s="19">
        <f ca="1">ROUND(($W$14*PF_Params!C35+$W$14*PF_Params!C35*$W$16*0.8)*$W$2*$W$4*(1+PF_Params!E58*PF_Params!$B$54)*(1+$I$8/100*PF_Params!C61),0)</f>
        <v>266368</v>
      </c>
      <c r="Q16" s="18">
        <f ca="1">ROUND(($W$14*PF_Params!C35+$W$14*PF_Params!C35*$W$16)*$W$2*$W$4*(1+PF_Params!A58*PF_Params!$B$54)*(1+$I$8/100*PF_Params!C61),0)</f>
        <v>151411</v>
      </c>
      <c r="R16" s="19">
        <f ca="1">ROUND(($W$14*PF_Params!C35+$W$14*PF_Params!C35*$W$16)*$W$2*$W$4*(1+PF_Params!B58*PF_Params!$B$54)*(1+$I$8/100*PF_Params!C61),0)</f>
        <v>185281</v>
      </c>
      <c r="S16" s="20">
        <f ca="1">ROUND(($W$14*PF_Params!C35+$W$14*PF_Params!C35*$W$16)*$W$2*$W$4*(1+PF_Params!C58*PF_Params!$B$54)*(1+$I$8/100*PF_Params!C61),0)</f>
        <v>222827</v>
      </c>
      <c r="T16" s="19">
        <f ca="1">ROUND(($W$14*PF_Params!C35+$W$14*PF_Params!C35*$W$16)*$W$2*$W$4*(1+PF_Params!D58*PF_Params!$B$54)*(1+$I$8/100*PF_Params!C61),0)</f>
        <v>260374</v>
      </c>
      <c r="U16" s="19">
        <f ca="1">ROUND(($W$14*PF_Params!C35+$W$14*PF_Params!C35*$W$16)*$W$2*$W$4*(1+PF_Params!E58*PF_Params!$B$54)*(1+$I$8/100*PF_Params!C61),0)</f>
        <v>294243</v>
      </c>
      <c r="V16" s="4"/>
      <c r="W16" s="4">
        <f ca="1">W12+W8</f>
        <v>0.89999999999999991</v>
      </c>
    </row>
    <row r="17" spans="1:23" ht="18" customHeight="1" x14ac:dyDescent="0.3">
      <c r="A17" s="21" t="s">
        <v>47</v>
      </c>
      <c r="B17" s="22">
        <f ca="1">ROUND($W$14*PF_Params!C36*$W$2*$W$4*(1+PF_Params!A58*PF_Params!$B$54),0)</f>
        <v>107582</v>
      </c>
      <c r="C17" s="23">
        <f ca="1">ROUND($W$14*PF_Params!C36*$W$2*$W$4*(1+PF_Params!B58*PF_Params!$B$54),0)</f>
        <v>131647</v>
      </c>
      <c r="D17" s="20">
        <f ca="1">ROUND($W$14*PF_Params!C36*$W$2*$W$4*(1+PF_Params!C58*PF_Params!$B$54),0)</f>
        <v>158325</v>
      </c>
      <c r="E17" s="23">
        <f ca="1">ROUND($W$14*PF_Params!C36*$W$2*$W$4*(1+PF_Params!D58*PF_Params!$B$54),0)</f>
        <v>185002</v>
      </c>
      <c r="F17" s="23">
        <f ca="1">ROUND($W$14*PF_Params!C36*$W$2*$W$4*(1+PF_Params!E58*PF_Params!$B$54),0)</f>
        <v>209068</v>
      </c>
      <c r="G17" s="22">
        <f ca="1">ROUND(($W$14*PF_Params!C36+$W$14*PF_Params!C36*$W$16*PF_Params!B45)*$W$2*$W$4*(1+PF_Params!A58*PF_Params!$B$54)*(1+$I$8/100*PF_Params!D61),0)</f>
        <v>151152</v>
      </c>
      <c r="H17" s="23">
        <f ca="1">ROUND(($W$14*PF_Params!C36+$W$14*PF_Params!C36*$W$16*PF_Params!B46)*$W$2*$W$4*(1+PF_Params!B58*PF_Params!$B$54)*(1+$I$8/100*PF_Params!D61),0)</f>
        <v>196812</v>
      </c>
      <c r="I17" s="20">
        <f ca="1">ROUND(($W$14*PF_Params!C36+$W$14*PF_Params!C36*$W$16*PF_Params!B47)*$W$2*$W$4*(1+PF_Params!C58*PF_Params!$B$54)*(1+$I$8/100*PF_Params!D61),0)</f>
        <v>243820</v>
      </c>
      <c r="J17" s="23">
        <f ca="1">ROUND(($W$14*PF_Params!C36+$W$14*PF_Params!C36*$W$16*PF_Params!B48)*$W$2*$W$4*(1+PF_Params!D58*PF_Params!$B$54)*(1+$I$8/100*PF_Params!D61),0)</f>
        <v>301554</v>
      </c>
      <c r="K17" s="23">
        <f ca="1">ROUND(($W$14*PF_Params!C36+$W$14*PF_Params!C36*$W$16*PF_Params!B49)*$W$2*$W$4*(1+PF_Params!E58*PF_Params!$B$54)*(1+$I$8/100*PF_Params!D61),0)</f>
        <v>350188</v>
      </c>
      <c r="L17" s="22">
        <f ca="1">ROUND(($W$14*PF_Params!C36+$W$14*PF_Params!C36*$W$16*0.8)*$W$2*$W$4*(1+PF_Params!A58*PF_Params!$B$54)*(1+$I$8/100*PF_Params!D61),0)</f>
        <v>185040</v>
      </c>
      <c r="M17" s="23">
        <f ca="1">ROUND(($W$14*PF_Params!C36+$W$14*PF_Params!C36*$W$16*0.8)*$W$2*$W$4*(1+PF_Params!B58*PF_Params!$B$54)*(1+$I$8/100*PF_Params!D61),0)</f>
        <v>226433</v>
      </c>
      <c r="N17" s="20">
        <f ca="1">ROUND(($W$14*PF_Params!C36+$W$14*PF_Params!C36*$W$16*0.8)*$W$2*$W$4*(1+PF_Params!C58*PF_Params!$B$54)*(1+$I$8/100*PF_Params!D61),0)</f>
        <v>272318</v>
      </c>
      <c r="O17" s="23">
        <f ca="1">ROUND(($W$14*PF_Params!C36+$W$14*PF_Params!C36*$W$16*0.8)*$W$2*$W$4*(1+PF_Params!D58*PF_Params!$B$54)*(1+$I$8/100*PF_Params!D61),0)</f>
        <v>318204</v>
      </c>
      <c r="P17" s="23">
        <f ca="1">ROUND(($W$14*PF_Params!C36+$W$14*PF_Params!C36*$W$16*0.8)*$W$2*$W$4*(1+PF_Params!E58*PF_Params!$B$54)*(1+$I$8/100*PF_Params!D61),0)</f>
        <v>359596</v>
      </c>
      <c r="Q17" s="22">
        <f ca="1">ROUND(($W$14*PF_Params!C36+$W$14*PF_Params!C36*$W$16)*$W$2*$W$4*(1+PF_Params!A58*PF_Params!$B$54)*(1+$I$8/100*PF_Params!D61),0)</f>
        <v>204405</v>
      </c>
      <c r="R17" s="23">
        <f ca="1">ROUND(($W$14*PF_Params!C36+$W$14*PF_Params!C36*$W$16)*$W$2*$W$4*(1+PF_Params!B58*PF_Params!$B$54)*(1+$I$8/100*PF_Params!D61),0)</f>
        <v>250129</v>
      </c>
      <c r="S17" s="20">
        <f ca="1">ROUND(($W$14*PF_Params!C36+$W$14*PF_Params!C36*$W$16)*$W$2*$W$4*(1+PF_Params!C58*PF_Params!$B$54)*(1+$I$8/100*PF_Params!D61),0)</f>
        <v>300817</v>
      </c>
      <c r="T17" s="23">
        <f ca="1">ROUND(($W$14*PF_Params!C36+$W$14*PF_Params!C36*$W$16)*$W$2*$W$4*(1+PF_Params!D58*PF_Params!$B$54)*(1+$I$8/100*PF_Params!D61),0)</f>
        <v>351504</v>
      </c>
      <c r="U17" s="23">
        <f ca="1">ROUND(($W$14*PF_Params!C36+$W$14*PF_Params!C36*$W$16)*$W$2*$W$4*(1+PF_Params!E58*PF_Params!$B$54)*(1+$I$8/100*PF_Params!D61),0)</f>
        <v>397228</v>
      </c>
      <c r="V17" s="4"/>
      <c r="W17" s="4"/>
    </row>
    <row r="18" spans="1:23" ht="18" customHeight="1" x14ac:dyDescent="0.3">
      <c r="A18" s="17" t="s">
        <v>48</v>
      </c>
      <c r="B18" s="18">
        <f ca="1">ROUND($W$14*PF_Params!C37*$W$2*$W$4*(1+PF_Params!A58*PF_Params!$B$54),0)</f>
        <v>147427</v>
      </c>
      <c r="C18" s="19">
        <f ca="1">ROUND($W$14*PF_Params!C37*$W$2*$W$4*(1+PF_Params!B58*PF_Params!$B$54),0)</f>
        <v>180405</v>
      </c>
      <c r="D18" s="20">
        <f ca="1">ROUND($W$14*PF_Params!C37*$W$2*$W$4*(1+PF_Params!C58*PF_Params!$B$54),0)</f>
        <v>216963</v>
      </c>
      <c r="E18" s="19">
        <f ca="1">ROUND($W$14*PF_Params!C37*$W$2*$W$4*(1+PF_Params!D58*PF_Params!$B$54),0)</f>
        <v>253522</v>
      </c>
      <c r="F18" s="19">
        <f ca="1">ROUND($W$14*PF_Params!C37*$W$2*$W$4*(1+PF_Params!E58*PF_Params!$B$54),0)</f>
        <v>286500</v>
      </c>
      <c r="G18" s="18">
        <f ca="1">ROUND(($W$14*PF_Params!C37+$W$14*PF_Params!C37*$W$16*PF_Params!B45)*$W$2*$W$4*(1+PF_Params!A58*PF_Params!$B$54)*(1+$I$8/100*PF_Params!E61),0)</f>
        <v>207134</v>
      </c>
      <c r="H18" s="19">
        <f ca="1">ROUND(($W$14*PF_Params!C37+$W$14*PF_Params!C37*$W$16*PF_Params!B46)*$W$2*$W$4*(1+PF_Params!B58*PF_Params!$B$54)*(1+$I$8/100*PF_Params!E61),0)</f>
        <v>269705</v>
      </c>
      <c r="I18" s="20">
        <f ca="1">ROUND(($W$14*PF_Params!C37+$W$14*PF_Params!C37*$W$16*PF_Params!B47)*$W$2*$W$4*(1+PF_Params!C58*PF_Params!$B$54)*(1+$I$8/100*PF_Params!E61),0)</f>
        <v>334123</v>
      </c>
      <c r="J18" s="19">
        <f ca="1">ROUND(($W$14*PF_Params!C37+$W$14*PF_Params!C37*$W$16*PF_Params!B48)*$W$2*$W$4*(1+PF_Params!D58*PF_Params!$B$54)*(1+$I$8/100*PF_Params!E61),0)</f>
        <v>413240</v>
      </c>
      <c r="K18" s="19">
        <f ca="1">ROUND(($W$14*PF_Params!C37+$W$14*PF_Params!C37*$W$16*PF_Params!B49)*$W$2*$W$4*(1+PF_Params!E58*PF_Params!$B$54)*(1+$I$8/100*PF_Params!E61),0)</f>
        <v>479888</v>
      </c>
      <c r="L18" s="18">
        <f ca="1">ROUND(($W$14*PF_Params!C37+$W$14*PF_Params!C37*$W$16*0.8)*$W$2*$W$4*(1+PF_Params!A58*PF_Params!$B$54)*(1+$I$8/100*PF_Params!E61),0)</f>
        <v>253574</v>
      </c>
      <c r="M18" s="19">
        <f ca="1">ROUND(($W$14*PF_Params!C37+$W$14*PF_Params!C37*$W$16*0.8)*$W$2*$W$4*(1+PF_Params!B58*PF_Params!$B$54)*(1+$I$8/100*PF_Params!E61),0)</f>
        <v>310297</v>
      </c>
      <c r="N18" s="20">
        <f ca="1">ROUND(($W$14*PF_Params!C37+$W$14*PF_Params!C37*$W$16*0.8)*$W$2*$W$4*(1+PF_Params!C58*PF_Params!$B$54)*(1+$I$8/100*PF_Params!E61),0)</f>
        <v>373177</v>
      </c>
      <c r="O18" s="19">
        <f ca="1">ROUND(($W$14*PF_Params!C37+$W$14*PF_Params!C37*$W$16*0.8)*$W$2*$W$4*(1+PF_Params!D58*PF_Params!$B$54)*(1+$I$8/100*PF_Params!E61),0)</f>
        <v>436057</v>
      </c>
      <c r="P18" s="19">
        <f ca="1">ROUND(($W$14*PF_Params!C37+$W$14*PF_Params!C37*$W$16*0.8)*$W$2*$W$4*(1+PF_Params!E58*PF_Params!$B$54)*(1+$I$8/100*PF_Params!E61),0)</f>
        <v>492780</v>
      </c>
      <c r="Q18" s="18">
        <f ca="1">ROUND(($W$14*PF_Params!C37+$W$14*PF_Params!C37*$W$16)*$W$2*$W$4*(1+PF_Params!A58*PF_Params!$B$54)*(1+$I$8/100*PF_Params!E61),0)</f>
        <v>280110</v>
      </c>
      <c r="R18" s="19">
        <f ca="1">ROUND(($W$14*PF_Params!C37+$W$14*PF_Params!C37*$W$16)*$W$2*$W$4*(1+PF_Params!B58*PF_Params!$B$54)*(1+$I$8/100*PF_Params!E61),0)</f>
        <v>342769</v>
      </c>
      <c r="S18" s="20">
        <f ca="1">ROUND(($W$14*PF_Params!C37+$W$14*PF_Params!C37*$W$16)*$W$2*$W$4*(1+PF_Params!C58*PF_Params!$B$54)*(1+$I$8/100*PF_Params!E61),0)</f>
        <v>412230</v>
      </c>
      <c r="T18" s="19">
        <f ca="1">ROUND(($W$14*PF_Params!C37+$W$14*PF_Params!C37*$W$16)*$W$2*$W$4*(1+PF_Params!D58*PF_Params!$B$54)*(1+$I$8/100*PF_Params!E61),0)</f>
        <v>481691</v>
      </c>
      <c r="U18" s="19">
        <f ca="1">ROUND(($W$14*PF_Params!C37+$W$14*PF_Params!C37*$W$16)*$W$2*$W$4*(1+PF_Params!E58*PF_Params!$B$54)*(1+$I$8/100*PF_Params!E61),0)</f>
        <v>544350</v>
      </c>
      <c r="V18" s="4"/>
      <c r="W18" s="4"/>
    </row>
    <row r="19" spans="1:23" ht="18" customHeight="1" x14ac:dyDescent="0.3">
      <c r="A19" s="21" t="s">
        <v>65</v>
      </c>
      <c r="B19" s="22">
        <f ca="1">ROUND($W$14*PF_Params!C38*$W$2*$W$4*(1+PF_Params!A58*PF_Params!$B$54),0)</f>
        <v>199225</v>
      </c>
      <c r="C19" s="23">
        <f ca="1">ROUND($W$14*PF_Params!C38*$W$2*$W$4*(1+PF_Params!B58*PF_Params!$B$54),0)</f>
        <v>243790</v>
      </c>
      <c r="D19" s="20">
        <f ca="1">ROUND($W$14*PF_Params!C38*$W$2*$W$4*(1+PF_Params!C58*PF_Params!$B$54),0)</f>
        <v>293194</v>
      </c>
      <c r="E19" s="23">
        <f ca="1">ROUND($W$14*PF_Params!C38*$W$2*$W$4*(1+PF_Params!D58*PF_Params!$B$54),0)</f>
        <v>342597</v>
      </c>
      <c r="F19" s="23">
        <f ca="1">ROUND($W$14*PF_Params!C38*$W$2*$W$4*(1+PF_Params!E58*PF_Params!$B$54),0)</f>
        <v>387162</v>
      </c>
      <c r="G19" s="22">
        <f ca="1">ROUND(($W$14*PF_Params!C38+$W$14*PF_Params!C38*$W$16*PF_Params!B45)*$W$2*$W$4*(1+PF_Params!A58*PF_Params!$B$54)*(1+$I$8/100*PF_Params!F61),0)</f>
        <v>279911</v>
      </c>
      <c r="H19" s="23">
        <f ca="1">ROUND(($W$14*PF_Params!C38+$W$14*PF_Params!C38*$W$16*PF_Params!B46)*$W$2*$W$4*(1+PF_Params!B58*PF_Params!$B$54)*(1+$I$8/100*PF_Params!F61),0)</f>
        <v>364467</v>
      </c>
      <c r="I19" s="20">
        <f ca="1">ROUND(($W$14*PF_Params!C38+$W$14*PF_Params!C38*$W$16*PF_Params!B47)*$W$2*$W$4*(1+PF_Params!C58*PF_Params!$B$54)*(1+$I$8/100*PF_Params!F61),0)</f>
        <v>451518</v>
      </c>
      <c r="J19" s="23">
        <f ca="1">ROUND(($W$14*PF_Params!C38+$W$14*PF_Params!C38*$W$16*PF_Params!B48)*$W$2*$W$4*(1+PF_Params!D58*PF_Params!$B$54)*(1+$I$8/100*PF_Params!F61),0)</f>
        <v>558433</v>
      </c>
      <c r="K19" s="23">
        <f ca="1">ROUND(($W$14*PF_Params!C38+$W$14*PF_Params!C38*$W$16*PF_Params!B49)*$W$2*$W$4*(1+PF_Params!E58*PF_Params!$B$54)*(1+$I$8/100*PF_Params!F61),0)</f>
        <v>648497</v>
      </c>
      <c r="L19" s="22">
        <f ca="1">ROUND(($W$14*PF_Params!C38+$W$14*PF_Params!C38*$W$16*0.8)*$W$2*$W$4*(1+PF_Params!A58*PF_Params!$B$54)*(1+$I$8/100*PF_Params!F61),0)</f>
        <v>342667</v>
      </c>
      <c r="M19" s="23">
        <f ca="1">ROUND(($W$14*PF_Params!C38+$W$14*PF_Params!C38*$W$16*0.8)*$W$2*$W$4*(1+PF_Params!B58*PF_Params!$B$54)*(1+$I$8/100*PF_Params!F61),0)</f>
        <v>419320</v>
      </c>
      <c r="N19" s="20">
        <f ca="1">ROUND(($W$14*PF_Params!C38+$W$14*PF_Params!C38*$W$16*0.8)*$W$2*$W$4*(1+PF_Params!C58*PF_Params!$B$54)*(1+$I$8/100*PF_Params!F61),0)</f>
        <v>504293</v>
      </c>
      <c r="O19" s="23">
        <f ca="1">ROUND(($W$14*PF_Params!C38+$W$14*PF_Params!C38*$W$16*0.8)*$W$2*$W$4*(1+PF_Params!D58*PF_Params!$B$54)*(1+$I$8/100*PF_Params!F61),0)</f>
        <v>589266</v>
      </c>
      <c r="P19" s="23">
        <f ca="1">ROUND(($W$14*PF_Params!C38+$W$14*PF_Params!C38*$W$16*0.8)*$W$2*$W$4*(1+PF_Params!E58*PF_Params!$B$54)*(1+$I$8/100*PF_Params!F61),0)</f>
        <v>665919</v>
      </c>
      <c r="Q19" s="22">
        <f ca="1">ROUND(($W$14*PF_Params!C38+$W$14*PF_Params!C38*$W$16)*$W$2*$W$4*(1+PF_Params!A58*PF_Params!$B$54)*(1+$I$8/100*PF_Params!F61),0)</f>
        <v>378528</v>
      </c>
      <c r="R19" s="23">
        <f ca="1">ROUND(($W$14*PF_Params!C38+$W$14*PF_Params!C38*$W$16)*$W$2*$W$4*(1+PF_Params!B58*PF_Params!$B$54)*(1+$I$8/100*PF_Params!F61),0)</f>
        <v>463202</v>
      </c>
      <c r="S19" s="20">
        <f ca="1">ROUND(($W$14*PF_Params!C38+$W$14*PF_Params!C38*$W$16)*$W$2*$W$4*(1+PF_Params!C58*PF_Params!$B$54)*(1+$I$8/100*PF_Params!F61),0)</f>
        <v>557068</v>
      </c>
      <c r="T19" s="23">
        <f ca="1">ROUND(($W$14*PF_Params!C38+$W$14*PF_Params!C38*$W$16)*$W$2*$W$4*(1+PF_Params!D58*PF_Params!$B$54)*(1+$I$8/100*PF_Params!F61),0)</f>
        <v>650934</v>
      </c>
      <c r="U19" s="23">
        <f ca="1">ROUND(($W$14*PF_Params!C38+$W$14*PF_Params!C38*$W$16)*$W$2*$W$4*(1+PF_Params!E58*PF_Params!$B$54)*(1+$I$8/100*PF_Params!F61),0)</f>
        <v>735608</v>
      </c>
      <c r="V19" s="4"/>
      <c r="W19" s="4"/>
    </row>
    <row r="20" spans="1:23" ht="18" customHeight="1" x14ac:dyDescent="0.3">
      <c r="A20" s="17" t="s">
        <v>66</v>
      </c>
      <c r="B20" s="18">
        <f ca="1">ROUND($W$14*PF_Params!C39*$W$2*$W$4*(1+PF_Params!A58*PF_Params!$B$54),0)</f>
        <v>278915</v>
      </c>
      <c r="C20" s="19">
        <f ca="1">ROUND($W$14*PF_Params!C39*$W$2*$W$4*(1+PF_Params!B58*PF_Params!$B$54),0)</f>
        <v>341307</v>
      </c>
      <c r="D20" s="20">
        <f ca="1">ROUND($W$14*PF_Params!C39*$W$2*$W$4*(1+PF_Params!C58*PF_Params!$B$54),0)</f>
        <v>410471</v>
      </c>
      <c r="E20" s="19">
        <f ca="1">ROUND($W$14*PF_Params!C39*$W$2*$W$4*(1+PF_Params!D58*PF_Params!$B$54),0)</f>
        <v>479635</v>
      </c>
      <c r="F20" s="19">
        <f ca="1">ROUND($W$14*PF_Params!C39*$W$2*$W$4*(1+PF_Params!E58*PF_Params!$B$54),0)</f>
        <v>542027</v>
      </c>
      <c r="G20" s="18">
        <f ca="1">ROUND(($W$14*PF_Params!C39+$W$14*PF_Params!C39*$W$16*PF_Params!B45)*$W$2*$W$4*(1+PF_Params!A58*PF_Params!$B$54)*(1+$I$8/100*PF_Params!G61),0)</f>
        <v>391876</v>
      </c>
      <c r="H20" s="19">
        <f ca="1">ROUND(($W$14*PF_Params!C39+$W$14*PF_Params!C39*$W$16*PF_Params!B46)*$W$2*$W$4*(1+PF_Params!B58*PF_Params!$B$54)*(1+$I$8/100*PF_Params!G61),0)</f>
        <v>510254</v>
      </c>
      <c r="I20" s="20">
        <f ca="1">ROUND(($W$14*PF_Params!C39+$W$14*PF_Params!C39*$W$16*PF_Params!B47)*$W$2*$W$4*(1+PF_Params!C58*PF_Params!$B$54)*(1+$I$8/100*PF_Params!G61),0)</f>
        <v>632125</v>
      </c>
      <c r="J20" s="19">
        <f ca="1">ROUND(($W$14*PF_Params!C39+$W$14*PF_Params!C39*$W$16*PF_Params!B48)*$W$2*$W$4*(1+PF_Params!D58*PF_Params!$B$54)*(1+$I$8/100*PF_Params!G61),0)</f>
        <v>781806</v>
      </c>
      <c r="K20" s="19">
        <f ca="1">ROUND(($W$14*PF_Params!C39+$W$14*PF_Params!C39*$W$16*PF_Params!B49)*$W$2*$W$4*(1+PF_Params!E58*PF_Params!$B$54)*(1+$I$8/100*PF_Params!G61),0)</f>
        <v>907895</v>
      </c>
      <c r="L20" s="18">
        <f ca="1">ROUND(($W$14*PF_Params!C39+$W$14*PF_Params!C39*$W$16*0.8)*$W$2*$W$4*(1+PF_Params!A58*PF_Params!$B$54)*(1+$I$8/100*PF_Params!G61),0)</f>
        <v>479734</v>
      </c>
      <c r="M20" s="19">
        <f ca="1">ROUND(($W$14*PF_Params!C39+$W$14*PF_Params!C39*$W$16*0.8)*$W$2*$W$4*(1+PF_Params!B58*PF_Params!$B$54)*(1+$I$8/100*PF_Params!G61),0)</f>
        <v>587048</v>
      </c>
      <c r="N20" s="20">
        <f ca="1">ROUND(($W$14*PF_Params!C39+$W$14*PF_Params!C39*$W$16*0.8)*$W$2*$W$4*(1+PF_Params!C58*PF_Params!$B$54)*(1+$I$8/100*PF_Params!G61),0)</f>
        <v>706010</v>
      </c>
      <c r="O20" s="19">
        <f ca="1">ROUND(($W$14*PF_Params!C39+$W$14*PF_Params!C39*$W$16*0.8)*$W$2*$W$4*(1+PF_Params!D58*PF_Params!$B$54)*(1+$I$8/100*PF_Params!G61),0)</f>
        <v>824973</v>
      </c>
      <c r="P20" s="19">
        <f ca="1">ROUND(($W$14*PF_Params!C39+$W$14*PF_Params!C39*$W$16*0.8)*$W$2*$W$4*(1+PF_Params!E58*PF_Params!$B$54)*(1+$I$8/100*PF_Params!G61),0)</f>
        <v>932287</v>
      </c>
      <c r="Q20" s="18">
        <f ca="1">ROUND(($W$14*PF_Params!C39+$W$14*PF_Params!C39*$W$16)*$W$2*$W$4*(1+PF_Params!A58*PF_Params!$B$54)*(1+$I$8/100*PF_Params!G61),0)</f>
        <v>529939</v>
      </c>
      <c r="R20" s="19">
        <f ca="1">ROUND(($W$14*PF_Params!C39+$W$14*PF_Params!C39*$W$16)*$W$2*$W$4*(1+PF_Params!B58*PF_Params!$B$54)*(1+$I$8/100*PF_Params!G61),0)</f>
        <v>648483</v>
      </c>
      <c r="S20" s="20">
        <f ca="1">ROUND(($W$14*PF_Params!C39+$W$14*PF_Params!C39*$W$16)*$W$2*$W$4*(1+PF_Params!C58*PF_Params!$B$54)*(1+$I$8/100*PF_Params!G61),0)</f>
        <v>779895</v>
      </c>
      <c r="T20" s="19">
        <f ca="1">ROUND(($W$14*PF_Params!C39+$W$14*PF_Params!C39*$W$16)*$W$2*$W$4*(1+PF_Params!D58*PF_Params!$B$54)*(1+$I$8/100*PF_Params!G61),0)</f>
        <v>911307</v>
      </c>
      <c r="U20" s="19">
        <f ca="1">ROUND(($W$14*PF_Params!C39+$W$14*PF_Params!C39*$W$16)*$W$2*$W$4*(1+PF_Params!E58*PF_Params!$B$54)*(1+$I$8/100*PF_Params!G61),0)</f>
        <v>1029851</v>
      </c>
      <c r="V20" s="4"/>
      <c r="W20" s="4"/>
    </row>
    <row r="21" spans="1:23" ht="18" customHeight="1" x14ac:dyDescent="0.3">
      <c r="A21" s="24" t="s">
        <v>51</v>
      </c>
      <c r="B21" s="25">
        <f ca="1">ROUND($W$14*PF_Params!C40*$W$2*$W$4*(1+PF_Params!A58*PF_Params!$B$54),0)</f>
        <v>398450</v>
      </c>
      <c r="C21" s="26">
        <f ca="1">ROUND($W$14*PF_Params!C40*$W$2*$W$4*(1+PF_Params!B58*PF_Params!$B$54),0)</f>
        <v>487581</v>
      </c>
      <c r="D21" s="27">
        <f ca="1">ROUND($W$14*PF_Params!C40*$W$2*$W$4*(1+PF_Params!C58*PF_Params!$B$54),0)</f>
        <v>586387</v>
      </c>
      <c r="E21" s="26">
        <f ca="1">ROUND($W$14*PF_Params!C40*$W$2*$W$4*(1+PF_Params!D58*PF_Params!$B$54),0)</f>
        <v>685193</v>
      </c>
      <c r="F21" s="26">
        <f ca="1">ROUND($W$14*PF_Params!C40*$W$2*$W$4*(1+PF_Params!E58*PF_Params!$B$54),0)</f>
        <v>774324</v>
      </c>
      <c r="G21" s="25">
        <f ca="1">ROUND(($W$14*PF_Params!C40+$W$14*PF_Params!C40*$W$16*PF_Params!B45)*$W$2*$W$4*(1+PF_Params!A58*PF_Params!$B$54)*(1+$I$8/100*PF_Params!H61),0)</f>
        <v>559822</v>
      </c>
      <c r="H21" s="26">
        <f ca="1">ROUND(($W$14*PF_Params!C40+$W$14*PF_Params!C40*$W$16*PF_Params!B46)*$W$2*$W$4*(1+PF_Params!B58*PF_Params!$B$54)*(1+$I$8/100*PF_Params!H61),0)</f>
        <v>728934</v>
      </c>
      <c r="I21" s="27">
        <f ca="1">ROUND(($W$14*PF_Params!C40+$W$14*PF_Params!C40*$W$16*PF_Params!B47)*$W$2*$W$4*(1+PF_Params!C58*PF_Params!$B$54)*(1+$I$8/100*PF_Params!H61),0)</f>
        <v>903036</v>
      </c>
      <c r="J21" s="26">
        <f ca="1">ROUND(($W$14*PF_Params!C40+$W$14*PF_Params!C40*$W$16*PF_Params!B48)*$W$2*$W$4*(1+PF_Params!D58*PF_Params!$B$54)*(1+$I$8/100*PF_Params!H61),0)</f>
        <v>1116865</v>
      </c>
      <c r="K21" s="26">
        <f ca="1">ROUND(($W$14*PF_Params!C40+$W$14*PF_Params!C40*$W$16*PF_Params!B49)*$W$2*$W$4*(1+PF_Params!E58*PF_Params!$B$54)*(1+$I$8/100*PF_Params!H61),0)</f>
        <v>1296993</v>
      </c>
      <c r="L21" s="25">
        <f ca="1">ROUND(($W$14*PF_Params!C40+$W$14*PF_Params!C40*$W$16*0.8)*$W$2*$W$4*(1+PF_Params!A58*PF_Params!$B$54)*(1+$I$8/100*PF_Params!H61),0)</f>
        <v>685334</v>
      </c>
      <c r="M21" s="26">
        <f ca="1">ROUND(($W$14*PF_Params!C40+$W$14*PF_Params!C40*$W$16*0.8)*$W$2*$W$4*(1+PF_Params!B58*PF_Params!$B$54)*(1+$I$8/100*PF_Params!H61),0)</f>
        <v>838639</v>
      </c>
      <c r="N21" s="27">
        <f ca="1">ROUND(($W$14*PF_Params!C40+$W$14*PF_Params!C40*$W$16*0.8)*$W$2*$W$4*(1+PF_Params!C58*PF_Params!$B$54)*(1+$I$8/100*PF_Params!H61),0)</f>
        <v>1008586</v>
      </c>
      <c r="O21" s="26">
        <f ca="1">ROUND(($W$14*PF_Params!C40+$W$14*PF_Params!C40*$W$16*0.8)*$W$2*$W$4*(1+PF_Params!D58*PF_Params!$B$54)*(1+$I$8/100*PF_Params!H61),0)</f>
        <v>1178533</v>
      </c>
      <c r="P21" s="26">
        <f ca="1">ROUND(($W$14*PF_Params!C40+$W$14*PF_Params!C40*$W$16*0.8)*$W$2*$W$4*(1+PF_Params!E58*PF_Params!$B$54)*(1+$I$8/100*PF_Params!H61),0)</f>
        <v>1331838</v>
      </c>
      <c r="Q21" s="25">
        <f ca="1">ROUND(($W$14*PF_Params!C40+$W$14*PF_Params!C40*$W$16)*$W$2*$W$4*(1+PF_Params!A58*PF_Params!$B$54)*(1+$I$8/100*PF_Params!H61),0)</f>
        <v>757055</v>
      </c>
      <c r="R21" s="26">
        <f ca="1">ROUND(($W$14*PF_Params!C40+$W$14*PF_Params!C40*$W$16)*$W$2*$W$4*(1+PF_Params!B58*PF_Params!$B$54)*(1+$I$8/100*PF_Params!H61),0)</f>
        <v>926404</v>
      </c>
      <c r="S21" s="27">
        <f ca="1">ROUND(($W$14*PF_Params!C40+$W$14*PF_Params!C40*$W$16)*$W$2*$W$4*(1+PF_Params!C58*PF_Params!$B$54)*(1+$I$8/100*PF_Params!H61),0)</f>
        <v>1114136</v>
      </c>
      <c r="T21" s="26">
        <f ca="1">ROUND(($W$14*PF_Params!C40+$W$14*PF_Params!C40*$W$16)*$W$2*$W$4*(1+PF_Params!D58*PF_Params!$B$54)*(1+$I$8/100*PF_Params!H61),0)</f>
        <v>1301868</v>
      </c>
      <c r="U21" s="26">
        <f ca="1">ROUND(($W$14*PF_Params!C40+$W$14*PF_Params!C40*$W$16)*$W$2*$W$4*(1+PF_Params!E58*PF_Params!$B$54)*(1+$I$8/100*PF_Params!H61),0)</f>
        <v>1471216</v>
      </c>
      <c r="V21" s="4"/>
      <c r="W21" s="4"/>
    </row>
    <row r="22" spans="1:23" ht="7.9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7.9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22.05" customHeight="1" x14ac:dyDescent="0.3">
      <c r="A24" s="107" t="str">
        <f>"Investment Operations ("&amp;TEXT(A8,"$#,##0")&amp;"B AUM, C"&amp;G8&amp;")"</f>
        <v>Investment Operations ($50B AUM, C3)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4"/>
      <c r="W24" s="4"/>
    </row>
    <row r="25" spans="1:23" ht="19.95" customHeight="1" x14ac:dyDescent="0.3">
      <c r="A25" s="13"/>
      <c r="B25" s="97" t="s">
        <v>9</v>
      </c>
      <c r="C25" s="98"/>
      <c r="D25" s="98"/>
      <c r="E25" s="98"/>
      <c r="F25" s="98"/>
      <c r="G25" s="102" t="s">
        <v>44</v>
      </c>
      <c r="H25" s="98"/>
      <c r="I25" s="98"/>
      <c r="J25" s="98"/>
      <c r="K25" s="98"/>
      <c r="L25" s="99" t="s">
        <v>45</v>
      </c>
      <c r="M25" s="98"/>
      <c r="N25" s="98"/>
      <c r="O25" s="98"/>
      <c r="P25" s="98"/>
      <c r="Q25" s="102" t="s">
        <v>46</v>
      </c>
      <c r="R25" s="98"/>
      <c r="S25" s="98"/>
      <c r="T25" s="98"/>
      <c r="U25" s="98"/>
      <c r="V25" s="4"/>
      <c r="W25" s="4"/>
    </row>
    <row r="26" spans="1:23" ht="19.95" customHeight="1" x14ac:dyDescent="0.3">
      <c r="A26" s="14" t="s">
        <v>12</v>
      </c>
      <c r="B26" s="15" t="s">
        <v>13</v>
      </c>
      <c r="C26" s="16" t="s">
        <v>14</v>
      </c>
      <c r="D26" s="16" t="s">
        <v>15</v>
      </c>
      <c r="E26" s="16" t="s">
        <v>16</v>
      </c>
      <c r="F26" s="16" t="s">
        <v>17</v>
      </c>
      <c r="G26" s="15" t="s">
        <v>13</v>
      </c>
      <c r="H26" s="16" t="s">
        <v>14</v>
      </c>
      <c r="I26" s="16" t="s">
        <v>15</v>
      </c>
      <c r="J26" s="16" t="s">
        <v>16</v>
      </c>
      <c r="K26" s="16" t="s">
        <v>17</v>
      </c>
      <c r="L26" s="15" t="s">
        <v>13</v>
      </c>
      <c r="M26" s="16" t="s">
        <v>14</v>
      </c>
      <c r="N26" s="16" t="s">
        <v>15</v>
      </c>
      <c r="O26" s="16" t="s">
        <v>16</v>
      </c>
      <c r="P26" s="16" t="s">
        <v>17</v>
      </c>
      <c r="Q26" s="15" t="s">
        <v>13</v>
      </c>
      <c r="R26" s="16" t="s">
        <v>14</v>
      </c>
      <c r="S26" s="16" t="s">
        <v>15</v>
      </c>
      <c r="T26" s="16" t="s">
        <v>16</v>
      </c>
      <c r="U26" s="16" t="s">
        <v>17</v>
      </c>
      <c r="V26" s="4"/>
      <c r="W26" s="4"/>
    </row>
    <row r="27" spans="1:23" ht="18" customHeight="1" x14ac:dyDescent="0.3">
      <c r="A27" s="17" t="s">
        <v>27</v>
      </c>
      <c r="B27" s="18">
        <f ca="1">ROUND($W$14*PF_Params!C33*0.8*$W$2*$W$4*(1+PF_Params!A58*PF_Params!$B$54),0)</f>
        <v>38251</v>
      </c>
      <c r="C27" s="19">
        <f ca="1">ROUND($W$14*PF_Params!C33*0.8*$W$2*$W$4*(1+PF_Params!B58*PF_Params!$B$54),0)</f>
        <v>46808</v>
      </c>
      <c r="D27" s="20">
        <f ca="1">ROUND($W$14*PF_Params!C33*0.8*$W$2*$W$4*(1+PF_Params!C58*PF_Params!$B$54),0)</f>
        <v>56293</v>
      </c>
      <c r="E27" s="19">
        <f ca="1">ROUND($W$14*PF_Params!C33*0.8*$W$2*$W$4*(1+PF_Params!D58*PF_Params!$B$54),0)</f>
        <v>65779</v>
      </c>
      <c r="F27" s="19">
        <f ca="1">ROUND($W$14*PF_Params!C33*0.8*$W$2*$W$4*(1+PF_Params!E58*PF_Params!$B$54),0)</f>
        <v>74335</v>
      </c>
      <c r="G27" s="18">
        <f ca="1">ROUND(($W$14*PF_Params!C33*0.8+$W$14*PF_Params!C33*$W$16*0.3*PF_Params!B45)*$W$2*$W$4*(1+PF_Params!A58*PF_Params!$B$54)*(1+$I$8/100*PF_Params!A61),0)</f>
        <v>44061</v>
      </c>
      <c r="H27" s="19">
        <f ca="1">ROUND(($W$14*PF_Params!C33*0.8+$W$14*PF_Params!C33*$W$16*0.3*PF_Params!B46)*$W$2*$W$4*(1+PF_Params!B58*PF_Params!$B$54)*(1+$I$8/100*PF_Params!A61),0)</f>
        <v>55496</v>
      </c>
      <c r="I27" s="20">
        <f ca="1">ROUND(($W$14*PF_Params!C33*0.8+$W$14*PF_Params!C33*$W$16*0.3*PF_Params!B47)*$W$2*$W$4*(1+PF_Params!C58*PF_Params!$B$54)*(1+$I$8/100*PF_Params!A61),0)</f>
        <v>67693</v>
      </c>
      <c r="J27" s="19">
        <f ca="1">ROUND(($W$14*PF_Params!C33*0.8+$W$14*PF_Params!C33*$W$16*0.3*PF_Params!B48)*$W$2*$W$4*(1+PF_Params!D58*PF_Params!$B$54)*(1+$I$8/100*PF_Params!A61),0)</f>
        <v>81319</v>
      </c>
      <c r="K27" s="19">
        <f ca="1">ROUND(($W$14*PF_Params!C33*0.8+$W$14*PF_Params!C33*$W$16*0.3*PF_Params!B49)*$W$2*$W$4*(1+PF_Params!E58*PF_Params!$B$54)*(1+$I$8/100*PF_Params!A61),0)</f>
        <v>93151</v>
      </c>
      <c r="L27" s="18">
        <f ca="1">ROUND(($W$14*PF_Params!C33*0.8+$W$14*PF_Params!C33*$W$16*0.3*0.8)*$W$2*$W$4*(1+PF_Params!A58*PF_Params!$B$54)*(1+$I$8/100*PF_Params!A61),0)</f>
        <v>48579</v>
      </c>
      <c r="M27" s="19">
        <f ca="1">ROUND(($W$14*PF_Params!C33*0.8+$W$14*PF_Params!C33*$W$16*0.3*0.8)*$W$2*$W$4*(1+PF_Params!B58*PF_Params!$B$54)*(1+$I$8/100*PF_Params!A61),0)</f>
        <v>59446</v>
      </c>
      <c r="N27" s="20">
        <f ca="1">ROUND(($W$14*PF_Params!C33*0.8+$W$14*PF_Params!C33*$W$16*0.3*0.8)*$W$2*$W$4*(1+PF_Params!C58*PF_Params!$B$54)*(1+$I$8/100*PF_Params!A61),0)</f>
        <v>71492</v>
      </c>
      <c r="O27" s="19">
        <f ca="1">ROUND(($W$14*PF_Params!C33*0.8+$W$14*PF_Params!C33*$W$16*0.3*0.8)*$W$2*$W$4*(1+PF_Params!D58*PF_Params!$B$54)*(1+$I$8/100*PF_Params!A61),0)</f>
        <v>83539</v>
      </c>
      <c r="P27" s="19">
        <f ca="1">ROUND(($W$14*PF_Params!C33*0.8+$W$14*PF_Params!C33*$W$16*0.3*0.8)*$W$2*$W$4*(1+PF_Params!E58*PF_Params!$B$54)*(1+$I$8/100*PF_Params!A61),0)</f>
        <v>94406</v>
      </c>
      <c r="Q27" s="18">
        <f ca="1">ROUND(($W$14*PF_Params!C33*0.8+$W$14*PF_Params!C33*$W$16*0.3)*$W$2*$W$4*(1+PF_Params!A58*PF_Params!$B$54)*(1+$I$8/100*PF_Params!A61),0)</f>
        <v>51161</v>
      </c>
      <c r="R27" s="19">
        <f ca="1">ROUND(($W$14*PF_Params!C33*0.8+$W$14*PF_Params!C33*$W$16*0.3)*$W$2*$W$4*(1+PF_Params!B58*PF_Params!$B$54)*(1+$I$8/100*PF_Params!A61),0)</f>
        <v>62605</v>
      </c>
      <c r="S27" s="20">
        <f ca="1">ROUND(($W$14*PF_Params!C33*0.8+$W$14*PF_Params!C33*$W$16*0.3)*$W$2*$W$4*(1+PF_Params!C58*PF_Params!$B$54)*(1+$I$8/100*PF_Params!A61),0)</f>
        <v>75292</v>
      </c>
      <c r="T27" s="19">
        <f ca="1">ROUND(($W$14*PF_Params!C33*0.8+$W$14*PF_Params!C33*$W$16*0.3)*$W$2*$W$4*(1+PF_Params!D58*PF_Params!$B$54)*(1+$I$8/100*PF_Params!A61),0)</f>
        <v>87979</v>
      </c>
      <c r="U27" s="19">
        <f ca="1">ROUND(($W$14*PF_Params!C33*0.8+$W$14*PF_Params!C33*$W$16*0.3)*$W$2*$W$4*(1+PF_Params!E58*PF_Params!$B$54)*(1+$I$8/100*PF_Params!A61),0)</f>
        <v>99423</v>
      </c>
      <c r="V27" s="4"/>
      <c r="W27" s="4"/>
    </row>
    <row r="28" spans="1:23" ht="18" customHeight="1" x14ac:dyDescent="0.3">
      <c r="A28" s="21" t="s">
        <v>28</v>
      </c>
      <c r="B28" s="22">
        <f ca="1">ROUND($W$14*PF_Params!C34*0.85*$W$2*$W$4*(1+PF_Params!A58*PF_Params!$B$54),0)</f>
        <v>52496</v>
      </c>
      <c r="C28" s="23">
        <f ca="1">ROUND($W$14*PF_Params!C34*0.85*$W$2*$W$4*(1+PF_Params!B58*PF_Params!$B$54),0)</f>
        <v>64239</v>
      </c>
      <c r="D28" s="20">
        <f ca="1">ROUND($W$14*PF_Params!C34*0.85*$W$2*$W$4*(1+PF_Params!C58*PF_Params!$B$54),0)</f>
        <v>77257</v>
      </c>
      <c r="E28" s="23">
        <f ca="1">ROUND($W$14*PF_Params!C34*0.85*$W$2*$W$4*(1+PF_Params!D58*PF_Params!$B$54),0)</f>
        <v>90274</v>
      </c>
      <c r="F28" s="23">
        <f ca="1">ROUND($W$14*PF_Params!C34*0.85*$W$2*$W$4*(1+PF_Params!E58*PF_Params!$B$54),0)</f>
        <v>102017</v>
      </c>
      <c r="G28" s="22">
        <f ca="1">ROUND(($W$14*PF_Params!C34*0.85+$W$14*PF_Params!C34*$W$16*0.5*PF_Params!B45)*$W$2*$W$4*(1+PF_Params!A58*PF_Params!$B$54)*(1+$I$8/100*PF_Params!B61),0)</f>
        <v>65002</v>
      </c>
      <c r="H28" s="23">
        <f ca="1">ROUND(($W$14*PF_Params!C34*0.85+$W$14*PF_Params!C34*$W$16*0.5*PF_Params!B46)*$W$2*$W$4*(1+PF_Params!B58*PF_Params!$B$54)*(1+$I$8/100*PF_Params!B61),0)</f>
        <v>82944</v>
      </c>
      <c r="I28" s="20">
        <f ca="1">ROUND(($W$14*PF_Params!C34*0.85+$W$14*PF_Params!C34*$W$16*0.5*PF_Params!B47)*$W$2*$W$4*(1+PF_Params!C58*PF_Params!$B$54)*(1+$I$8/100*PF_Params!B61),0)</f>
        <v>101797</v>
      </c>
      <c r="J28" s="23">
        <f ca="1">ROUND(($W$14*PF_Params!C34*0.85+$W$14*PF_Params!C34*$W$16*0.5*PF_Params!B48)*$W$2*$W$4*(1+PF_Params!D58*PF_Params!$B$54)*(1+$I$8/100*PF_Params!B61),0)</f>
        <v>123729</v>
      </c>
      <c r="K28" s="23">
        <f ca="1">ROUND(($W$14*PF_Params!C34*0.85+$W$14*PF_Params!C34*$W$16*0.5*PF_Params!B49)*$W$2*$W$4*(1+PF_Params!E58*PF_Params!$B$54)*(1+$I$8/100*PF_Params!B61),0)</f>
        <v>142524</v>
      </c>
      <c r="L28" s="22">
        <f ca="1">ROUND(($W$14*PF_Params!C34*0.85+$W$14*PF_Params!C34*$W$16*0.5*0.8)*$W$2*$W$4*(1+PF_Params!A58*PF_Params!$B$54)*(1+$I$8/100*PF_Params!B61),0)</f>
        <v>74729</v>
      </c>
      <c r="M28" s="23">
        <f ca="1">ROUND(($W$14*PF_Params!C34*0.85+$W$14*PF_Params!C34*$W$16*0.5*0.8)*$W$2*$W$4*(1+PF_Params!B58*PF_Params!$B$54)*(1+$I$8/100*PF_Params!B61),0)</f>
        <v>91446</v>
      </c>
      <c r="N28" s="20">
        <f ca="1">ROUND(($W$14*PF_Params!C34*0.85+$W$14*PF_Params!C34*$W$16*0.5*0.8)*$W$2*$W$4*(1+PF_Params!C58*PF_Params!$B$54)*(1+$I$8/100*PF_Params!B61),0)</f>
        <v>109977</v>
      </c>
      <c r="O28" s="23">
        <f ca="1">ROUND(($W$14*PF_Params!C34*0.85+$W$14*PF_Params!C34*$W$16*0.5*0.8)*$W$2*$W$4*(1+PF_Params!D58*PF_Params!$B$54)*(1+$I$8/100*PF_Params!B61),0)</f>
        <v>128508</v>
      </c>
      <c r="P28" s="23">
        <f ca="1">ROUND(($W$14*PF_Params!C34*0.85+$W$14*PF_Params!C34*$W$16*0.5*0.8)*$W$2*$W$4*(1+PF_Params!E58*PF_Params!$B$54)*(1+$I$8/100*PF_Params!B61),0)</f>
        <v>145225</v>
      </c>
      <c r="Q28" s="22">
        <f ca="1">ROUND(($W$14*PF_Params!C34*0.85+$W$14*PF_Params!C34*$W$16*0.5)*$W$2*$W$4*(1+PF_Params!A58*PF_Params!$B$54)*(1+$I$8/100*PF_Params!B61),0)</f>
        <v>80288</v>
      </c>
      <c r="R28" s="23">
        <f ca="1">ROUND(($W$14*PF_Params!C34*0.85+$W$14*PF_Params!C34*$W$16*0.5)*$W$2*$W$4*(1+PF_Params!B58*PF_Params!$B$54)*(1+$I$8/100*PF_Params!B61),0)</f>
        <v>98248</v>
      </c>
      <c r="S28" s="20">
        <f ca="1">ROUND(($W$14*PF_Params!C34*0.85+$W$14*PF_Params!C34*$W$16*0.5)*$W$2*$W$4*(1+PF_Params!C58*PF_Params!$B$54)*(1+$I$8/100*PF_Params!B61),0)</f>
        <v>118157</v>
      </c>
      <c r="T28" s="23">
        <f ca="1">ROUND(($W$14*PF_Params!C34*0.85+$W$14*PF_Params!C34*$W$16*0.5)*$W$2*$W$4*(1+PF_Params!D58*PF_Params!$B$54)*(1+$I$8/100*PF_Params!B61),0)</f>
        <v>138066</v>
      </c>
      <c r="U28" s="23">
        <f ca="1">ROUND(($W$14*PF_Params!C34*0.85+$W$14*PF_Params!C34*$W$16*0.5)*$W$2*$W$4*(1+PF_Params!E58*PF_Params!$B$54)*(1+$I$8/100*PF_Params!B61),0)</f>
        <v>156026</v>
      </c>
      <c r="V28" s="4"/>
      <c r="W28" s="4"/>
    </row>
    <row r="29" spans="1:23" ht="18" customHeight="1" x14ac:dyDescent="0.3">
      <c r="A29" s="17" t="s">
        <v>29</v>
      </c>
      <c r="B29" s="18">
        <f ca="1">ROUND($W$14*PF_Params!C35*0.85*$W$2*$W$4*(1+PF_Params!A58*PF_Params!$B$54),0)</f>
        <v>67737</v>
      </c>
      <c r="C29" s="19">
        <f ca="1">ROUND($W$14*PF_Params!C35*0.85*$W$2*$W$4*(1+PF_Params!B58*PF_Params!$B$54),0)</f>
        <v>82889</v>
      </c>
      <c r="D29" s="20">
        <f ca="1">ROUND($W$14*PF_Params!C35*0.85*$W$2*$W$4*(1+PF_Params!C58*PF_Params!$B$54),0)</f>
        <v>99686</v>
      </c>
      <c r="E29" s="19">
        <f ca="1">ROUND($W$14*PF_Params!C35*0.85*$W$2*$W$4*(1+PF_Params!D58*PF_Params!$B$54),0)</f>
        <v>116483</v>
      </c>
      <c r="F29" s="19">
        <f ca="1">ROUND($W$14*PF_Params!C35*0.85*$W$2*$W$4*(1+PF_Params!E58*PF_Params!$B$54),0)</f>
        <v>131635</v>
      </c>
      <c r="G29" s="18">
        <f ca="1">ROUND(($W$14*PF_Params!C35*0.85+$W$14*PF_Params!C35*$W$16*0.55*PF_Params!B45)*$W$2*$W$4*(1+PF_Params!A58*PF_Params!$B$54)*(1+$I$8/100*PF_Params!C61),0)</f>
        <v>85487</v>
      </c>
      <c r="H29" s="19">
        <f ca="1">ROUND(($W$14*PF_Params!C35*0.85+$W$14*PF_Params!C35*$W$16*0.55*PF_Params!B46)*$W$2*$W$4*(1+PF_Params!B58*PF_Params!$B$54)*(1+$I$8/100*PF_Params!C61),0)</f>
        <v>109438</v>
      </c>
      <c r="I29" s="20">
        <f ca="1">ROUND(($W$14*PF_Params!C35*0.85+$W$14*PF_Params!C35*$W$16*0.55*PF_Params!B47)*$W$2*$W$4*(1+PF_Params!C58*PF_Params!$B$54)*(1+$I$8/100*PF_Params!C61),0)</f>
        <v>134517</v>
      </c>
      <c r="J29" s="19">
        <f ca="1">ROUND(($W$14*PF_Params!C35*0.85+$W$14*PF_Params!C35*$W$16*0.55*PF_Params!B48)*$W$2*$W$4*(1+PF_Params!D58*PF_Params!$B$54)*(1+$I$8/100*PF_Params!C61),0)</f>
        <v>163967</v>
      </c>
      <c r="K29" s="19">
        <f ca="1">ROUND(($W$14*PF_Params!C35*0.85+$W$14*PF_Params!C35*$W$16*0.55*PF_Params!B49)*$W$2*$W$4*(1+PF_Params!E58*PF_Params!$B$54)*(1+$I$8/100*PF_Params!C61),0)</f>
        <v>189129</v>
      </c>
      <c r="L29" s="18">
        <f ca="1">ROUND(($W$14*PF_Params!C35*0.85+$W$14*PF_Params!C35*$W$16*0.55*0.8)*$W$2*$W$4*(1+PF_Params!A58*PF_Params!$B$54)*(1+$I$8/100*PF_Params!C61),0)</f>
        <v>99294</v>
      </c>
      <c r="M29" s="19">
        <f ca="1">ROUND(($W$14*PF_Params!C35*0.85+$W$14*PF_Params!C35*$W$16*0.55*0.8)*$W$2*$W$4*(1+PF_Params!B58*PF_Params!$B$54)*(1+$I$8/100*PF_Params!C61),0)</f>
        <v>121505</v>
      </c>
      <c r="N29" s="20">
        <f ca="1">ROUND(($W$14*PF_Params!C35*0.85+$W$14*PF_Params!C35*$W$16*0.55*0.8)*$W$2*$W$4*(1+PF_Params!C58*PF_Params!$B$54)*(1+$I$8/100*PF_Params!C61),0)</f>
        <v>146128</v>
      </c>
      <c r="O29" s="19">
        <f ca="1">ROUND(($W$14*PF_Params!C35*0.85+$W$14*PF_Params!C35*$W$16*0.55*0.8)*$W$2*$W$4*(1+PF_Params!D58*PF_Params!$B$54)*(1+$I$8/100*PF_Params!C61),0)</f>
        <v>170750</v>
      </c>
      <c r="P29" s="19">
        <f ca="1">ROUND(($W$14*PF_Params!C35*0.85+$W$14*PF_Params!C35*$W$16*0.55*0.8)*$W$2*$W$4*(1+PF_Params!E58*PF_Params!$B$54)*(1+$I$8/100*PF_Params!C61),0)</f>
        <v>192962</v>
      </c>
      <c r="Q29" s="18">
        <f ca="1">ROUND(($W$14*PF_Params!C35*0.85+$W$14*PF_Params!C35*$W$16*0.55)*$W$2*$W$4*(1+PF_Params!A58*PF_Params!$B$54)*(1+$I$8/100*PF_Params!C61),0)</f>
        <v>107183</v>
      </c>
      <c r="R29" s="19">
        <f ca="1">ROUND(($W$14*PF_Params!C35*0.85+$W$14*PF_Params!C35*$W$16*0.55)*$W$2*$W$4*(1+PF_Params!B58*PF_Params!$B$54)*(1+$I$8/100*PF_Params!C61),0)</f>
        <v>131159</v>
      </c>
      <c r="S29" s="20">
        <f ca="1">ROUND(($W$14*PF_Params!C35*0.85+$W$14*PF_Params!C35*$W$16*0.55)*$W$2*$W$4*(1+PF_Params!C58*PF_Params!$B$54)*(1+$I$8/100*PF_Params!C61),0)</f>
        <v>157738</v>
      </c>
      <c r="T29" s="19">
        <f ca="1">ROUND(($W$14*PF_Params!C35*0.85+$W$14*PF_Params!C35*$W$16*0.55)*$W$2*$W$4*(1+PF_Params!D58*PF_Params!$B$54)*(1+$I$8/100*PF_Params!C61),0)</f>
        <v>184317</v>
      </c>
      <c r="U29" s="19">
        <f ca="1">ROUND(($W$14*PF_Params!C35*0.85+$W$14*PF_Params!C35*$W$16*0.55)*$W$2*$W$4*(1+PF_Params!E58*PF_Params!$B$54)*(1+$I$8/100*PF_Params!C61),0)</f>
        <v>208293</v>
      </c>
      <c r="V29" s="4"/>
      <c r="W29" s="4"/>
    </row>
    <row r="30" spans="1:23" ht="18" customHeight="1" x14ac:dyDescent="0.3">
      <c r="A30" s="21" t="s">
        <v>67</v>
      </c>
      <c r="B30" s="22">
        <f ca="1">ROUND($W$14*PF_Params!C36*0.88*$W$2*$W$4*(1+PF_Params!A58*PF_Params!$B$54),0)</f>
        <v>94672</v>
      </c>
      <c r="C30" s="23">
        <f ca="1">ROUND($W$14*PF_Params!C36*0.88*$W$2*$W$4*(1+PF_Params!B58*PF_Params!$B$54),0)</f>
        <v>115849</v>
      </c>
      <c r="D30" s="20">
        <f ca="1">ROUND($W$14*PF_Params!C36*0.88*$W$2*$W$4*(1+PF_Params!C58*PF_Params!$B$54),0)</f>
        <v>139326</v>
      </c>
      <c r="E30" s="23">
        <f ca="1">ROUND($W$14*PF_Params!C36*0.88*$W$2*$W$4*(1+PF_Params!D58*PF_Params!$B$54),0)</f>
        <v>162802</v>
      </c>
      <c r="F30" s="23">
        <f ca="1">ROUND($W$14*PF_Params!C36*0.88*$W$2*$W$4*(1+PF_Params!E58*PF_Params!$B$54),0)</f>
        <v>183979</v>
      </c>
      <c r="G30" s="22">
        <f ca="1">ROUND(($W$14*PF_Params!C36*0.88+$W$14*PF_Params!C36*$W$16*0.6*PF_Params!B45)*$W$2*$W$4*(1+PF_Params!A58*PF_Params!$B$54)*(1+$I$8/100*PF_Params!D61),0)</f>
        <v>120814</v>
      </c>
      <c r="H30" s="23">
        <f ca="1">ROUND(($W$14*PF_Params!C36*0.88+$W$14*PF_Params!C36*$W$16*0.6*PF_Params!B46)*$W$2*$W$4*(1+PF_Params!B58*PF_Params!$B$54)*(1+$I$8/100*PF_Params!D61),0)</f>
        <v>154948</v>
      </c>
      <c r="I30" s="20">
        <f ca="1">ROUND(($W$14*PF_Params!C36*0.88+$W$14*PF_Params!C36*$W$16*0.6*PF_Params!B47)*$W$2*$W$4*(1+PF_Params!C58*PF_Params!$B$54)*(1+$I$8/100*PF_Params!D61),0)</f>
        <v>190623</v>
      </c>
      <c r="J30" s="23">
        <f ca="1">ROUND(($W$14*PF_Params!C36*0.88+$W$14*PF_Params!C36*$W$16*0.6*PF_Params!B48)*$W$2*$W$4*(1+PF_Params!D58*PF_Params!$B$54)*(1+$I$8/100*PF_Params!D61),0)</f>
        <v>232733</v>
      </c>
      <c r="K30" s="23">
        <f ca="1">ROUND(($W$14*PF_Params!C36*0.88+$W$14*PF_Params!C36*$W$16*0.6*PF_Params!B49)*$W$2*$W$4*(1+PF_Params!E58*PF_Params!$B$54)*(1+$I$8/100*PF_Params!D61),0)</f>
        <v>268652</v>
      </c>
      <c r="L30" s="22">
        <f ca="1">ROUND(($W$14*PF_Params!C36*0.88+$W$14*PF_Params!C36*$W$16*0.6*0.8)*$W$2*$W$4*(1+PF_Params!A58*PF_Params!$B$54)*(1+$I$8/100*PF_Params!D61),0)</f>
        <v>141147</v>
      </c>
      <c r="M30" s="23">
        <f ca="1">ROUND(($W$14*PF_Params!C36*0.88+$W$14*PF_Params!C36*$W$16*0.6*0.8)*$W$2*$W$4*(1+PF_Params!B58*PF_Params!$B$54)*(1+$I$8/100*PF_Params!D61),0)</f>
        <v>172721</v>
      </c>
      <c r="N30" s="20">
        <f ca="1">ROUND(($W$14*PF_Params!C36*0.88+$W$14*PF_Params!C36*$W$16*0.6*0.8)*$W$2*$W$4*(1+PF_Params!C58*PF_Params!$B$54)*(1+$I$8/100*PF_Params!D61),0)</f>
        <v>207722</v>
      </c>
      <c r="O30" s="23">
        <f ca="1">ROUND(($W$14*PF_Params!C36*0.88+$W$14*PF_Params!C36*$W$16*0.6*0.8)*$W$2*$W$4*(1+PF_Params!D58*PF_Params!$B$54)*(1+$I$8/100*PF_Params!D61),0)</f>
        <v>242723</v>
      </c>
      <c r="P30" s="23">
        <f ca="1">ROUND(($W$14*PF_Params!C36*0.88+$W$14*PF_Params!C36*$W$16*0.6*0.8)*$W$2*$W$4*(1+PF_Params!E58*PF_Params!$B$54)*(1+$I$8/100*PF_Params!D61),0)</f>
        <v>274297</v>
      </c>
      <c r="Q30" s="22">
        <f ca="1">ROUND(($W$14*PF_Params!C36*0.88+$W$14*PF_Params!C36*$W$16*0.6)*$W$2*$W$4*(1+PF_Params!A58*PF_Params!$B$54)*(1+$I$8/100*PF_Params!D61),0)</f>
        <v>152766</v>
      </c>
      <c r="R30" s="23">
        <f ca="1">ROUND(($W$14*PF_Params!C36*0.88+$W$14*PF_Params!C36*$W$16*0.6)*$W$2*$W$4*(1+PF_Params!B58*PF_Params!$B$54)*(1+$I$8/100*PF_Params!D61),0)</f>
        <v>186939</v>
      </c>
      <c r="S30" s="20">
        <f ca="1">ROUND(($W$14*PF_Params!C36*0.88+$W$14*PF_Params!C36*$W$16*0.6)*$W$2*$W$4*(1+PF_Params!C58*PF_Params!$B$54)*(1+$I$8/100*PF_Params!D61),0)</f>
        <v>224821</v>
      </c>
      <c r="T30" s="23">
        <f ca="1">ROUND(($W$14*PF_Params!C36*0.88+$W$14*PF_Params!C36*$W$16*0.6)*$W$2*$W$4*(1+PF_Params!D58*PF_Params!$B$54)*(1+$I$8/100*PF_Params!D61),0)</f>
        <v>262703</v>
      </c>
      <c r="U30" s="23">
        <f ca="1">ROUND(($W$14*PF_Params!C36*0.88+$W$14*PF_Params!C36*$W$16*0.6)*$W$2*$W$4*(1+PF_Params!E58*PF_Params!$B$54)*(1+$I$8/100*PF_Params!D61),0)</f>
        <v>296876</v>
      </c>
      <c r="V30" s="4"/>
      <c r="W30" s="4"/>
    </row>
    <row r="31" spans="1:23" ht="18" customHeight="1" x14ac:dyDescent="0.3">
      <c r="A31" s="17" t="s">
        <v>68</v>
      </c>
      <c r="B31" s="18">
        <f ca="1">ROUND($W$14*PF_Params!C37*0.9*$W$2*$W$4*(1+PF_Params!A58*PF_Params!$B$54),0)</f>
        <v>132684</v>
      </c>
      <c r="C31" s="19">
        <f ca="1">ROUND($W$14*PF_Params!C37*0.9*$W$2*$W$4*(1+PF_Params!B58*PF_Params!$B$54),0)</f>
        <v>162364</v>
      </c>
      <c r="D31" s="20">
        <f ca="1">ROUND($W$14*PF_Params!C37*0.9*$W$2*$W$4*(1+PF_Params!C58*PF_Params!$B$54),0)</f>
        <v>195267</v>
      </c>
      <c r="E31" s="19">
        <f ca="1">ROUND($W$14*PF_Params!C37*0.9*$W$2*$W$4*(1+PF_Params!D58*PF_Params!$B$54),0)</f>
        <v>228169</v>
      </c>
      <c r="F31" s="19">
        <f ca="1">ROUND($W$14*PF_Params!C37*0.9*$W$2*$W$4*(1+PF_Params!E58*PF_Params!$B$54),0)</f>
        <v>257850</v>
      </c>
      <c r="G31" s="18">
        <f ca="1">ROUND(($W$14*PF_Params!C37*0.9+$W$14*PF_Params!C37*$W$16*0.5*PF_Params!B45)*$W$2*$W$4*(1+PF_Params!A58*PF_Params!$B$54)*(1+$I$8/100*PF_Params!E61),0)</f>
        <v>162538</v>
      </c>
      <c r="H31" s="19">
        <f ca="1">ROUND(($W$14*PF_Params!C37*0.9+$W$14*PF_Params!C37*$W$16*0.5*PF_Params!B46)*$W$2*$W$4*(1+PF_Params!B58*PF_Params!$B$54)*(1+$I$8/100*PF_Params!E61),0)</f>
        <v>207015</v>
      </c>
      <c r="I31" s="20">
        <f ca="1">ROUND(($W$14*PF_Params!C37*0.9+$W$14*PF_Params!C37*$W$16*0.5*PF_Params!B47)*$W$2*$W$4*(1+PF_Params!C58*PF_Params!$B$54)*(1+$I$8/100*PF_Params!E61),0)</f>
        <v>253847</v>
      </c>
      <c r="J31" s="19">
        <f ca="1">ROUND(($W$14*PF_Params!C37*0.9+$W$14*PF_Params!C37*$W$16*0.5*PF_Params!B48)*$W$2*$W$4*(1+PF_Params!D58*PF_Params!$B$54)*(1+$I$8/100*PF_Params!E61),0)</f>
        <v>308029</v>
      </c>
      <c r="K31" s="19">
        <f ca="1">ROUND(($W$14*PF_Params!C37*0.9+$W$14*PF_Params!C37*$W$16*0.5*PF_Params!B49)*$W$2*$W$4*(1+PF_Params!E58*PF_Params!$B$54)*(1+$I$8/100*PF_Params!E61),0)</f>
        <v>354544</v>
      </c>
      <c r="L31" s="18">
        <f ca="1">ROUND(($W$14*PF_Params!C37*0.9+$W$14*PF_Params!C37*$W$16*0.5*0.8)*$W$2*$W$4*(1+PF_Params!A58*PF_Params!$B$54)*(1+$I$8/100*PF_Params!E61),0)</f>
        <v>185757</v>
      </c>
      <c r="M31" s="19">
        <f ca="1">ROUND(($W$14*PF_Params!C37*0.9+$W$14*PF_Params!C37*$W$16*0.5*0.8)*$W$2*$W$4*(1+PF_Params!B58*PF_Params!$B$54)*(1+$I$8/100*PF_Params!E61),0)</f>
        <v>227310</v>
      </c>
      <c r="N31" s="20">
        <f ca="1">ROUND(($W$14*PF_Params!C37*0.9+$W$14*PF_Params!C37*$W$16*0.5*0.8)*$W$2*$W$4*(1+PF_Params!C58*PF_Params!$B$54)*(1+$I$8/100*PF_Params!E61),0)</f>
        <v>273374</v>
      </c>
      <c r="O31" s="19">
        <f ca="1">ROUND(($W$14*PF_Params!C37*0.9+$W$14*PF_Params!C37*$W$16*0.5*0.8)*$W$2*$W$4*(1+PF_Params!D58*PF_Params!$B$54)*(1+$I$8/100*PF_Params!E61),0)</f>
        <v>319437</v>
      </c>
      <c r="P31" s="19">
        <f ca="1">ROUND(($W$14*PF_Params!C37*0.9+$W$14*PF_Params!C37*$W$16*0.5*0.8)*$W$2*$W$4*(1+PF_Params!E58*PF_Params!$B$54)*(1+$I$8/100*PF_Params!E61),0)</f>
        <v>360990</v>
      </c>
      <c r="Q31" s="18">
        <f ca="1">ROUND(($W$14*PF_Params!C37*0.9+$W$14*PF_Params!C37*$W$16*0.5)*$W$2*$W$4*(1+PF_Params!A58*PF_Params!$B$54)*(1+$I$8/100*PF_Params!E61),0)</f>
        <v>199026</v>
      </c>
      <c r="R31" s="19">
        <f ca="1">ROUND(($W$14*PF_Params!C37*0.9+$W$14*PF_Params!C37*$W$16*0.5)*$W$2*$W$4*(1+PF_Params!B58*PF_Params!$B$54)*(1+$I$8/100*PF_Params!E61),0)</f>
        <v>243547</v>
      </c>
      <c r="S31" s="20">
        <f ca="1">ROUND(($W$14*PF_Params!C37*0.9+$W$14*PF_Params!C37*$W$16*0.5)*$W$2*$W$4*(1+PF_Params!C58*PF_Params!$B$54)*(1+$I$8/100*PF_Params!E61),0)</f>
        <v>292900</v>
      </c>
      <c r="T31" s="19">
        <f ca="1">ROUND(($W$14*PF_Params!C37*0.9+$W$14*PF_Params!C37*$W$16*0.5)*$W$2*$W$4*(1+PF_Params!D58*PF_Params!$B$54)*(1+$I$8/100*PF_Params!E61),0)</f>
        <v>342254</v>
      </c>
      <c r="U31" s="19">
        <f ca="1">ROUND(($W$14*PF_Params!C37*0.9+$W$14*PF_Params!C37*$W$16*0.5)*$W$2*$W$4*(1+PF_Params!E58*PF_Params!$B$54)*(1+$I$8/100*PF_Params!E61),0)</f>
        <v>386775</v>
      </c>
      <c r="V31" s="4"/>
      <c r="W31" s="4"/>
    </row>
    <row r="32" spans="1:23" ht="18" customHeight="1" x14ac:dyDescent="0.3">
      <c r="A32" s="21" t="s">
        <v>69</v>
      </c>
      <c r="B32" s="22">
        <f ca="1">ROUND($W$14*PF_Params!C38*0.95*$W$2*$W$4*(1+PF_Params!A58*PF_Params!$B$54),0)</f>
        <v>189264</v>
      </c>
      <c r="C32" s="23">
        <f ca="1">ROUND($W$14*PF_Params!C38*0.95*$W$2*$W$4*(1+PF_Params!B58*PF_Params!$B$54),0)</f>
        <v>231601</v>
      </c>
      <c r="D32" s="20">
        <f ca="1">ROUND($W$14*PF_Params!C38*0.95*$W$2*$W$4*(1+PF_Params!C58*PF_Params!$B$54),0)</f>
        <v>278534</v>
      </c>
      <c r="E32" s="23">
        <f ca="1">ROUND($W$14*PF_Params!C38*0.95*$W$2*$W$4*(1+PF_Params!D58*PF_Params!$B$54),0)</f>
        <v>325467</v>
      </c>
      <c r="F32" s="23">
        <f ca="1">ROUND($W$14*PF_Params!C38*0.95*$W$2*$W$4*(1+PF_Params!E58*PF_Params!$B$54),0)</f>
        <v>367804</v>
      </c>
      <c r="G32" s="22">
        <f ca="1">ROUND(($W$14*PF_Params!C38*0.95+$W$14*PF_Params!C38*$W$16*0.55*PF_Params!B45)*$W$2*$W$4*(1+PF_Params!A58*PF_Params!$B$54)*(1+$I$8/100*PF_Params!F61),0)</f>
        <v>233641</v>
      </c>
      <c r="H32" s="23">
        <f ca="1">ROUND(($W$14*PF_Params!C38*0.95+$W$14*PF_Params!C38*$W$16*0.55*PF_Params!B46)*$W$2*$W$4*(1+PF_Params!B58*PF_Params!$B$54)*(1+$I$8/100*PF_Params!F61),0)</f>
        <v>297973</v>
      </c>
      <c r="I32" s="20">
        <f ca="1">ROUND(($W$14*PF_Params!C38*0.95+$W$14*PF_Params!C38*$W$16*0.55*PF_Params!B47)*$W$2*$W$4*(1+PF_Params!C58*PF_Params!$B$54)*(1+$I$8/100*PF_Params!F61),0)</f>
        <v>365612</v>
      </c>
      <c r="J32" s="23">
        <f ca="1">ROUND(($W$14*PF_Params!C38*0.95+$W$14*PF_Params!C38*$W$16*0.55*PF_Params!B48)*$W$2*$W$4*(1+PF_Params!D58*PF_Params!$B$54)*(1+$I$8/100*PF_Params!F61),0)</f>
        <v>444177</v>
      </c>
      <c r="K32" s="23">
        <f ca="1">ROUND(($W$14*PF_Params!C38*0.95+$W$14*PF_Params!C38*$W$16*0.55*PF_Params!B49)*$W$2*$W$4*(1+PF_Params!E58*PF_Params!$B$54)*(1+$I$8/100*PF_Params!F61),0)</f>
        <v>511538</v>
      </c>
      <c r="L32" s="22">
        <f ca="1">ROUND(($W$14*PF_Params!C38*0.95+$W$14*PF_Params!C38*$W$16*0.55*0.8)*$W$2*$W$4*(1+PF_Params!A58*PF_Params!$B$54)*(1+$I$8/100*PF_Params!F61),0)</f>
        <v>268157</v>
      </c>
      <c r="M32" s="23">
        <f ca="1">ROUND(($W$14*PF_Params!C38*0.95+$W$14*PF_Params!C38*$W$16*0.55*0.8)*$W$2*$W$4*(1+PF_Params!B58*PF_Params!$B$54)*(1+$I$8/100*PF_Params!F61),0)</f>
        <v>328142</v>
      </c>
      <c r="N32" s="20">
        <f ca="1">ROUND(($W$14*PF_Params!C38*0.95+$W$14*PF_Params!C38*$W$16*0.55*0.8)*$W$2*$W$4*(1+PF_Params!C58*PF_Params!$B$54)*(1+$I$8/100*PF_Params!F61),0)</f>
        <v>394639</v>
      </c>
      <c r="O32" s="23">
        <f ca="1">ROUND(($W$14*PF_Params!C38*0.95+$W$14*PF_Params!C38*$W$16*0.55*0.8)*$W$2*$W$4*(1+PF_Params!D58*PF_Params!$B$54)*(1+$I$8/100*PF_Params!F61),0)</f>
        <v>461135</v>
      </c>
      <c r="P32" s="23">
        <f ca="1">ROUND(($W$14*PF_Params!C38*0.95+$W$14*PF_Params!C38*$W$16*0.55*0.8)*$W$2*$W$4*(1+PF_Params!E58*PF_Params!$B$54)*(1+$I$8/100*PF_Params!F61),0)</f>
        <v>521120</v>
      </c>
      <c r="Q32" s="22">
        <f ca="1">ROUND(($W$14*PF_Params!C38*0.95+$W$14*PF_Params!C38*$W$16*0.55)*$W$2*$W$4*(1+PF_Params!A58*PF_Params!$B$54)*(1+$I$8/100*PF_Params!F61),0)</f>
        <v>287880</v>
      </c>
      <c r="R32" s="23">
        <f ca="1">ROUND(($W$14*PF_Params!C38*0.95+$W$14*PF_Params!C38*$W$16*0.55)*$W$2*$W$4*(1+PF_Params!B58*PF_Params!$B$54)*(1+$I$8/100*PF_Params!F61),0)</f>
        <v>352277</v>
      </c>
      <c r="S32" s="20">
        <f ca="1">ROUND(($W$14*PF_Params!C38*0.95+$W$14*PF_Params!C38*$W$16*0.55)*$W$2*$W$4*(1+PF_Params!C58*PF_Params!$B$54)*(1+$I$8/100*PF_Params!F61),0)</f>
        <v>423665</v>
      </c>
      <c r="T32" s="23">
        <f ca="1">ROUND(($W$14*PF_Params!C38*0.95+$W$14*PF_Params!C38*$W$16*0.55)*$W$2*$W$4*(1+PF_Params!D58*PF_Params!$B$54)*(1+$I$8/100*PF_Params!F61),0)</f>
        <v>495052</v>
      </c>
      <c r="U32" s="23">
        <f ca="1">ROUND(($W$14*PF_Params!C38*0.95+$W$14*PF_Params!C38*$W$16*0.55)*$W$2*$W$4*(1+PF_Params!E58*PF_Params!$B$54)*(1+$I$8/100*PF_Params!F61),0)</f>
        <v>559449</v>
      </c>
      <c r="V32" s="4"/>
      <c r="W32" s="4"/>
    </row>
    <row r="33" spans="1:23" ht="18" customHeight="1" x14ac:dyDescent="0.3">
      <c r="A33" s="29" t="s">
        <v>54</v>
      </c>
      <c r="B33" s="45">
        <f ca="1">ROUND($W$14*PF_Params!C39*1*$W$2*$W$4*(1+PF_Params!A58*PF_Params!$B$54),0)</f>
        <v>278915</v>
      </c>
      <c r="C33" s="46">
        <f ca="1">ROUND($W$14*PF_Params!C39*1*$W$2*$W$4*(1+PF_Params!B58*PF_Params!$B$54),0)</f>
        <v>341307</v>
      </c>
      <c r="D33" s="27">
        <f ca="1">ROUND($W$14*PF_Params!C39*1*$W$2*$W$4*(1+PF_Params!C58*PF_Params!$B$54),0)</f>
        <v>410471</v>
      </c>
      <c r="E33" s="46">
        <f ca="1">ROUND($W$14*PF_Params!C39*1*$W$2*$W$4*(1+PF_Params!D58*PF_Params!$B$54),0)</f>
        <v>479635</v>
      </c>
      <c r="F33" s="46">
        <f ca="1">ROUND($W$14*PF_Params!C39*1*$W$2*$W$4*(1+PF_Params!E58*PF_Params!$B$54),0)</f>
        <v>542027</v>
      </c>
      <c r="G33" s="45">
        <f ca="1">ROUND(($W$14*PF_Params!C39*1+$W$14*PF_Params!C39*$W$16*0.5*PF_Params!B45)*$W$2*$W$4*(1+PF_Params!A58*PF_Params!$B$54)*(1+$I$8/100*PF_Params!G61),0)</f>
        <v>335395</v>
      </c>
      <c r="H33" s="46">
        <f ca="1">ROUND(($W$14*PF_Params!C39*1+$W$14*PF_Params!C39*$W$16*0.5*PF_Params!B46)*$W$2*$W$4*(1+PF_Params!B58*PF_Params!$B$54)*(1+$I$8/100*PF_Params!G61),0)</f>
        <v>425780</v>
      </c>
      <c r="I33" s="27">
        <f ca="1">ROUND(($W$14*PF_Params!C39*1+$W$14*PF_Params!C39*$W$16*0.5*PF_Params!B47)*$W$2*$W$4*(1+PF_Params!C58*PF_Params!$B$54)*(1+$I$8/100*PF_Params!G61),0)</f>
        <v>521298</v>
      </c>
      <c r="J33" s="46">
        <f ca="1">ROUND(($W$14*PF_Params!C39*1+$W$14*PF_Params!C39*$W$16*0.5*PF_Params!B48)*$W$2*$W$4*(1+PF_Params!D58*PF_Params!$B$54)*(1+$I$8/100*PF_Params!G61),0)</f>
        <v>630721</v>
      </c>
      <c r="K33" s="46">
        <f ca="1">ROUND(($W$14*PF_Params!C39*1+$W$14*PF_Params!C39*$W$16*0.5*PF_Params!B49)*$W$2*$W$4*(1+PF_Params!E58*PF_Params!$B$54)*(1+$I$8/100*PF_Params!G61),0)</f>
        <v>724961</v>
      </c>
      <c r="L33" s="45">
        <f ca="1">ROUND(($W$14*PF_Params!C39*1+$W$14*PF_Params!C39*$W$16*0.5*0.8)*$W$2*$W$4*(1+PF_Params!A58*PF_Params!$B$54)*(1+$I$8/100*PF_Params!G61),0)</f>
        <v>379325</v>
      </c>
      <c r="M33" s="46">
        <f ca="1">ROUND(($W$14*PF_Params!C39*1+$W$14*PF_Params!C39*$W$16*0.5*0.8)*$W$2*$W$4*(1+PF_Params!B58*PF_Params!$B$54)*(1+$I$8/100*PF_Params!G61),0)</f>
        <v>464177</v>
      </c>
      <c r="N33" s="27">
        <f ca="1">ROUND(($W$14*PF_Params!C39*1+$W$14*PF_Params!C39*$W$16*0.5*0.8)*$W$2*$W$4*(1+PF_Params!C58*PF_Params!$B$54)*(1+$I$8/100*PF_Params!G61),0)</f>
        <v>558241</v>
      </c>
      <c r="O33" s="46">
        <f ca="1">ROUND(($W$14*PF_Params!C39*1+$W$14*PF_Params!C39*$W$16*0.5*0.8)*$W$2*$W$4*(1+PF_Params!D58*PF_Params!$B$54)*(1+$I$8/100*PF_Params!G61),0)</f>
        <v>652304</v>
      </c>
      <c r="P33" s="46">
        <f ca="1">ROUND(($W$14*PF_Params!C39*1+$W$14*PF_Params!C39*$W$16*0.5*0.8)*$W$2*$W$4*(1+PF_Params!E58*PF_Params!$B$54)*(1+$I$8/100*PF_Params!G61),0)</f>
        <v>737157</v>
      </c>
      <c r="Q33" s="45">
        <f ca="1">ROUND(($W$14*PF_Params!C39*1+$W$14*PF_Params!C39*$W$16*0.5)*$W$2*$W$4*(1+PF_Params!A58*PF_Params!$B$54)*(1+$I$8/100*PF_Params!G61),0)</f>
        <v>404427</v>
      </c>
      <c r="R33" s="46">
        <f ca="1">ROUND(($W$14*PF_Params!C39*1+$W$14*PF_Params!C39*$W$16*0.5)*$W$2*$W$4*(1+PF_Params!B58*PF_Params!$B$54)*(1+$I$8/100*PF_Params!G61),0)</f>
        <v>494895</v>
      </c>
      <c r="S33" s="27">
        <f ca="1">ROUND(($W$14*PF_Params!C39*1+$W$14*PF_Params!C39*$W$16*0.5)*$W$2*$W$4*(1+PF_Params!C58*PF_Params!$B$54)*(1+$I$8/100*PF_Params!G61),0)</f>
        <v>595183</v>
      </c>
      <c r="T33" s="46">
        <f ca="1">ROUND(($W$14*PF_Params!C39*1+$W$14*PF_Params!C39*$W$16*0.5)*$W$2*$W$4*(1+PF_Params!D58*PF_Params!$B$54)*(1+$I$8/100*PF_Params!G61),0)</f>
        <v>695471</v>
      </c>
      <c r="U33" s="46">
        <f ca="1">ROUND(($W$14*PF_Params!C39*1+$W$14*PF_Params!C39*$W$16*0.5)*$W$2*$W$4*(1+PF_Params!E58*PF_Params!$B$54)*(1+$I$8/100*PF_Params!G61),0)</f>
        <v>785939</v>
      </c>
      <c r="V33" s="4"/>
      <c r="W33" s="4"/>
    </row>
    <row r="34" spans="1:23" ht="7.9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6.05" customHeight="1" x14ac:dyDescent="0.3">
      <c r="A35" s="106" t="s">
        <v>34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4"/>
      <c r="W35" s="4"/>
    </row>
  </sheetData>
  <mergeCells count="17">
    <mergeCell ref="A35:U35"/>
    <mergeCell ref="Q25:U25"/>
    <mergeCell ref="A24:U24"/>
    <mergeCell ref="B25:F25"/>
    <mergeCell ref="A11:U11"/>
    <mergeCell ref="L25:P25"/>
    <mergeCell ref="G25:K25"/>
    <mergeCell ref="A5:U5"/>
    <mergeCell ref="D9:F9"/>
    <mergeCell ref="D7:F7"/>
    <mergeCell ref="L12:P12"/>
    <mergeCell ref="B12:F12"/>
    <mergeCell ref="A1:U1"/>
    <mergeCell ref="A2:U2"/>
    <mergeCell ref="Q12:U12"/>
    <mergeCell ref="G12:K12"/>
    <mergeCell ref="D8:F8"/>
  </mergeCells>
  <dataValidations count="4">
    <dataValidation type="list" error="Complexity must be 1-5" sqref="G8" xr:uid="{00000000-0002-0000-0100-000000000000}">
      <formula1>"1,2,3,4,5"</formula1>
    </dataValidation>
    <dataValidation type="list" sqref="D8" xr:uid="{00000000-0002-0000-0100-000001000000}">
      <formula1>"National Average,New York City,San Francisco,Boston,Washington DC,Dallas/Atlanta"</formula1>
    </dataValidation>
    <dataValidation type="whole" showInputMessage="1" showErrorMessage="1" sqref="A8" xr:uid="{00000000-0002-0000-0100-000002000000}">
      <formula1>10</formula1>
      <formula2>500</formula2>
    </dataValidation>
    <dataValidation type="list" errorTitle="Invalid Pool Adjustment" error="Select a value between -30 and +30" sqref="I8" xr:uid="{00000000-0002-0000-0100-000003000000}">
      <formula1>"-30,-25,-20,-15,-10,-5,-4,-3,-2,-1,0,1,2,3,4,5,10,15,20,25,30"</formula1>
    </dataValidation>
  </dataValidations>
  <hyperlinks>
    <hyperlink ref="A1" r:id="rId1" xr:uid="{00000000-0004-0000-0100-000000000000}"/>
    <hyperlink ref="A35" r:id="rId2" xr:uid="{00000000-0004-0000-0100-000001000000}"/>
  </hyperlinks>
  <pageMargins left="0.75" right="0.75" top="1" bottom="1" header="0.5" footer="0.5"/>
  <ignoredErrors>
    <ignoredError sqref="A1:U60" numberStoredAsText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41"/>
  <sheetViews>
    <sheetView showGridLines="0" workbookViewId="0">
      <selection activeCell="B4" sqref="B4"/>
    </sheetView>
  </sheetViews>
  <sheetFormatPr defaultRowHeight="14.4" x14ac:dyDescent="0.3"/>
  <cols>
    <col min="1" max="1" width="22" customWidth="1"/>
    <col min="2" max="11" width="14" customWidth="1"/>
    <col min="12" max="12" width="8" customWidth="1"/>
    <col min="13" max="20" width="14" customWidth="1"/>
    <col min="22" max="22" width="13" hidden="1" customWidth="1"/>
  </cols>
  <sheetData>
    <row r="1" spans="1:22" ht="28.05" customHeight="1" x14ac:dyDescent="0.3">
      <c r="A1" s="11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4"/>
      <c r="V1" s="4" t="s">
        <v>3</v>
      </c>
    </row>
    <row r="2" spans="1:22" ht="22.05" customHeight="1" x14ac:dyDescent="0.3">
      <c r="A2" s="110" t="str">
        <f>IF(B4="USD","AskOak — Canadian Funds Compensation Model (USD Equivalent)","AskOak — Canadian Funds Compensation Model (CAD$)")</f>
        <v>AskOak — Canadian Funds Compensation Model (USD Equivalent)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4"/>
      <c r="V2" s="4">
        <f>CAD_Params!B2</f>
        <v>1.019803902718557</v>
      </c>
    </row>
    <row r="3" spans="1:22" ht="37.950000000000003" customHeight="1" x14ac:dyDescent="0.3">
      <c r="A3" s="103" t="s">
        <v>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4"/>
      <c r="V3" s="61">
        <f>IF(B4="USD",V4,1)</f>
        <v>0.72499999999999998</v>
      </c>
    </row>
    <row r="4" spans="1:22" ht="19.95" customHeight="1" x14ac:dyDescent="0.3">
      <c r="A4" s="62" t="s">
        <v>70</v>
      </c>
      <c r="B4" s="63" t="s">
        <v>71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30"/>
      <c r="U4" s="4"/>
      <c r="V4" s="64">
        <v>0.72499999999999998</v>
      </c>
    </row>
    <row r="5" spans="1:22" ht="22.05" customHeight="1" x14ac:dyDescent="0.3">
      <c r="A5" s="107" t="s">
        <v>72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4"/>
      <c r="V5" s="4"/>
    </row>
    <row r="6" spans="1:22" ht="19.95" customHeight="1" x14ac:dyDescent="0.3">
      <c r="A6" s="31"/>
      <c r="B6" s="108" t="str">
        <f>IF(B4="USD","Base Salary (USD)","Base Salary (CAD$)")</f>
        <v>Base Salary (USD)</v>
      </c>
      <c r="C6" s="91"/>
      <c r="D6" s="91"/>
      <c r="E6" s="91"/>
      <c r="F6" s="91"/>
      <c r="G6" s="109" t="str">
        <f>IF(B4="USD","Total Direct Compensation (USD)","Total Direct Compensation (CAD$)")</f>
        <v>Total Direct Compensation (USD)</v>
      </c>
      <c r="H6" s="91"/>
      <c r="I6" s="91"/>
      <c r="J6" s="91"/>
      <c r="K6" s="91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9.95" customHeight="1" x14ac:dyDescent="0.3">
      <c r="A7" s="32" t="s">
        <v>73</v>
      </c>
      <c r="B7" s="33" t="s">
        <v>13</v>
      </c>
      <c r="C7" s="34" t="s">
        <v>14</v>
      </c>
      <c r="D7" s="34" t="s">
        <v>15</v>
      </c>
      <c r="E7" s="34" t="s">
        <v>16</v>
      </c>
      <c r="F7" s="34" t="s">
        <v>17</v>
      </c>
      <c r="G7" s="33" t="s">
        <v>13</v>
      </c>
      <c r="H7" s="34" t="s">
        <v>14</v>
      </c>
      <c r="I7" s="34" t="s">
        <v>15</v>
      </c>
      <c r="J7" s="34" t="s">
        <v>16</v>
      </c>
      <c r="K7" s="34" t="s">
        <v>17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8" customHeight="1" x14ac:dyDescent="0.3">
      <c r="A8" s="29" t="s">
        <v>74</v>
      </c>
      <c r="B8" s="45">
        <f>ROUND(CAD_Params!B6*$V$2*$V$3,0)</f>
        <v>268848</v>
      </c>
      <c r="C8" s="46">
        <f>ROUND(CAD_Params!C6*$V$2*$V$3,0)</f>
        <v>315151</v>
      </c>
      <c r="D8" s="27">
        <f>ROUND(CAD_Params!D6*$V$2*$V$3,0)</f>
        <v>406647</v>
      </c>
      <c r="E8" s="46">
        <f>ROUND(CAD_Params!E6*$V$2*$V$3,0)</f>
        <v>438070</v>
      </c>
      <c r="F8" s="46">
        <f>ROUND(CAD_Params!F6*$V$2*$V$3,0)</f>
        <v>471941</v>
      </c>
      <c r="G8" s="45">
        <f>ROUND(CAD_Params!G6*$V$2*$V$3,0)</f>
        <v>981954</v>
      </c>
      <c r="H8" s="46">
        <f>ROUND(CAD_Params!H6*$V$2*$V$3,0)</f>
        <v>1632802</v>
      </c>
      <c r="I8" s="27">
        <f>ROUND(CAD_Params!I6*$V$2*$V$3,0)</f>
        <v>2994941</v>
      </c>
      <c r="J8" s="46">
        <f>ROUND(CAD_Params!J6*$V$2*$V$3,0)</f>
        <v>3924375</v>
      </c>
      <c r="K8" s="46">
        <f>ROUND(CAD_Params!K6*$V$2*$V$3,0)</f>
        <v>4371855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8" customHeight="1" x14ac:dyDescent="0.3">
      <c r="A9" s="24" t="s">
        <v>51</v>
      </c>
      <c r="B9" s="25">
        <f>ROUND(CAD_Params!B7*$V$2*$V$3,0)</f>
        <v>203150</v>
      </c>
      <c r="C9" s="26">
        <f>ROUND(CAD_Params!C7*$V$2*$V$3,0)</f>
        <v>273562</v>
      </c>
      <c r="D9" s="27">
        <f>ROUND(CAD_Params!D7*$V$2*$V$3,0)</f>
        <v>332711</v>
      </c>
      <c r="E9" s="26">
        <f>ROUND(CAD_Params!E7*$V$2*$V$3,0)</f>
        <v>369679</v>
      </c>
      <c r="F9" s="26">
        <f>ROUND(CAD_Params!F7*$V$2*$V$3,0)</f>
        <v>388163</v>
      </c>
      <c r="G9" s="25">
        <f>ROUND(CAD_Params!G7*$V$2*$V$3,0)</f>
        <v>955083</v>
      </c>
      <c r="H9" s="26">
        <f>ROUND(CAD_Params!H7*$V$2*$V$3,0)</f>
        <v>1478546</v>
      </c>
      <c r="I9" s="27">
        <f>ROUND(CAD_Params!I7*$V$2*$V$3,0)</f>
        <v>2164733</v>
      </c>
      <c r="J9" s="26">
        <f>ROUND(CAD_Params!J7*$V$2*$V$3,0)</f>
        <v>3055551</v>
      </c>
      <c r="K9" s="26">
        <f>ROUND(CAD_Params!K7*$V$2*$V$3,0)</f>
        <v>3500510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18" customHeight="1" x14ac:dyDescent="0.3">
      <c r="A10" s="17" t="s">
        <v>75</v>
      </c>
      <c r="B10" s="18">
        <f>ROUND(CAD_Params!B8*$V$2*$V$3,0)</f>
        <v>116121</v>
      </c>
      <c r="C10" s="19">
        <f>ROUND(CAD_Params!C8*$V$2*$V$3,0)</f>
        <v>226548</v>
      </c>
      <c r="D10" s="20">
        <f>ROUND(CAD_Params!D8*$V$2*$V$3,0)</f>
        <v>256066</v>
      </c>
      <c r="E10" s="19">
        <f>ROUND(CAD_Params!E8*$V$2*$V$3,0)</f>
        <v>330063</v>
      </c>
      <c r="F10" s="19">
        <f>ROUND(CAD_Params!F8*$V$2*$V$3,0)</f>
        <v>332711</v>
      </c>
      <c r="G10" s="18">
        <f>ROUND(CAD_Params!G8*$V$2*$V$3,0)</f>
        <v>240386</v>
      </c>
      <c r="H10" s="19">
        <f>ROUND(CAD_Params!H8*$V$2*$V$3,0)</f>
        <v>545276</v>
      </c>
      <c r="I10" s="20">
        <f>ROUND(CAD_Params!I8*$V$2*$V$3,0)</f>
        <v>893212</v>
      </c>
      <c r="J10" s="19">
        <f>ROUND(CAD_Params!J8*$V$2*$V$3,0)</f>
        <v>1364055</v>
      </c>
      <c r="K10" s="19">
        <f>ROUND(CAD_Params!K8*$V$2*$V$3,0)</f>
        <v>1828416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8" customHeight="1" x14ac:dyDescent="0.3">
      <c r="A11" s="21" t="s">
        <v>76</v>
      </c>
      <c r="B11" s="22">
        <f>ROUND(CAD_Params!B9*$V$2*$V$3,0)</f>
        <v>184839</v>
      </c>
      <c r="C11" s="23">
        <f>ROUND(CAD_Params!C9*$V$2*$V$3,0)</f>
        <v>199442</v>
      </c>
      <c r="D11" s="20">
        <f>ROUND(CAD_Params!D9*$V$2*$V$3,0)</f>
        <v>244358</v>
      </c>
      <c r="E11" s="23">
        <f>ROUND(CAD_Params!E9*$V$2*$V$3,0)</f>
        <v>281880</v>
      </c>
      <c r="F11" s="23">
        <f>ROUND(CAD_Params!F9*$V$2*$V$3,0)</f>
        <v>295743</v>
      </c>
      <c r="G11" s="22">
        <f>ROUND(CAD_Params!G9*$V$2*$V$3,0)</f>
        <v>573646</v>
      </c>
      <c r="H11" s="23">
        <f>ROUND(CAD_Params!H9*$V$2*$V$3,0)</f>
        <v>663339</v>
      </c>
      <c r="I11" s="20">
        <f>ROUND(CAD_Params!I9*$V$2*$V$3,0)</f>
        <v>832461</v>
      </c>
      <c r="J11" s="23">
        <f>ROUND(CAD_Params!J9*$V$2*$V$3,0)</f>
        <v>1238818</v>
      </c>
      <c r="K11" s="23">
        <f>ROUND(CAD_Params!K9*$V$2*$V$3,0)</f>
        <v>1384631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8" customHeight="1" x14ac:dyDescent="0.3">
      <c r="A12" s="29" t="s">
        <v>54</v>
      </c>
      <c r="B12" s="45">
        <f>ROUND(CAD_Params!B10*$V$2*$V$3,0)</f>
        <v>312254</v>
      </c>
      <c r="C12" s="46">
        <f>ROUND(CAD_Params!C10*$V$2*$V$3,0)</f>
        <v>332517</v>
      </c>
      <c r="D12" s="27">
        <f>ROUND(CAD_Params!D10*$V$2*$V$3,0)</f>
        <v>332711</v>
      </c>
      <c r="E12" s="46">
        <f>ROUND(CAD_Params!E10*$V$2*$V$3,0)</f>
        <v>332711</v>
      </c>
      <c r="F12" s="46">
        <f>ROUND(CAD_Params!F10*$V$2*$V$3,0)</f>
        <v>337830</v>
      </c>
      <c r="G12" s="45">
        <f>ROUND(CAD_Params!G10*$V$2*$V$3,0)</f>
        <v>1527671</v>
      </c>
      <c r="H12" s="46">
        <f>ROUND(CAD_Params!H10*$V$2*$V$3,0)</f>
        <v>1576855</v>
      </c>
      <c r="I12" s="27">
        <f>ROUND(CAD_Params!I10*$V$2*$V$3,0)</f>
        <v>1619596</v>
      </c>
      <c r="J12" s="46">
        <f>ROUND(CAD_Params!J10*$V$2*$V$3,0)</f>
        <v>1705990</v>
      </c>
      <c r="K12" s="46">
        <f>ROUND(CAD_Params!K10*$V$2*$V$3,0)</f>
        <v>1779917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8" customHeight="1" x14ac:dyDescent="0.3">
      <c r="A13" s="21" t="s">
        <v>77</v>
      </c>
      <c r="B13" s="22">
        <f>ROUND(CAD_Params!B11*$V$2*$V$3,0)</f>
        <v>165775</v>
      </c>
      <c r="C13" s="23">
        <f>ROUND(CAD_Params!C11*$V$2*$V$3,0)</f>
        <v>196657</v>
      </c>
      <c r="D13" s="20">
        <f>ROUND(CAD_Params!D11*$V$2*$V$3,0)</f>
        <v>231049</v>
      </c>
      <c r="E13" s="23">
        <f>ROUND(CAD_Params!E11*$V$2*$V$3,0)</f>
        <v>343588</v>
      </c>
      <c r="F13" s="23">
        <f>ROUND(CAD_Params!F11*$V$2*$V$3,0)</f>
        <v>354240</v>
      </c>
      <c r="G13" s="22">
        <f>ROUND(CAD_Params!G11*$V$2*$V$3,0)</f>
        <v>669840</v>
      </c>
      <c r="H13" s="23">
        <f>ROUND(CAD_Params!H11*$V$2*$V$3,0)</f>
        <v>833619</v>
      </c>
      <c r="I13" s="20">
        <f>ROUND(CAD_Params!I11*$V$2*$V$3,0)</f>
        <v>1498320</v>
      </c>
      <c r="J13" s="23">
        <f>ROUND(CAD_Params!J11*$V$2*$V$3,0)</f>
        <v>1659866</v>
      </c>
      <c r="K13" s="23">
        <f>ROUND(CAD_Params!K11*$V$2*$V$3,0)</f>
        <v>1853186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8" customHeight="1" x14ac:dyDescent="0.3">
      <c r="A14" s="17" t="s">
        <v>78</v>
      </c>
      <c r="B14" s="18">
        <f>ROUND(CAD_Params!B12*$V$2*$V$3,0)</f>
        <v>172762</v>
      </c>
      <c r="C14" s="19">
        <f>ROUND(CAD_Params!C12*$V$2*$V$3,0)</f>
        <v>185290</v>
      </c>
      <c r="D14" s="20">
        <f>ROUND(CAD_Params!D12*$V$2*$V$3,0)</f>
        <v>322859</v>
      </c>
      <c r="E14" s="19">
        <f>ROUND(CAD_Params!E12*$V$2*$V$3,0)</f>
        <v>347214</v>
      </c>
      <c r="F14" s="19">
        <f>ROUND(CAD_Params!F12*$V$2*$V$3,0)</f>
        <v>393718</v>
      </c>
      <c r="G14" s="18">
        <f>ROUND(CAD_Params!G12*$V$2*$V$3,0)</f>
        <v>571833</v>
      </c>
      <c r="H14" s="19">
        <f>ROUND(CAD_Params!H12*$V$2*$V$3,0)</f>
        <v>828178</v>
      </c>
      <c r="I14" s="20">
        <f>ROUND(CAD_Params!I12*$V$2*$V$3,0)</f>
        <v>1631460</v>
      </c>
      <c r="J14" s="19">
        <f>ROUND(CAD_Params!J12*$V$2*$V$3,0)</f>
        <v>2248744</v>
      </c>
      <c r="K14" s="19">
        <f>ROUND(CAD_Params!K12*$V$2*$V$3,0)</f>
        <v>2538994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7.9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7.9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22.05" customHeight="1" x14ac:dyDescent="0.3">
      <c r="A17" s="107" t="s">
        <v>79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4"/>
      <c r="V17" s="4"/>
    </row>
    <row r="18" spans="1:22" ht="19.95" customHeight="1" x14ac:dyDescent="0.3">
      <c r="A18" s="31"/>
      <c r="B18" s="108" t="str">
        <f>IF(B4="USD","Base Salary (USD)","Base Salary (CAD$)")</f>
        <v>Base Salary (USD)</v>
      </c>
      <c r="C18" s="91"/>
      <c r="D18" s="91"/>
      <c r="E18" s="91"/>
      <c r="F18" s="91"/>
      <c r="G18" s="109" t="str">
        <f>IF(B4="USD","Total Direct Compensation (USD)","Total Direct Compensation (CAD$)")</f>
        <v>Total Direct Compensation (USD)</v>
      </c>
      <c r="H18" s="91"/>
      <c r="I18" s="91"/>
      <c r="J18" s="91"/>
      <c r="K18" s="91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9.95" customHeight="1" x14ac:dyDescent="0.3">
      <c r="A19" s="32" t="s">
        <v>12</v>
      </c>
      <c r="B19" s="33" t="s">
        <v>13</v>
      </c>
      <c r="C19" s="34" t="s">
        <v>14</v>
      </c>
      <c r="D19" s="34" t="s">
        <v>15</v>
      </c>
      <c r="E19" s="34" t="s">
        <v>16</v>
      </c>
      <c r="F19" s="34" t="s">
        <v>17</v>
      </c>
      <c r="G19" s="33" t="s">
        <v>13</v>
      </c>
      <c r="H19" s="34" t="s">
        <v>14</v>
      </c>
      <c r="I19" s="34" t="s">
        <v>15</v>
      </c>
      <c r="J19" s="34" t="s">
        <v>16</v>
      </c>
      <c r="K19" s="34" t="s">
        <v>17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8" customHeight="1" x14ac:dyDescent="0.3">
      <c r="A20" s="17" t="s">
        <v>18</v>
      </c>
      <c r="B20" s="18">
        <f>ROUND(CAD_Params!C17*$V$2*$V$3,0)</f>
        <v>35711</v>
      </c>
      <c r="C20" s="19">
        <f>ROUND(CAD_Params!D17*$V$2*$V$3,0)</f>
        <v>47615</v>
      </c>
      <c r="D20" s="20">
        <f>ROUND(CAD_Params!E17*$V$2*$V$3,0)</f>
        <v>57818</v>
      </c>
      <c r="E20" s="19">
        <f>ROUND(CAD_Params!F17*$V$2*$V$3,0)</f>
        <v>68021</v>
      </c>
      <c r="F20" s="19">
        <f>ROUND(CAD_Params!G17*$V$2*$V$3,0)</f>
        <v>78224</v>
      </c>
      <c r="G20" s="18">
        <f>ROUND(CAD_Params!H17*$V$2*$V$3,0)</f>
        <v>38568</v>
      </c>
      <c r="H20" s="19">
        <f>ROUND(CAD_Params!I17*$V$2*$V$3,0)</f>
        <v>51424</v>
      </c>
      <c r="I20" s="20">
        <f>ROUND(CAD_Params!J17*$V$2*$V$3,0)</f>
        <v>62443</v>
      </c>
      <c r="J20" s="19">
        <f>ROUND(CAD_Params!K17*$V$2*$V$3,0)</f>
        <v>73463</v>
      </c>
      <c r="K20" s="19">
        <f>ROUND(CAD_Params!L17*$V$2*$V$3,0)</f>
        <v>84482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8" customHeight="1" x14ac:dyDescent="0.3">
      <c r="A21" s="21" t="s">
        <v>19</v>
      </c>
      <c r="B21" s="22">
        <f>ROUND(CAD_Params!C18*$V$2*$V$3,0)</f>
        <v>46580</v>
      </c>
      <c r="C21" s="23">
        <f>ROUND(CAD_Params!D18*$V$2*$V$3,0)</f>
        <v>62106</v>
      </c>
      <c r="D21" s="20">
        <f>ROUND(CAD_Params!E18*$V$2*$V$3,0)</f>
        <v>75414</v>
      </c>
      <c r="E21" s="23">
        <f>ROUND(CAD_Params!F18*$V$2*$V$3,0)</f>
        <v>88723</v>
      </c>
      <c r="F21" s="23">
        <f>ROUND(CAD_Params!G18*$V$2*$V$3,0)</f>
        <v>102031</v>
      </c>
      <c r="G21" s="22">
        <f>ROUND(CAD_Params!H18*$V$2*$V$3,0)</f>
        <v>53566</v>
      </c>
      <c r="H21" s="23">
        <f>ROUND(CAD_Params!I18*$V$2*$V$3,0)</f>
        <v>71422</v>
      </c>
      <c r="I21" s="20">
        <f>ROUND(CAD_Params!J18*$V$2*$V$3,0)</f>
        <v>86727</v>
      </c>
      <c r="J21" s="23">
        <f>ROUND(CAD_Params!K18*$V$2*$V$3,0)</f>
        <v>102031</v>
      </c>
      <c r="K21" s="23">
        <f>ROUND(CAD_Params!L18*$V$2*$V$3,0)</f>
        <v>117336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8" customHeight="1" x14ac:dyDescent="0.3">
      <c r="A22" s="17" t="s">
        <v>80</v>
      </c>
      <c r="B22" s="18">
        <f>ROUND(CAD_Params!C19*$V$2*$V$3,0)</f>
        <v>62106</v>
      </c>
      <c r="C22" s="19">
        <f>ROUND(CAD_Params!D19*$V$2*$V$3,0)</f>
        <v>82808</v>
      </c>
      <c r="D22" s="20">
        <f>ROUND(CAD_Params!E19*$V$2*$V$3,0)</f>
        <v>100553</v>
      </c>
      <c r="E22" s="19">
        <f>ROUND(CAD_Params!F19*$V$2*$V$3,0)</f>
        <v>118297</v>
      </c>
      <c r="F22" s="19">
        <f>ROUND(CAD_Params!G19*$V$2*$V$3,0)</f>
        <v>136042</v>
      </c>
      <c r="G22" s="18">
        <f>ROUND(CAD_Params!H19*$V$2*$V$3,0)</f>
        <v>77633</v>
      </c>
      <c r="H22" s="19">
        <f>ROUND(CAD_Params!I19*$V$2*$V$3,0)</f>
        <v>103510</v>
      </c>
      <c r="I22" s="20">
        <f>ROUND(CAD_Params!J19*$V$2*$V$3,0)</f>
        <v>125691</v>
      </c>
      <c r="J22" s="19">
        <f>ROUND(CAD_Params!K19*$V$2*$V$3,0)</f>
        <v>147872</v>
      </c>
      <c r="K22" s="19">
        <f>ROUND(CAD_Params!L19*$V$2*$V$3,0)</f>
        <v>170052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8" customHeight="1" x14ac:dyDescent="0.3">
      <c r="A23" s="21" t="s">
        <v>81</v>
      </c>
      <c r="B23" s="22">
        <f>ROUND(CAD_Params!C20*$V$2*$V$3,0)</f>
        <v>82291</v>
      </c>
      <c r="C23" s="23">
        <f>ROUND(CAD_Params!D20*$V$2*$V$3,0)</f>
        <v>109721</v>
      </c>
      <c r="D23" s="20">
        <f>ROUND(CAD_Params!E20*$V$2*$V$3,0)</f>
        <v>133232</v>
      </c>
      <c r="E23" s="23">
        <f>ROUND(CAD_Params!F20*$V$2*$V$3,0)</f>
        <v>156744</v>
      </c>
      <c r="F23" s="23">
        <f>ROUND(CAD_Params!G20*$V$2*$V$3,0)</f>
        <v>180255</v>
      </c>
      <c r="G23" s="22">
        <f>ROUND(CAD_Params!H20*$V$2*$V$3,0)</f>
        <v>115207</v>
      </c>
      <c r="H23" s="23">
        <f>ROUND(CAD_Params!I20*$V$2*$V$3,0)</f>
        <v>153609</v>
      </c>
      <c r="I23" s="20">
        <f>ROUND(CAD_Params!J20*$V$2*$V$3,0)</f>
        <v>186525</v>
      </c>
      <c r="J23" s="23">
        <f>ROUND(CAD_Params!K20*$V$2*$V$3,0)</f>
        <v>219441</v>
      </c>
      <c r="K23" s="23">
        <f>ROUND(CAD_Params!L20*$V$2*$V$3,0)</f>
        <v>252358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8" customHeight="1" x14ac:dyDescent="0.3">
      <c r="A24" s="17" t="s">
        <v>82</v>
      </c>
      <c r="B24" s="18">
        <f>ROUND(CAD_Params!C21*$V$2*$V$3,0)</f>
        <v>111791</v>
      </c>
      <c r="C24" s="19">
        <f>ROUND(CAD_Params!D21*$V$2*$V$3,0)</f>
        <v>149055</v>
      </c>
      <c r="D24" s="20">
        <f>ROUND(CAD_Params!E21*$V$2*$V$3,0)</f>
        <v>180995</v>
      </c>
      <c r="E24" s="19">
        <f>ROUND(CAD_Params!F21*$V$2*$V$3,0)</f>
        <v>212935</v>
      </c>
      <c r="F24" s="19">
        <f>ROUND(CAD_Params!G21*$V$2*$V$3,0)</f>
        <v>244875</v>
      </c>
      <c r="G24" s="18">
        <f>ROUND(CAD_Params!H21*$V$2*$V$3,0)</f>
        <v>201224</v>
      </c>
      <c r="H24" s="19">
        <f>ROUND(CAD_Params!I21*$V$2*$V$3,0)</f>
        <v>268298</v>
      </c>
      <c r="I24" s="20">
        <f>ROUND(CAD_Params!J21*$V$2*$V$3,0)</f>
        <v>325791</v>
      </c>
      <c r="J24" s="19">
        <f>ROUND(CAD_Params!K21*$V$2*$V$3,0)</f>
        <v>383283</v>
      </c>
      <c r="K24" s="19">
        <f>ROUND(CAD_Params!L21*$V$2*$V$3,0)</f>
        <v>440776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8" customHeight="1" x14ac:dyDescent="0.3">
      <c r="A25" s="21" t="s">
        <v>23</v>
      </c>
      <c r="B25" s="22">
        <f>ROUND(CAD_Params!C22*$V$2*$V$3,0)</f>
        <v>155265</v>
      </c>
      <c r="C25" s="23">
        <f>ROUND(CAD_Params!D22*$V$2*$V$3,0)</f>
        <v>207020</v>
      </c>
      <c r="D25" s="20">
        <f>ROUND(CAD_Params!E22*$V$2*$V$3,0)</f>
        <v>251382</v>
      </c>
      <c r="E25" s="23">
        <f>ROUND(CAD_Params!F22*$V$2*$V$3,0)</f>
        <v>295743</v>
      </c>
      <c r="F25" s="23">
        <f>ROUND(CAD_Params!G22*$V$2*$V$3,0)</f>
        <v>340105</v>
      </c>
      <c r="G25" s="22">
        <f>ROUND(CAD_Params!H22*$V$2*$V$3,0)</f>
        <v>443615</v>
      </c>
      <c r="H25" s="23">
        <f>ROUND(CAD_Params!I22*$V$2*$V$3,0)</f>
        <v>665422</v>
      </c>
      <c r="I25" s="20">
        <f>ROUND(CAD_Params!J22*$V$2*$V$3,0)</f>
        <v>1035101</v>
      </c>
      <c r="J25" s="23">
        <f>ROUND(CAD_Params!K22*$V$2*$V$3,0)</f>
        <v>1404780</v>
      </c>
      <c r="K25" s="23">
        <f>ROUND(CAD_Params!L22*$V$2*$V$3,0)</f>
        <v>1848395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8" customHeight="1" x14ac:dyDescent="0.3">
      <c r="A26" s="17" t="s">
        <v>83</v>
      </c>
      <c r="B26" s="18">
        <f>ROUND(CAD_Params!C23*$V$2*$V$3,0)</f>
        <v>186315</v>
      </c>
      <c r="C26" s="19">
        <f>ROUND(CAD_Params!D23*$V$2*$V$3,0)</f>
        <v>265665</v>
      </c>
      <c r="D26" s="20">
        <f>ROUND(CAD_Params!E23*$V$2*$V$3,0)</f>
        <v>301476</v>
      </c>
      <c r="E26" s="19">
        <f>ROUND(CAD_Params!F23*$V$2*$V$3,0)</f>
        <v>335446</v>
      </c>
      <c r="F26" s="19">
        <f>ROUND(CAD_Params!G23*$V$2*$V$3,0)</f>
        <v>394322</v>
      </c>
      <c r="G26" s="18">
        <f>ROUND(CAD_Params!H23*$V$2*$V$3,0)</f>
        <v>698950</v>
      </c>
      <c r="H26" s="19">
        <f>ROUND(CAD_Params!I23*$V$2*$V$3,0)</f>
        <v>1355580</v>
      </c>
      <c r="I26" s="20">
        <f>ROUND(CAD_Params!J23*$V$2*$V$3,0)</f>
        <v>1780846</v>
      </c>
      <c r="J26" s="19">
        <f>ROUND(CAD_Params!K23*$V$2*$V$3,0)</f>
        <v>2212152</v>
      </c>
      <c r="K26" s="19">
        <f>ROUND(CAD_Params!L23*$V$2*$V$3,0)</f>
        <v>2678741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8" customHeight="1" x14ac:dyDescent="0.3">
      <c r="A27" s="24" t="s">
        <v>51</v>
      </c>
      <c r="B27" s="25">
        <f>ROUND(CAD_Params!C24*$V$2*$V$3,0)</f>
        <v>203150</v>
      </c>
      <c r="C27" s="26">
        <f>ROUND(CAD_Params!D24*$V$2*$V$3,0)</f>
        <v>273562</v>
      </c>
      <c r="D27" s="27">
        <f>ROUND(CAD_Params!E24*$V$2*$V$3,0)</f>
        <v>332711</v>
      </c>
      <c r="E27" s="26">
        <f>ROUND(CAD_Params!F24*$V$2*$V$3,0)</f>
        <v>369679</v>
      </c>
      <c r="F27" s="26">
        <f>ROUND(CAD_Params!G24*$V$2*$V$3,0)</f>
        <v>388163</v>
      </c>
      <c r="G27" s="25">
        <f>ROUND(CAD_Params!H24*$V$2*$V$3,0)</f>
        <v>955083</v>
      </c>
      <c r="H27" s="26">
        <f>ROUND(CAD_Params!I24*$V$2*$V$3,0)</f>
        <v>1478546</v>
      </c>
      <c r="I27" s="27">
        <f>ROUND(CAD_Params!J24*$V$2*$V$3,0)</f>
        <v>2164733</v>
      </c>
      <c r="J27" s="26">
        <f>ROUND(CAD_Params!K24*$V$2*$V$3,0)</f>
        <v>3055551</v>
      </c>
      <c r="K27" s="26">
        <f>ROUND(CAD_Params!L24*$V$2*$V$3,0)</f>
        <v>3500510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7.9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7.9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22.05" customHeight="1" x14ac:dyDescent="0.3">
      <c r="A30" s="107" t="s">
        <v>84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4"/>
      <c r="V30" s="4"/>
    </row>
    <row r="31" spans="1:22" ht="19.95" customHeight="1" x14ac:dyDescent="0.3">
      <c r="A31" s="31"/>
      <c r="B31" s="108" t="str">
        <f>IF(B4="USD","Base Salary (USD)","Base Salary (CAD$)")</f>
        <v>Base Salary (USD)</v>
      </c>
      <c r="C31" s="91"/>
      <c r="D31" s="91"/>
      <c r="E31" s="91"/>
      <c r="F31" s="91"/>
      <c r="G31" s="109" t="str">
        <f>IF(B4="USD","Total Direct Compensation (USD)","Total Direct Compensation (CAD$)")</f>
        <v>Total Direct Compensation (USD)</v>
      </c>
      <c r="H31" s="91"/>
      <c r="I31" s="91"/>
      <c r="J31" s="91"/>
      <c r="K31" s="91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9.95" customHeight="1" x14ac:dyDescent="0.3">
      <c r="A32" s="32" t="s">
        <v>12</v>
      </c>
      <c r="B32" s="33" t="s">
        <v>13</v>
      </c>
      <c r="C32" s="34" t="s">
        <v>14</v>
      </c>
      <c r="D32" s="34" t="s">
        <v>15</v>
      </c>
      <c r="E32" s="34" t="s">
        <v>16</v>
      </c>
      <c r="F32" s="34" t="s">
        <v>17</v>
      </c>
      <c r="G32" s="33" t="s">
        <v>13</v>
      </c>
      <c r="H32" s="34" t="s">
        <v>14</v>
      </c>
      <c r="I32" s="34" t="s">
        <v>15</v>
      </c>
      <c r="J32" s="34" t="s">
        <v>16</v>
      </c>
      <c r="K32" s="34" t="s">
        <v>17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8" customHeight="1" x14ac:dyDescent="0.3">
      <c r="A33" s="17" t="s">
        <v>27</v>
      </c>
      <c r="B33" s="18">
        <f>ROUND(CAD_Params!C17*CAD_Params!B29*$V$2*$V$3,0)</f>
        <v>26426</v>
      </c>
      <c r="C33" s="19">
        <f>ROUND(CAD_Params!D17*CAD_Params!B29*$V$2*$V$3,0)</f>
        <v>35235</v>
      </c>
      <c r="D33" s="20">
        <f>ROUND(CAD_Params!E17*CAD_Params!B29*$V$2*$V$3,0)</f>
        <v>42785</v>
      </c>
      <c r="E33" s="19">
        <f>ROUND(CAD_Params!F17*CAD_Params!B29*$V$2*$V$3,0)</f>
        <v>50335</v>
      </c>
      <c r="F33" s="19">
        <f>ROUND(CAD_Params!G17*CAD_Params!B29*$V$2*$V$3,0)</f>
        <v>57886</v>
      </c>
      <c r="G33" s="18">
        <f>ROUND(CAD_Params!H17*CAD_Params!C29*$V$2*$V$3,0)</f>
        <v>10028</v>
      </c>
      <c r="H33" s="19">
        <f>ROUND(CAD_Params!I17*CAD_Params!C29*$V$2*$V$3,0)</f>
        <v>13370</v>
      </c>
      <c r="I33" s="20">
        <f>ROUND(CAD_Params!J17*CAD_Params!C29*$V$2*$V$3,0)</f>
        <v>16235</v>
      </c>
      <c r="J33" s="19">
        <f>ROUND(CAD_Params!K17*CAD_Params!C29*$V$2*$V$3,0)</f>
        <v>19100</v>
      </c>
      <c r="K33" s="19">
        <f>ROUND(CAD_Params!L17*CAD_Params!C29*$V$2*$V$3,0)</f>
        <v>21965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8" customHeight="1" x14ac:dyDescent="0.3">
      <c r="A34" s="21" t="s">
        <v>28</v>
      </c>
      <c r="B34" s="22">
        <f>ROUND(CAD_Params!C18*CAD_Params!B30*$V$2*$V$3,0)</f>
        <v>39593</v>
      </c>
      <c r="C34" s="23">
        <f>ROUND(CAD_Params!D18*CAD_Params!B30*$V$2*$V$3,0)</f>
        <v>52790</v>
      </c>
      <c r="D34" s="20">
        <f>ROUND(CAD_Params!E18*CAD_Params!B30*$V$2*$V$3,0)</f>
        <v>64102</v>
      </c>
      <c r="E34" s="23">
        <f>ROUND(CAD_Params!F18*CAD_Params!B30*$V$2*$V$3,0)</f>
        <v>75414</v>
      </c>
      <c r="F34" s="23">
        <f>ROUND(CAD_Params!G18*CAD_Params!B30*$V$2*$V$3,0)</f>
        <v>86727</v>
      </c>
      <c r="G34" s="22">
        <f>ROUND(CAD_Params!H18*CAD_Params!C30*$V$2*$V$3,0)</f>
        <v>37497</v>
      </c>
      <c r="H34" s="23">
        <f>ROUND(CAD_Params!I18*CAD_Params!C30*$V$2*$V$3,0)</f>
        <v>49995</v>
      </c>
      <c r="I34" s="20">
        <f>ROUND(CAD_Params!J18*CAD_Params!C30*$V$2*$V$3,0)</f>
        <v>60709</v>
      </c>
      <c r="J34" s="23">
        <f>ROUND(CAD_Params!K18*CAD_Params!C30*$V$2*$V$3,0)</f>
        <v>71422</v>
      </c>
      <c r="K34" s="23">
        <f>ROUND(CAD_Params!L18*CAD_Params!C30*$V$2*$V$3,0)</f>
        <v>82135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8" customHeight="1" x14ac:dyDescent="0.3">
      <c r="A35" s="17" t="s">
        <v>29</v>
      </c>
      <c r="B35" s="18">
        <f>ROUND(CAD_Params!C19*CAD_Params!B31*$V$2*$V$3,0)</f>
        <v>52790</v>
      </c>
      <c r="C35" s="19">
        <f>ROUND(CAD_Params!D19*CAD_Params!B31*$V$2*$V$3,0)</f>
        <v>70387</v>
      </c>
      <c r="D35" s="20">
        <f>ROUND(CAD_Params!E19*CAD_Params!B31*$V$2*$V$3,0)</f>
        <v>85470</v>
      </c>
      <c r="E35" s="19">
        <f>ROUND(CAD_Params!F19*CAD_Params!B31*$V$2*$V$3,0)</f>
        <v>100553</v>
      </c>
      <c r="F35" s="19">
        <f>ROUND(CAD_Params!G19*CAD_Params!B31*$V$2*$V$3,0)</f>
        <v>115636</v>
      </c>
      <c r="G35" s="18">
        <f>ROUND(CAD_Params!H19*CAD_Params!C31*$V$2*$V$3,0)</f>
        <v>54343</v>
      </c>
      <c r="H35" s="19">
        <f>ROUND(CAD_Params!I19*CAD_Params!C31*$V$2*$V$3,0)</f>
        <v>72457</v>
      </c>
      <c r="I35" s="20">
        <f>ROUND(CAD_Params!J19*CAD_Params!C31*$V$2*$V$3,0)</f>
        <v>87984</v>
      </c>
      <c r="J35" s="19">
        <f>ROUND(CAD_Params!K19*CAD_Params!C31*$V$2*$V$3,0)</f>
        <v>103510</v>
      </c>
      <c r="K35" s="19">
        <f>ROUND(CAD_Params!L19*CAD_Params!C31*$V$2*$V$3,0)</f>
        <v>119037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8" customHeight="1" x14ac:dyDescent="0.3">
      <c r="A36" s="21" t="s">
        <v>67</v>
      </c>
      <c r="B36" s="22">
        <f>ROUND(CAD_Params!C20*CAD_Params!B32*$V$2*$V$3,0)</f>
        <v>69947</v>
      </c>
      <c r="C36" s="23">
        <f>ROUND(CAD_Params!D20*CAD_Params!B32*$V$2*$V$3,0)</f>
        <v>93263</v>
      </c>
      <c r="D36" s="20">
        <f>ROUND(CAD_Params!E20*CAD_Params!B32*$V$2*$V$3,0)</f>
        <v>113247</v>
      </c>
      <c r="E36" s="23">
        <f>ROUND(CAD_Params!F20*CAD_Params!B32*$V$2*$V$3,0)</f>
        <v>133232</v>
      </c>
      <c r="F36" s="23">
        <f>ROUND(CAD_Params!G20*CAD_Params!B32*$V$2*$V$3,0)</f>
        <v>153217</v>
      </c>
      <c r="G36" s="22">
        <f>ROUND(CAD_Params!H20*CAD_Params!C32*$V$2*$V$3,0)</f>
        <v>80645</v>
      </c>
      <c r="H36" s="23">
        <f>ROUND(CAD_Params!I20*CAD_Params!C32*$V$2*$V$3,0)</f>
        <v>107526</v>
      </c>
      <c r="I36" s="20">
        <f>ROUND(CAD_Params!J20*CAD_Params!C32*$V$2*$V$3,0)</f>
        <v>130568</v>
      </c>
      <c r="J36" s="23">
        <f>ROUND(CAD_Params!K20*CAD_Params!C32*$V$2*$V$3,0)</f>
        <v>153609</v>
      </c>
      <c r="K36" s="23">
        <f>ROUND(CAD_Params!L20*CAD_Params!C32*$V$2*$V$3,0)</f>
        <v>176650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8" customHeight="1" x14ac:dyDescent="0.3">
      <c r="A37" s="17" t="s">
        <v>68</v>
      </c>
      <c r="B37" s="18">
        <f>ROUND(CAD_Params!C21*CAD_Params!B33*$V$2*$V$3,0)</f>
        <v>95022</v>
      </c>
      <c r="C37" s="19">
        <f>ROUND(CAD_Params!D21*CAD_Params!B33*$V$2*$V$3,0)</f>
        <v>126696</v>
      </c>
      <c r="D37" s="20">
        <f>ROUND(CAD_Params!E21*CAD_Params!B33*$V$2*$V$3,0)</f>
        <v>153846</v>
      </c>
      <c r="E37" s="19">
        <f>ROUND(CAD_Params!F21*CAD_Params!B33*$V$2*$V$3,0)</f>
        <v>180995</v>
      </c>
      <c r="F37" s="19">
        <f>ROUND(CAD_Params!G21*CAD_Params!B33*$V$2*$V$3,0)</f>
        <v>208144</v>
      </c>
      <c r="G37" s="18">
        <f>ROUND(CAD_Params!H21*CAD_Params!C33*$V$2*$V$3,0)</f>
        <v>110673</v>
      </c>
      <c r="H37" s="19">
        <f>ROUND(CAD_Params!I21*CAD_Params!C33*$V$2*$V$3,0)</f>
        <v>147564</v>
      </c>
      <c r="I37" s="20">
        <f>ROUND(CAD_Params!J21*CAD_Params!C33*$V$2*$V$3,0)</f>
        <v>179185</v>
      </c>
      <c r="J37" s="19">
        <f>ROUND(CAD_Params!K21*CAD_Params!C33*$V$2*$V$3,0)</f>
        <v>210806</v>
      </c>
      <c r="K37" s="19">
        <f>ROUND(CAD_Params!L21*CAD_Params!C33*$V$2*$V$3,0)</f>
        <v>242427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8" customHeight="1" x14ac:dyDescent="0.3">
      <c r="A38" s="21" t="s">
        <v>69</v>
      </c>
      <c r="B38" s="22">
        <f>ROUND(CAD_Params!C22*CAD_Params!B34*$V$2*$V$3,0)</f>
        <v>155265</v>
      </c>
      <c r="C38" s="23">
        <f>ROUND(CAD_Params!D22*CAD_Params!B34*$V$2*$V$3,0)</f>
        <v>207020</v>
      </c>
      <c r="D38" s="20">
        <f>ROUND(CAD_Params!E22*CAD_Params!B34*$V$2*$V$3,0)</f>
        <v>251382</v>
      </c>
      <c r="E38" s="23">
        <f>ROUND(CAD_Params!F22*CAD_Params!B34*$V$2*$V$3,0)</f>
        <v>295743</v>
      </c>
      <c r="F38" s="23">
        <f>ROUND(CAD_Params!G22*CAD_Params!B34*$V$2*$V$3,0)</f>
        <v>340105</v>
      </c>
      <c r="G38" s="22">
        <f>ROUND(CAD_Params!H22*CAD_Params!C34*$V$2*$V$3,0)</f>
        <v>243988</v>
      </c>
      <c r="H38" s="23">
        <f>ROUND(CAD_Params!I22*CAD_Params!C34*$V$2*$V$3,0)</f>
        <v>365982</v>
      </c>
      <c r="I38" s="20">
        <f>ROUND(CAD_Params!J22*CAD_Params!C34*$V$2*$V$3,0)</f>
        <v>569306</v>
      </c>
      <c r="J38" s="23">
        <f>ROUND(CAD_Params!K22*CAD_Params!C34*$V$2*$V$3,0)</f>
        <v>772629</v>
      </c>
      <c r="K38" s="23">
        <f>ROUND(CAD_Params!L22*CAD_Params!C34*$V$2*$V$3,0)</f>
        <v>1016617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8" customHeight="1" x14ac:dyDescent="0.3">
      <c r="A39" s="29" t="s">
        <v>54</v>
      </c>
      <c r="B39" s="45">
        <f>ROUND(CAD_Params!B10*$V$2*$V$3,0)</f>
        <v>312254</v>
      </c>
      <c r="C39" s="46">
        <f>ROUND(CAD_Params!C10*$V$2*$V$3,0)</f>
        <v>332517</v>
      </c>
      <c r="D39" s="27">
        <f>ROUND(CAD_Params!D10*$V$2*$V$3,0)</f>
        <v>332711</v>
      </c>
      <c r="E39" s="46">
        <f>ROUND(CAD_Params!E10*$V$2*$V$3,0)</f>
        <v>332711</v>
      </c>
      <c r="F39" s="46">
        <f>ROUND(CAD_Params!F10*$V$2*$V$3,0)</f>
        <v>337830</v>
      </c>
      <c r="G39" s="45">
        <f>ROUND(CAD_Params!G10*$V$2*$V$3,0)</f>
        <v>1527671</v>
      </c>
      <c r="H39" s="46">
        <f>ROUND(CAD_Params!H10*$V$2*$V$3,0)</f>
        <v>1576855</v>
      </c>
      <c r="I39" s="27">
        <f>ROUND(CAD_Params!I10*$V$2*$V$3,0)</f>
        <v>1619596</v>
      </c>
      <c r="J39" s="46">
        <f>ROUND(CAD_Params!J10*$V$2*$V$3,0)</f>
        <v>1705990</v>
      </c>
      <c r="K39" s="46">
        <f>ROUND(CAD_Params!K10*$V$2*$V$3,0)</f>
        <v>1779917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6.05" customHeight="1" x14ac:dyDescent="0.3">
      <c r="A40" s="65" t="str">
        <f>IF(B4="USD","USD conversion at 0.725 CAD/USD (Bank of Canada 2025 annual average).","")</f>
        <v>USD conversion at 0.725 CAD/USD (Bank of Canada 2025 annual average).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6.05" customHeight="1" x14ac:dyDescent="0.3">
      <c r="A41" s="106" t="s">
        <v>34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4"/>
      <c r="V41" s="4"/>
    </row>
  </sheetData>
  <mergeCells count="13">
    <mergeCell ref="A2:T2"/>
    <mergeCell ref="G31:K31"/>
    <mergeCell ref="G6:K6"/>
    <mergeCell ref="A5:T5"/>
    <mergeCell ref="A1:T1"/>
    <mergeCell ref="B6:F6"/>
    <mergeCell ref="A17:T17"/>
    <mergeCell ref="A3:T3"/>
    <mergeCell ref="A41:T41"/>
    <mergeCell ref="B18:F18"/>
    <mergeCell ref="G18:K18"/>
    <mergeCell ref="A30:T30"/>
    <mergeCell ref="B31:F31"/>
  </mergeCells>
  <dataValidations count="1">
    <dataValidation type="list" sqref="B4" xr:uid="{00000000-0002-0000-0200-000000000000}">
      <formula1>"CAD,USD"</formula1>
    </dataValidation>
  </dataValidations>
  <hyperlinks>
    <hyperlink ref="A1" r:id="rId1" xr:uid="{00000000-0004-0000-0200-000000000000}"/>
    <hyperlink ref="A41" r:id="rId2" xr:uid="{00000000-0004-0000-0200-000001000000}"/>
  </hyperlinks>
  <pageMargins left="0.75" right="0.75" top="1" bottom="1" header="0.5" footer="0.5"/>
  <ignoredErrors>
    <ignoredError sqref="A1:U60" numberStoredAsText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W35"/>
  <sheetViews>
    <sheetView showGridLines="0" workbookViewId="0">
      <selection activeCell="D8" sqref="D8:F8"/>
    </sheetView>
  </sheetViews>
  <sheetFormatPr defaultRowHeight="14.4" x14ac:dyDescent="0.3"/>
  <cols>
    <col min="1" max="1" width="22" customWidth="1"/>
    <col min="2" max="21" width="13" customWidth="1"/>
    <col min="23" max="23" width="13" hidden="1" customWidth="1"/>
  </cols>
  <sheetData>
    <row r="1" spans="1:23" ht="28.05" customHeight="1" x14ac:dyDescent="0.3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4"/>
      <c r="W1" s="4" t="s">
        <v>35</v>
      </c>
    </row>
    <row r="2" spans="1:23" ht="22.05" customHeight="1" x14ac:dyDescent="0.3">
      <c r="A2" s="92" t="s">
        <v>85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4"/>
      <c r="W2" s="4">
        <f>VLOOKUP(D8,FO_Params!A3:B8,2,FALSE)</f>
        <v>1</v>
      </c>
    </row>
    <row r="3" spans="1:23" ht="3" customHeight="1" x14ac:dyDescent="0.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4"/>
      <c r="W3" s="4" t="s">
        <v>3</v>
      </c>
    </row>
    <row r="4" spans="1:23" ht="6" customHeigh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8"/>
      <c r="V4" s="4"/>
      <c r="W4" s="4">
        <f>FO_Params!B32</f>
        <v>1.019803902718557</v>
      </c>
    </row>
    <row r="5" spans="1:23" ht="28.05" customHeight="1" x14ac:dyDescent="0.3">
      <c r="A5" s="103" t="s">
        <v>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4"/>
      <c r="W5" s="4" t="s">
        <v>40</v>
      </c>
    </row>
    <row r="6" spans="1:23" ht="6" customHeight="1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4"/>
      <c r="W6" s="49">
        <f>VLOOKUP(G8,FO_Params!A24:B28,2,FALSE)</f>
        <v>1</v>
      </c>
    </row>
    <row r="7" spans="1:23" ht="18" customHeight="1" thickBot="1" x14ac:dyDescent="0.35">
      <c r="A7" s="9" t="s">
        <v>37</v>
      </c>
      <c r="B7" s="28"/>
      <c r="C7" s="28"/>
      <c r="D7" s="105" t="s">
        <v>38</v>
      </c>
      <c r="E7" s="91"/>
      <c r="F7" s="91"/>
      <c r="G7" s="9" t="s">
        <v>39</v>
      </c>
      <c r="H7" s="28"/>
      <c r="I7" s="77" t="s">
        <v>6</v>
      </c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4"/>
      <c r="W7" s="4"/>
    </row>
    <row r="8" spans="1:23" ht="18" customHeight="1" thickBot="1" x14ac:dyDescent="0.35">
      <c r="A8" s="44">
        <v>10</v>
      </c>
      <c r="B8" s="28"/>
      <c r="C8" s="28"/>
      <c r="D8" s="94" t="s">
        <v>58</v>
      </c>
      <c r="E8" s="95"/>
      <c r="F8" s="96"/>
      <c r="G8" s="44">
        <v>3</v>
      </c>
      <c r="H8" s="28"/>
      <c r="I8" s="78">
        <v>0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4"/>
      <c r="W8" s="4"/>
    </row>
    <row r="9" spans="1:23" ht="13.95" customHeight="1" x14ac:dyDescent="0.3">
      <c r="A9" s="35" t="s">
        <v>86</v>
      </c>
      <c r="B9" s="28"/>
      <c r="C9" s="28"/>
      <c r="D9" s="104" t="s">
        <v>87</v>
      </c>
      <c r="E9" s="91"/>
      <c r="F9" s="91"/>
      <c r="G9" s="35" t="s">
        <v>7</v>
      </c>
      <c r="H9" s="28"/>
      <c r="I9" s="79" t="s">
        <v>8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4"/>
      <c r="W9" s="4"/>
    </row>
    <row r="10" spans="1:23" ht="6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22.05" customHeight="1" x14ac:dyDescent="0.3">
      <c r="A11" s="107" t="str">
        <f>"Investment Professionals ("&amp;TEXT(A8,"$#.0")&amp;"B AUM, C"&amp;G8&amp;")"</f>
        <v>Investment Professionals ($10.0B AUM, C3)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4"/>
      <c r="W11" s="4"/>
    </row>
    <row r="12" spans="1:23" ht="19.95" customHeight="1" x14ac:dyDescent="0.3">
      <c r="A12" s="13"/>
      <c r="B12" s="97" t="s">
        <v>9</v>
      </c>
      <c r="C12" s="98"/>
      <c r="D12" s="98"/>
      <c r="E12" s="98"/>
      <c r="F12" s="98"/>
      <c r="G12" s="102" t="s">
        <v>44</v>
      </c>
      <c r="H12" s="98"/>
      <c r="I12" s="98"/>
      <c r="J12" s="98"/>
      <c r="K12" s="98"/>
      <c r="L12" s="99" t="s">
        <v>45</v>
      </c>
      <c r="M12" s="98"/>
      <c r="N12" s="98"/>
      <c r="O12" s="98"/>
      <c r="P12" s="98"/>
      <c r="Q12" s="102" t="s">
        <v>46</v>
      </c>
      <c r="R12" s="98"/>
      <c r="S12" s="98"/>
      <c r="T12" s="98"/>
      <c r="U12" s="98"/>
      <c r="V12" s="4"/>
      <c r="W12" s="4"/>
    </row>
    <row r="13" spans="1:23" ht="19.95" customHeight="1" x14ac:dyDescent="0.3">
      <c r="A13" s="14" t="s">
        <v>12</v>
      </c>
      <c r="B13" s="15" t="s">
        <v>13</v>
      </c>
      <c r="C13" s="16" t="s">
        <v>14</v>
      </c>
      <c r="D13" s="16" t="s">
        <v>15</v>
      </c>
      <c r="E13" s="16" t="s">
        <v>16</v>
      </c>
      <c r="F13" s="16" t="s">
        <v>17</v>
      </c>
      <c r="G13" s="15" t="s">
        <v>13</v>
      </c>
      <c r="H13" s="16" t="s">
        <v>14</v>
      </c>
      <c r="I13" s="16" t="s">
        <v>15</v>
      </c>
      <c r="J13" s="16" t="s">
        <v>16</v>
      </c>
      <c r="K13" s="16" t="s">
        <v>17</v>
      </c>
      <c r="L13" s="15" t="s">
        <v>13</v>
      </c>
      <c r="M13" s="16" t="s">
        <v>14</v>
      </c>
      <c r="N13" s="16" t="s">
        <v>15</v>
      </c>
      <c r="O13" s="16" t="s">
        <v>16</v>
      </c>
      <c r="P13" s="16" t="s">
        <v>17</v>
      </c>
      <c r="Q13" s="15" t="s">
        <v>13</v>
      </c>
      <c r="R13" s="16" t="s">
        <v>14</v>
      </c>
      <c r="S13" s="16" t="s">
        <v>15</v>
      </c>
      <c r="T13" s="16" t="s">
        <v>16</v>
      </c>
      <c r="U13" s="16" t="s">
        <v>17</v>
      </c>
      <c r="V13" s="4"/>
      <c r="W13" s="4"/>
    </row>
    <row r="14" spans="1:23" ht="18" customHeight="1" x14ac:dyDescent="0.3">
      <c r="A14" s="17" t="s">
        <v>18</v>
      </c>
      <c r="B14" s="18">
        <f>ROUND(IF($A$8&lt;=1,FO_Params!C12*1000,FO_Params!C12*POWER($A$8,LN(FO_Params!D12/FO_Params!C12)/LN(50))*1000)*(1+($W$6-1)*0.3)*$W$2*$W$4*(1+FO_Params!A37*FO_Params!$B$33),0)</f>
        <v>70739</v>
      </c>
      <c r="C14" s="19">
        <f>ROUND(IF($A$8&lt;=1,FO_Params!C12*1000,FO_Params!C12*POWER($A$8,LN(FO_Params!D12/FO_Params!C12)/LN(50))*1000)*(1+($W$6-1)*0.3)*$W$2*$W$4*(1+FO_Params!B37*FO_Params!$B$33),0)</f>
        <v>86563</v>
      </c>
      <c r="D14" s="20">
        <f>ROUND(IF($A$8&lt;=1,FO_Params!C12*1000,FO_Params!C12*POWER($A$8,LN(FO_Params!D12/FO_Params!C12)/LN(50))*1000)*(1+($W$6-1)*0.3)*$W$2*$W$4*(1+FO_Params!C37*FO_Params!$B$33),0)</f>
        <v>104105</v>
      </c>
      <c r="E14" s="19">
        <f>ROUND(IF($A$8&lt;=1,FO_Params!C12*1000,FO_Params!C12*POWER($A$8,LN(FO_Params!D12/FO_Params!C12)/LN(50))*1000)*(1+($W$6-1)*0.3)*$W$2*$W$4*(1+FO_Params!D37*FO_Params!$B$33),0)</f>
        <v>121647</v>
      </c>
      <c r="F14" s="19">
        <f>ROUND(IF($A$8&lt;=1,FO_Params!C12*1000,FO_Params!C12*POWER($A$8,LN(FO_Params!D12/FO_Params!C12)/LN(50))*1000)*(1+($W$6-1)*0.3)*$W$2*$W$4*(1+FO_Params!E37*FO_Params!$B$33),0)</f>
        <v>137471</v>
      </c>
      <c r="G14" s="18">
        <f>ROUND(POWER(10,FO_Params!F12+FO_Params!E12*LOG10($A$8))*1000000*(1+($W$6-1)*0.3)*$W$2*$W$4*(1+FO_Params!A37*FO_Params!$B$33)*(1+$I$8/100*FO_Params!A40),0)</f>
        <v>75632</v>
      </c>
      <c r="H14" s="19">
        <f>ROUND(POWER(10,FO_Params!F12+FO_Params!E12*LOG10($A$8))*1000000*(1+($W$6-1)*0.3)*$W$2*$W$4*(1+FO_Params!B37*FO_Params!$B$33)*(1+$I$8/100*FO_Params!A40),0)</f>
        <v>92551</v>
      </c>
      <c r="I14" s="20">
        <f>ROUND(POWER(10,FO_Params!F12+FO_Params!E12*LOG10($A$8))*1000000*(1+($W$6-1)*0.3)*$W$2*$W$4*(1+FO_Params!C37*FO_Params!$B$33)*(1+$I$8/100*FO_Params!A40),0)</f>
        <v>111306</v>
      </c>
      <c r="J14" s="19">
        <f>ROUND(POWER(10,FO_Params!F12+FO_Params!E12*LOG10($A$8))*1000000*(1+($W$6-1)*0.3)*$W$2*$W$4*(1+FO_Params!D37*FO_Params!$B$33)*(1+$I$8/100*FO_Params!A40),0)</f>
        <v>130060</v>
      </c>
      <c r="K14" s="19">
        <f>ROUND(POWER(10,FO_Params!F12+FO_Params!E12*LOG10($A$8))*1000000*(1+($W$6-1)*0.3)*$W$2*$W$4*(1+FO_Params!E37*FO_Params!$B$33)*(1+$I$8/100*FO_Params!A40),0)</f>
        <v>146979</v>
      </c>
      <c r="L14" s="18">
        <f>ROUND((IF($A$8&lt;=1,FO_Params!C12*1000,FO_Params!C12*POWER($A$8,LN(FO_Params!D12/FO_Params!C12)/LN(50))*1000)+MAX(POWER(10,FO_Params!F12+FO_Params!E12*LOG10($A$8))*1000000-IF($A$8&lt;=1,FO_Params!C12*1000,FO_Params!C12*POWER($A$8,LN(FO_Params!D12/FO_Params!C12)/LN(50))*1000),0)/1.2)*(1+($W$6-1)*0.3)*$W$2*$W$4*(1+FO_Params!A37*FO_Params!$B$33)*(1+$I$8/100*FO_Params!A40),0)</f>
        <v>74817</v>
      </c>
      <c r="M14" s="19">
        <f>ROUND((IF($A$8&lt;=1,FO_Params!C12*1000,FO_Params!C12*POWER($A$8,LN(FO_Params!D12/FO_Params!C12)/LN(50))*1000)+MAX(POWER(10,FO_Params!F12+FO_Params!E12*LOG10($A$8))*1000000-IF($A$8&lt;=1,FO_Params!C12*1000,FO_Params!C12*POWER($A$8,LN(FO_Params!D12/FO_Params!C12)/LN(50))*1000),0)/1.2)*(1+($W$6-1)*0.3)*$W$2*$W$4*(1+FO_Params!B37*FO_Params!$B$33)*(1+$I$8/100*FO_Params!A40),0)</f>
        <v>91553</v>
      </c>
      <c r="N14" s="20">
        <f>ROUND((IF($A$8&lt;=1,FO_Params!C12*1000,FO_Params!C12*POWER($A$8,LN(FO_Params!D12/FO_Params!C12)/LN(50))*1000)+MAX(POWER(10,FO_Params!F12+FO_Params!E12*LOG10($A$8))*1000000-IF($A$8&lt;=1,FO_Params!C12*1000,FO_Params!C12*POWER($A$8,LN(FO_Params!D12/FO_Params!C12)/LN(50))*1000),0)/1.2)*(1+($W$6-1)*0.3)*$W$2*$W$4*(1+FO_Params!C37*FO_Params!$B$33)*(1+$I$8/100*FO_Params!A40),0)</f>
        <v>110105</v>
      </c>
      <c r="O14" s="19">
        <f>ROUND((IF($A$8&lt;=1,FO_Params!C12*1000,FO_Params!C12*POWER($A$8,LN(FO_Params!D12/FO_Params!C12)/LN(50))*1000)+MAX(POWER(10,FO_Params!F12+FO_Params!E12*LOG10($A$8))*1000000-IF($A$8&lt;=1,FO_Params!C12*1000,FO_Params!C12*POWER($A$8,LN(FO_Params!D12/FO_Params!C12)/LN(50))*1000),0)/1.2)*(1+($W$6-1)*0.3)*$W$2*$W$4*(1+FO_Params!D37*FO_Params!$B$33)*(1+$I$8/100*FO_Params!A40),0)</f>
        <v>128658</v>
      </c>
      <c r="P14" s="19">
        <f>ROUND((IF($A$8&lt;=1,FO_Params!C12*1000,FO_Params!C12*POWER($A$8,LN(FO_Params!D12/FO_Params!C12)/LN(50))*1000)+MAX(POWER(10,FO_Params!F12+FO_Params!E12*LOG10($A$8))*1000000-IF($A$8&lt;=1,FO_Params!C12*1000,FO_Params!C12*POWER($A$8,LN(FO_Params!D12/FO_Params!C12)/LN(50))*1000),0)/1.2)*(1+($W$6-1)*0.3)*$W$2*$W$4*(1+FO_Params!E37*FO_Params!$B$33)*(1+$I$8/100*FO_Params!A40),0)</f>
        <v>145394</v>
      </c>
      <c r="Q14" s="18">
        <f>ROUND((IF($A$8&lt;=1,FO_Params!C12*1000,FO_Params!C12*POWER($A$8,LN(FO_Params!D12/FO_Params!C12)/LN(50))*1000)+2*MAX(POWER(10,FO_Params!F12+FO_Params!E12*LOG10($A$8))*1000000-IF($A$8&lt;=1,FO_Params!C12*1000,FO_Params!C12*POWER($A$8,LN(FO_Params!D12/FO_Params!C12)/LN(50))*1000),0)/1.2)*(1+($W$6-1)*0.3)*$W$2*$W$4*(1+FO_Params!A37*FO_Params!$B$33)*(1+$I$8/100*FO_Params!A40),0)</f>
        <v>78894</v>
      </c>
      <c r="R14" s="19">
        <f>ROUND((IF($A$8&lt;=1,FO_Params!C12*1000,FO_Params!C12*POWER($A$8,LN(FO_Params!D12/FO_Params!C12)/LN(50))*1000)+2*MAX(POWER(10,FO_Params!F12+FO_Params!E12*LOG10($A$8))*1000000-IF($A$8&lt;=1,FO_Params!C12*1000,FO_Params!C12*POWER($A$8,LN(FO_Params!D12/FO_Params!C12)/LN(50))*1000),0)/1.2)*(1+($W$6-1)*0.3)*$W$2*$W$4*(1+FO_Params!B37*FO_Params!$B$33)*(1+$I$8/100*FO_Params!A40),0)</f>
        <v>96542</v>
      </c>
      <c r="S14" s="20">
        <f>ROUND((IF($A$8&lt;=1,FO_Params!C12*1000,FO_Params!C12*POWER($A$8,LN(FO_Params!D12/FO_Params!C12)/LN(50))*1000)+2*MAX(POWER(10,FO_Params!F12+FO_Params!E12*LOG10($A$8))*1000000-IF($A$8&lt;=1,FO_Params!C12*1000,FO_Params!C12*POWER($A$8,LN(FO_Params!D12/FO_Params!C12)/LN(50))*1000),0)/1.2)*(1+($W$6-1)*0.3)*$W$2*$W$4*(1+FO_Params!C37*FO_Params!$B$33)*(1+$I$8/100*FO_Params!A40),0)</f>
        <v>116106</v>
      </c>
      <c r="T14" s="19">
        <f>ROUND((IF($A$8&lt;=1,FO_Params!C12*1000,FO_Params!C12*POWER($A$8,LN(FO_Params!D12/FO_Params!C12)/LN(50))*1000)+2*MAX(POWER(10,FO_Params!F12+FO_Params!E12*LOG10($A$8))*1000000-IF($A$8&lt;=1,FO_Params!C12*1000,FO_Params!C12*POWER($A$8,LN(FO_Params!D12/FO_Params!C12)/LN(50))*1000),0)/1.2)*(1+($W$6-1)*0.3)*$W$2*$W$4*(1+FO_Params!D37*FO_Params!$B$33)*(1+$I$8/100*FO_Params!A40),0)</f>
        <v>135670</v>
      </c>
      <c r="U14" s="19">
        <f>ROUND((IF($A$8&lt;=1,FO_Params!C12*1000,FO_Params!C12*POWER($A$8,LN(FO_Params!D12/FO_Params!C12)/LN(50))*1000)+2*MAX(POWER(10,FO_Params!F12+FO_Params!E12*LOG10($A$8))*1000000-IF($A$8&lt;=1,FO_Params!C12*1000,FO_Params!C12*POWER($A$8,LN(FO_Params!D12/FO_Params!C12)/LN(50))*1000),0)/1.2)*(1+($W$6-1)*0.3)*$W$2*$W$4*(1+FO_Params!E37*FO_Params!$B$33)*(1+$I$8/100*FO_Params!A40),0)</f>
        <v>153318</v>
      </c>
      <c r="V14" s="4"/>
      <c r="W14" s="4"/>
    </row>
    <row r="15" spans="1:23" ht="18" customHeight="1" x14ac:dyDescent="0.3">
      <c r="A15" s="21" t="s">
        <v>19</v>
      </c>
      <c r="B15" s="22">
        <f>ROUND(IF($A$8&lt;=1,FO_Params!C13*1000,FO_Params!C13*POWER($A$8,LN(FO_Params!D13/FO_Params!C13)/LN(50))*1000)*(1+($W$6-1)*0.4)*$W$2*$W$4*(1+FO_Params!A37*FO_Params!$B$33),0)</f>
        <v>101164</v>
      </c>
      <c r="C15" s="23">
        <f>ROUND(IF($A$8&lt;=1,FO_Params!C13*1000,FO_Params!C13*POWER($A$8,LN(FO_Params!D13/FO_Params!C13)/LN(50))*1000)*(1+($W$6-1)*0.4)*$W$2*$W$4*(1+FO_Params!B37*FO_Params!$B$33),0)</f>
        <v>123794</v>
      </c>
      <c r="D15" s="20">
        <f>ROUND(IF($A$8&lt;=1,FO_Params!C13*1000,FO_Params!C13*POWER($A$8,LN(FO_Params!D13/FO_Params!C13)/LN(50))*1000)*(1+($W$6-1)*0.4)*$W$2*$W$4*(1+FO_Params!C37*FO_Params!$B$33),0)</f>
        <v>148880</v>
      </c>
      <c r="E15" s="23">
        <f>ROUND(IF($A$8&lt;=1,FO_Params!C13*1000,FO_Params!C13*POWER($A$8,LN(FO_Params!D13/FO_Params!C13)/LN(50))*1000)*(1+($W$6-1)*0.4)*$W$2*$W$4*(1+FO_Params!D37*FO_Params!$B$33),0)</f>
        <v>173966</v>
      </c>
      <c r="F15" s="23">
        <f>ROUND(IF($A$8&lt;=1,FO_Params!C13*1000,FO_Params!C13*POWER($A$8,LN(FO_Params!D13/FO_Params!C13)/LN(50))*1000)*(1+($W$6-1)*0.4)*$W$2*$W$4*(1+FO_Params!E37*FO_Params!$B$33),0)</f>
        <v>196596</v>
      </c>
      <c r="G15" s="22">
        <f>ROUND(POWER(10,FO_Params!F13+FO_Params!E13*LOG10($A$8))*1000000*(1+($W$6-1)*0.4)*$W$2*$W$4*(1+FO_Params!A37*FO_Params!$B$33)*(1+$I$8/100*FO_Params!B40),0)</f>
        <v>116602</v>
      </c>
      <c r="H15" s="23">
        <f>ROUND(POWER(10,FO_Params!F13+FO_Params!E13*LOG10($A$8))*1000000*(1+($W$6-1)*0.4)*$W$2*$W$4*(1+FO_Params!B37*FO_Params!$B$33)*(1+$I$8/100*FO_Params!B40),0)</f>
        <v>142685</v>
      </c>
      <c r="I15" s="20">
        <f>ROUND(POWER(10,FO_Params!F13+FO_Params!E13*LOG10($A$8))*1000000*(1+($W$6-1)*0.4)*$W$2*$W$4*(1+FO_Params!C37*FO_Params!$B$33)*(1+$I$8/100*FO_Params!B40),0)</f>
        <v>171600</v>
      </c>
      <c r="J15" s="23">
        <f>ROUND(POWER(10,FO_Params!F13+FO_Params!E13*LOG10($A$8))*1000000*(1+($W$6-1)*0.4)*$W$2*$W$4*(1+FO_Params!D37*FO_Params!$B$33)*(1+$I$8/100*FO_Params!B40),0)</f>
        <v>200514</v>
      </c>
      <c r="K15" s="23">
        <f>ROUND(POWER(10,FO_Params!F13+FO_Params!E13*LOG10($A$8))*1000000*(1+($W$6-1)*0.4)*$W$2*$W$4*(1+FO_Params!E37*FO_Params!$B$33)*(1+$I$8/100*FO_Params!B40),0)</f>
        <v>226597</v>
      </c>
      <c r="L15" s="22">
        <f>ROUND((IF($A$8&lt;=1,FO_Params!C13*1000,FO_Params!C13*POWER($A$8,LN(FO_Params!D13/FO_Params!C13)/LN(50))*1000)+MAX(POWER(10,FO_Params!F13+FO_Params!E13*LOG10($A$8))*1000000-IF($A$8&lt;=1,FO_Params!C13*1000,FO_Params!C13*POWER($A$8,LN(FO_Params!D13/FO_Params!C13)/LN(50))*1000),0)/1.2)*(1+($W$6-1)*0.4)*$W$2*$W$4*(1+FO_Params!A37*FO_Params!$B$33)*(1+$I$8/100*FO_Params!B40),0)</f>
        <v>114029</v>
      </c>
      <c r="M15" s="23">
        <f>ROUND((IF($A$8&lt;=1,FO_Params!C13*1000,FO_Params!C13*POWER($A$8,LN(FO_Params!D13/FO_Params!C13)/LN(50))*1000)+MAX(POWER(10,FO_Params!F13+FO_Params!E13*LOG10($A$8))*1000000-IF($A$8&lt;=1,FO_Params!C13*1000,FO_Params!C13*POWER($A$8,LN(FO_Params!D13/FO_Params!C13)/LN(50))*1000),0)/1.2)*(1+($W$6-1)*0.4)*$W$2*$W$4*(1+FO_Params!B37*FO_Params!$B$33)*(1+$I$8/100*FO_Params!B40),0)</f>
        <v>139537</v>
      </c>
      <c r="N15" s="20">
        <f>ROUND((IF($A$8&lt;=1,FO_Params!C13*1000,FO_Params!C13*POWER($A$8,LN(FO_Params!D13/FO_Params!C13)/LN(50))*1000)+MAX(POWER(10,FO_Params!F13+FO_Params!E13*LOG10($A$8))*1000000-IF($A$8&lt;=1,FO_Params!C13*1000,FO_Params!C13*POWER($A$8,LN(FO_Params!D13/FO_Params!C13)/LN(50))*1000),0)/1.2)*(1+($W$6-1)*0.4)*$W$2*$W$4*(1+FO_Params!C37*FO_Params!$B$33)*(1+$I$8/100*FO_Params!B40),0)</f>
        <v>167813</v>
      </c>
      <c r="O15" s="23">
        <f>ROUND((IF($A$8&lt;=1,FO_Params!C13*1000,FO_Params!C13*POWER($A$8,LN(FO_Params!D13/FO_Params!C13)/LN(50))*1000)+MAX(POWER(10,FO_Params!F13+FO_Params!E13*LOG10($A$8))*1000000-IF($A$8&lt;=1,FO_Params!C13*1000,FO_Params!C13*POWER($A$8,LN(FO_Params!D13/FO_Params!C13)/LN(50))*1000),0)/1.2)*(1+($W$6-1)*0.4)*$W$2*$W$4*(1+FO_Params!D37*FO_Params!$B$33)*(1+$I$8/100*FO_Params!B40),0)</f>
        <v>196090</v>
      </c>
      <c r="P15" s="23">
        <f>ROUND((IF($A$8&lt;=1,FO_Params!C13*1000,FO_Params!C13*POWER($A$8,LN(FO_Params!D13/FO_Params!C13)/LN(50))*1000)+MAX(POWER(10,FO_Params!F13+FO_Params!E13*LOG10($A$8))*1000000-IF($A$8&lt;=1,FO_Params!C13*1000,FO_Params!C13*POWER($A$8,LN(FO_Params!D13/FO_Params!C13)/LN(50))*1000),0)/1.2)*(1+($W$6-1)*0.4)*$W$2*$W$4*(1+FO_Params!E37*FO_Params!$B$33)*(1+$I$8/100*FO_Params!B40),0)</f>
        <v>221597</v>
      </c>
      <c r="Q15" s="22">
        <f>ROUND((IF($A$8&lt;=1,FO_Params!C13*1000,FO_Params!C13*POWER($A$8,LN(FO_Params!D13/FO_Params!C13)/LN(50))*1000)+2*MAX(POWER(10,FO_Params!F13+FO_Params!E13*LOG10($A$8))*1000000-IF($A$8&lt;=1,FO_Params!C13*1000,FO_Params!C13*POWER($A$8,LN(FO_Params!D13/FO_Params!C13)/LN(50))*1000),0)/1.2)*(1+($W$6-1)*0.4)*$W$2*$W$4*(1+FO_Params!A37*FO_Params!$B$33)*(1+$I$8/100*FO_Params!B40),0)</f>
        <v>126894</v>
      </c>
      <c r="R15" s="23">
        <f>ROUND((IF($A$8&lt;=1,FO_Params!C13*1000,FO_Params!C13*POWER($A$8,LN(FO_Params!D13/FO_Params!C13)/LN(50))*1000)+2*MAX(POWER(10,FO_Params!F13+FO_Params!E13*LOG10($A$8))*1000000-IF($A$8&lt;=1,FO_Params!C13*1000,FO_Params!C13*POWER($A$8,LN(FO_Params!D13/FO_Params!C13)/LN(50))*1000),0)/1.2)*(1+($W$6-1)*0.4)*$W$2*$W$4*(1+FO_Params!B37*FO_Params!$B$33)*(1+$I$8/100*FO_Params!B40),0)</f>
        <v>155280</v>
      </c>
      <c r="S15" s="20">
        <f>ROUND((IF($A$8&lt;=1,FO_Params!C13*1000,FO_Params!C13*POWER($A$8,LN(FO_Params!D13/FO_Params!C13)/LN(50))*1000)+2*MAX(POWER(10,FO_Params!F13+FO_Params!E13*LOG10($A$8))*1000000-IF($A$8&lt;=1,FO_Params!C13*1000,FO_Params!C13*POWER($A$8,LN(FO_Params!D13/FO_Params!C13)/LN(50))*1000),0)/1.2)*(1+($W$6-1)*0.4)*$W$2*$W$4*(1+FO_Params!C37*FO_Params!$B$33)*(1+$I$8/100*FO_Params!B40),0)</f>
        <v>186746</v>
      </c>
      <c r="T15" s="23">
        <f>ROUND((IF($A$8&lt;=1,FO_Params!C13*1000,FO_Params!C13*POWER($A$8,LN(FO_Params!D13/FO_Params!C13)/LN(50))*1000)+2*MAX(POWER(10,FO_Params!F13+FO_Params!E13*LOG10($A$8))*1000000-IF($A$8&lt;=1,FO_Params!C13*1000,FO_Params!C13*POWER($A$8,LN(FO_Params!D13/FO_Params!C13)/LN(50))*1000),0)/1.2)*(1+($W$6-1)*0.4)*$W$2*$W$4*(1+FO_Params!D37*FO_Params!$B$33)*(1+$I$8/100*FO_Params!B40),0)</f>
        <v>218213</v>
      </c>
      <c r="U15" s="23">
        <f>ROUND((IF($A$8&lt;=1,FO_Params!C13*1000,FO_Params!C13*POWER($A$8,LN(FO_Params!D13/FO_Params!C13)/LN(50))*1000)+2*MAX(POWER(10,FO_Params!F13+FO_Params!E13*LOG10($A$8))*1000000-IF($A$8&lt;=1,FO_Params!C13*1000,FO_Params!C13*POWER($A$8,LN(FO_Params!D13/FO_Params!C13)/LN(50))*1000),0)/1.2)*(1+($W$6-1)*0.4)*$W$2*$W$4*(1+FO_Params!E37*FO_Params!$B$33)*(1+$I$8/100*FO_Params!B40),0)</f>
        <v>246598</v>
      </c>
      <c r="V15" s="4"/>
      <c r="W15" s="4"/>
    </row>
    <row r="16" spans="1:23" ht="18" customHeight="1" x14ac:dyDescent="0.3">
      <c r="A16" s="17" t="s">
        <v>20</v>
      </c>
      <c r="B16" s="18">
        <f>ROUND(IF($A$8&lt;=1,FO_Params!C14*1000,FO_Params!C14*POWER($A$8,LN(FO_Params!D14/FO_Params!C14)/LN(50))*1000)*(1+($W$6-1)*0.5)*$W$2*$W$4*(1+FO_Params!A37*FO_Params!$B$33),0)</f>
        <v>142922</v>
      </c>
      <c r="C16" s="19">
        <f>ROUND(IF($A$8&lt;=1,FO_Params!C14*1000,FO_Params!C14*POWER($A$8,LN(FO_Params!D14/FO_Params!C14)/LN(50))*1000)*(1+($W$6-1)*0.5)*$W$2*$W$4*(1+FO_Params!B37*FO_Params!$B$33),0)</f>
        <v>174893</v>
      </c>
      <c r="D16" s="20">
        <f>ROUND(IF($A$8&lt;=1,FO_Params!C14*1000,FO_Params!C14*POWER($A$8,LN(FO_Params!D14/FO_Params!C14)/LN(50))*1000)*(1+($W$6-1)*0.5)*$W$2*$W$4*(1+FO_Params!C37*FO_Params!$B$33),0)</f>
        <v>210334</v>
      </c>
      <c r="E16" s="19">
        <f>ROUND(IF($A$8&lt;=1,FO_Params!C14*1000,FO_Params!C14*POWER($A$8,LN(FO_Params!D14/FO_Params!C14)/LN(50))*1000)*(1+($W$6-1)*0.5)*$W$2*$W$4*(1+FO_Params!D37*FO_Params!$B$33),0)</f>
        <v>245775</v>
      </c>
      <c r="F16" s="19">
        <f>ROUND(IF($A$8&lt;=1,FO_Params!C14*1000,FO_Params!C14*POWER($A$8,LN(FO_Params!D14/FO_Params!C14)/LN(50))*1000)*(1+($W$6-1)*0.5)*$W$2*$W$4*(1+FO_Params!E37*FO_Params!$B$33),0)</f>
        <v>277746</v>
      </c>
      <c r="G16" s="18">
        <f>ROUND(POWER(10,FO_Params!F14+FO_Params!E14*LOG10($A$8))*1000000*(1+($W$6-1)*0.5)*$W$2*$W$4*(1+FO_Params!A37*FO_Params!$B$33)*(1+$I$8/100*FO_Params!C40),0)</f>
        <v>189542</v>
      </c>
      <c r="H16" s="19">
        <f>ROUND(POWER(10,FO_Params!F14+FO_Params!E14*LOG10($A$8))*1000000*(1+($W$6-1)*0.5)*$W$2*$W$4*(1+FO_Params!B37*FO_Params!$B$33)*(1+$I$8/100*FO_Params!C40),0)</f>
        <v>231942</v>
      </c>
      <c r="I16" s="20">
        <f>ROUND(POWER(10,FO_Params!F14+FO_Params!E14*LOG10($A$8))*1000000*(1+($W$6-1)*0.5)*$W$2*$W$4*(1+FO_Params!C37*FO_Params!$B$33)*(1+$I$8/100*FO_Params!C40),0)</f>
        <v>278944</v>
      </c>
      <c r="J16" s="19">
        <f>ROUND(POWER(10,FO_Params!F14+FO_Params!E14*LOG10($A$8))*1000000*(1+($W$6-1)*0.5)*$W$2*$W$4*(1+FO_Params!D37*FO_Params!$B$33)*(1+$I$8/100*FO_Params!C40),0)</f>
        <v>325946</v>
      </c>
      <c r="K16" s="19">
        <f>ROUND(POWER(10,FO_Params!F14+FO_Params!E14*LOG10($A$8))*1000000*(1+($W$6-1)*0.5)*$W$2*$W$4*(1+FO_Params!E37*FO_Params!$B$33)*(1+$I$8/100*FO_Params!C40),0)</f>
        <v>368345</v>
      </c>
      <c r="L16" s="18">
        <f>ROUND((IF($A$8&lt;=1,FO_Params!C14*1000,FO_Params!C14*POWER($A$8,LN(FO_Params!D14/FO_Params!C14)/LN(50))*1000)+MAX(POWER(10,FO_Params!F14+FO_Params!E14*LOG10($A$8))*1000000-IF($A$8&lt;=1,FO_Params!C14*1000,FO_Params!C14*POWER($A$8,LN(FO_Params!D14/FO_Params!C14)/LN(50))*1000),0)/1.2)*(1+($W$6-1)*0.5)*$W$2*$W$4*(1+FO_Params!A37*FO_Params!$B$33)*(1+$I$8/100*FO_Params!C40),0)</f>
        <v>181772</v>
      </c>
      <c r="M16" s="19">
        <f>ROUND((IF($A$8&lt;=1,FO_Params!C14*1000,FO_Params!C14*POWER($A$8,LN(FO_Params!D14/FO_Params!C14)/LN(50))*1000)+MAX(POWER(10,FO_Params!F14+FO_Params!E14*LOG10($A$8))*1000000-IF($A$8&lt;=1,FO_Params!C14*1000,FO_Params!C14*POWER($A$8,LN(FO_Params!D14/FO_Params!C14)/LN(50))*1000),0)/1.2)*(1+($W$6-1)*0.5)*$W$2*$W$4*(1+FO_Params!B37*FO_Params!$B$33)*(1+$I$8/100*FO_Params!C40),0)</f>
        <v>222434</v>
      </c>
      <c r="N16" s="20">
        <f>ROUND((IF($A$8&lt;=1,FO_Params!C14*1000,FO_Params!C14*POWER($A$8,LN(FO_Params!D14/FO_Params!C14)/LN(50))*1000)+MAX(POWER(10,FO_Params!F14+FO_Params!E14*LOG10($A$8))*1000000-IF($A$8&lt;=1,FO_Params!C14*1000,FO_Params!C14*POWER($A$8,LN(FO_Params!D14/FO_Params!C14)/LN(50))*1000),0)/1.2)*(1+($W$6-1)*0.5)*$W$2*$W$4*(1+FO_Params!C37*FO_Params!$B$33)*(1+$I$8/100*FO_Params!C40),0)</f>
        <v>267509</v>
      </c>
      <c r="O16" s="19">
        <f>ROUND((IF($A$8&lt;=1,FO_Params!C14*1000,FO_Params!C14*POWER($A$8,LN(FO_Params!D14/FO_Params!C14)/LN(50))*1000)+MAX(POWER(10,FO_Params!F14+FO_Params!E14*LOG10($A$8))*1000000-IF($A$8&lt;=1,FO_Params!C14*1000,FO_Params!C14*POWER($A$8,LN(FO_Params!D14/FO_Params!C14)/LN(50))*1000),0)/1.2)*(1+($W$6-1)*0.5)*$W$2*$W$4*(1+FO_Params!D37*FO_Params!$B$33)*(1+$I$8/100*FO_Params!C40),0)</f>
        <v>312584</v>
      </c>
      <c r="P16" s="19">
        <f>ROUND((IF($A$8&lt;=1,FO_Params!C14*1000,FO_Params!C14*POWER($A$8,LN(FO_Params!D14/FO_Params!C14)/LN(50))*1000)+MAX(POWER(10,FO_Params!F14+FO_Params!E14*LOG10($A$8))*1000000-IF($A$8&lt;=1,FO_Params!C14*1000,FO_Params!C14*POWER($A$8,LN(FO_Params!D14/FO_Params!C14)/LN(50))*1000),0)/1.2)*(1+($W$6-1)*0.5)*$W$2*$W$4*(1+FO_Params!E37*FO_Params!$B$33)*(1+$I$8/100*FO_Params!C40),0)</f>
        <v>353245</v>
      </c>
      <c r="Q16" s="18">
        <f>ROUND((IF($A$8&lt;=1,FO_Params!C14*1000,FO_Params!C14*POWER($A$8,LN(FO_Params!D14/FO_Params!C14)/LN(50))*1000)+2*MAX(POWER(10,FO_Params!F14+FO_Params!E14*LOG10($A$8))*1000000-IF($A$8&lt;=1,FO_Params!C14*1000,FO_Params!C14*POWER($A$8,LN(FO_Params!D14/FO_Params!C14)/LN(50))*1000),0)/1.2)*(1+($W$6-1)*0.5)*$W$2*$W$4*(1+FO_Params!A37*FO_Params!$B$33)*(1+$I$8/100*FO_Params!C40),0)</f>
        <v>220622</v>
      </c>
      <c r="R16" s="19">
        <f>ROUND((IF($A$8&lt;=1,FO_Params!C14*1000,FO_Params!C14*POWER($A$8,LN(FO_Params!D14/FO_Params!C14)/LN(50))*1000)+2*MAX(POWER(10,FO_Params!F14+FO_Params!E14*LOG10($A$8))*1000000-IF($A$8&lt;=1,FO_Params!C14*1000,FO_Params!C14*POWER($A$8,LN(FO_Params!D14/FO_Params!C14)/LN(50))*1000),0)/1.2)*(1+($W$6-1)*0.5)*$W$2*$W$4*(1+FO_Params!B37*FO_Params!$B$33)*(1+$I$8/100*FO_Params!C40),0)</f>
        <v>269974</v>
      </c>
      <c r="S16" s="20">
        <f>ROUND((IF($A$8&lt;=1,FO_Params!C14*1000,FO_Params!C14*POWER($A$8,LN(FO_Params!D14/FO_Params!C14)/LN(50))*1000)+2*MAX(POWER(10,FO_Params!F14+FO_Params!E14*LOG10($A$8))*1000000-IF($A$8&lt;=1,FO_Params!C14*1000,FO_Params!C14*POWER($A$8,LN(FO_Params!D14/FO_Params!C14)/LN(50))*1000),0)/1.2)*(1+($W$6-1)*0.5)*$W$2*$W$4*(1+FO_Params!C37*FO_Params!$B$33)*(1+$I$8/100*FO_Params!C40),0)</f>
        <v>324684</v>
      </c>
      <c r="T16" s="19">
        <f>ROUND((IF($A$8&lt;=1,FO_Params!C14*1000,FO_Params!C14*POWER($A$8,LN(FO_Params!D14/FO_Params!C14)/LN(50))*1000)+2*MAX(POWER(10,FO_Params!F14+FO_Params!E14*LOG10($A$8))*1000000-IF($A$8&lt;=1,FO_Params!C14*1000,FO_Params!C14*POWER($A$8,LN(FO_Params!D14/FO_Params!C14)/LN(50))*1000),0)/1.2)*(1+($W$6-1)*0.5)*$W$2*$W$4*(1+FO_Params!D37*FO_Params!$B$33)*(1+$I$8/100*FO_Params!C40),0)</f>
        <v>379393</v>
      </c>
      <c r="U16" s="19">
        <f>ROUND((IF($A$8&lt;=1,FO_Params!C14*1000,FO_Params!C14*POWER($A$8,LN(FO_Params!D14/FO_Params!C14)/LN(50))*1000)+2*MAX(POWER(10,FO_Params!F14+FO_Params!E14*LOG10($A$8))*1000000-IF($A$8&lt;=1,FO_Params!C14*1000,FO_Params!C14*POWER($A$8,LN(FO_Params!D14/FO_Params!C14)/LN(50))*1000),0)/1.2)*(1+($W$6-1)*0.5)*$W$2*$W$4*(1+FO_Params!E37*FO_Params!$B$33)*(1+$I$8/100*FO_Params!C40),0)</f>
        <v>428745</v>
      </c>
      <c r="V16" s="4"/>
      <c r="W16" s="4"/>
    </row>
    <row r="17" spans="1:23" ht="18" customHeight="1" x14ac:dyDescent="0.3">
      <c r="A17" s="21" t="s">
        <v>47</v>
      </c>
      <c r="B17" s="22">
        <f>ROUND(IF($A$8&lt;=1,FO_Params!C15*1000,FO_Params!C15*POWER($A$8,LN(FO_Params!D15/FO_Params!C15)/LN(50))*1000)*(1+($W$6-1)*0.6)*$W$2*$W$4*(1+FO_Params!A37*FO_Params!$B$33),0)</f>
        <v>196025</v>
      </c>
      <c r="C17" s="23">
        <f>ROUND(IF($A$8&lt;=1,FO_Params!C15*1000,FO_Params!C15*POWER($A$8,LN(FO_Params!D15/FO_Params!C15)/LN(50))*1000)*(1+($W$6-1)*0.6)*$W$2*$W$4*(1+FO_Params!B37*FO_Params!$B$33),0)</f>
        <v>239874</v>
      </c>
      <c r="D17" s="20">
        <f>ROUND(IF($A$8&lt;=1,FO_Params!C15*1000,FO_Params!C15*POWER($A$8,LN(FO_Params!D15/FO_Params!C15)/LN(50))*1000)*(1+($W$6-1)*0.6)*$W$2*$W$4*(1+FO_Params!C37*FO_Params!$B$33),0)</f>
        <v>288484</v>
      </c>
      <c r="E17" s="23">
        <f>ROUND(IF($A$8&lt;=1,FO_Params!C15*1000,FO_Params!C15*POWER($A$8,LN(FO_Params!D15/FO_Params!C15)/LN(50))*1000)*(1+($W$6-1)*0.6)*$W$2*$W$4*(1+FO_Params!D37*FO_Params!$B$33),0)</f>
        <v>337093</v>
      </c>
      <c r="F17" s="23">
        <f>ROUND(IF($A$8&lt;=1,FO_Params!C15*1000,FO_Params!C15*POWER($A$8,LN(FO_Params!D15/FO_Params!C15)/LN(50))*1000)*(1+($W$6-1)*0.6)*$W$2*$W$4*(1+FO_Params!E37*FO_Params!$B$33),0)</f>
        <v>380943</v>
      </c>
      <c r="G17" s="22">
        <f>ROUND(POWER(10,FO_Params!F15+FO_Params!E15*LOG10($A$8))*1000000*(1+($W$6-1)*0.6)*$W$2*$W$4*(1+FO_Params!A37*FO_Params!$B$33)*(1+$I$8/100*FO_Params!D40),0)</f>
        <v>273342</v>
      </c>
      <c r="H17" s="23">
        <f>ROUND(POWER(10,FO_Params!F15+FO_Params!E15*LOG10($A$8))*1000000*(1+($W$6-1)*0.6)*$W$2*$W$4*(1+FO_Params!B37*FO_Params!$B$33)*(1+$I$8/100*FO_Params!D40),0)</f>
        <v>334487</v>
      </c>
      <c r="I17" s="20">
        <f>ROUND(POWER(10,FO_Params!F15+FO_Params!E15*LOG10($A$8))*1000000*(1+($W$6-1)*0.6)*$W$2*$W$4*(1+FO_Params!C37*FO_Params!$B$33)*(1+$I$8/100*FO_Params!D40),0)</f>
        <v>402269</v>
      </c>
      <c r="J17" s="23">
        <f>ROUND(POWER(10,FO_Params!F15+FO_Params!E15*LOG10($A$8))*1000000*(1+($W$6-1)*0.6)*$W$2*$W$4*(1+FO_Params!D37*FO_Params!$B$33)*(1+$I$8/100*FO_Params!D40),0)</f>
        <v>470051</v>
      </c>
      <c r="K17" s="23">
        <f>ROUND(POWER(10,FO_Params!F15+FO_Params!E15*LOG10($A$8))*1000000*(1+($W$6-1)*0.6)*$W$2*$W$4*(1+FO_Params!E37*FO_Params!$B$33)*(1+$I$8/100*FO_Params!D40),0)</f>
        <v>531196</v>
      </c>
      <c r="L17" s="22">
        <f>ROUND((IF($A$8&lt;=1,FO_Params!C15*1000,FO_Params!C15*POWER($A$8,LN(FO_Params!D15/FO_Params!C15)/LN(50))*1000)+MAX(POWER(10,FO_Params!F15+FO_Params!E15*LOG10($A$8))*1000000-IF($A$8&lt;=1,FO_Params!C15*1000,FO_Params!C15*POWER($A$8,LN(FO_Params!D15/FO_Params!C15)/LN(50))*1000),0)/1.2)*(1+($W$6-1)*0.6)*$W$2*$W$4*(1+FO_Params!A37*FO_Params!$B$33)*(1+$I$8/100*FO_Params!D40),0)</f>
        <v>260456</v>
      </c>
      <c r="M17" s="23">
        <f>ROUND((IF($A$8&lt;=1,FO_Params!C15*1000,FO_Params!C15*POWER($A$8,LN(FO_Params!D15/FO_Params!C15)/LN(50))*1000)+MAX(POWER(10,FO_Params!F15+FO_Params!E15*LOG10($A$8))*1000000-IF($A$8&lt;=1,FO_Params!C15*1000,FO_Params!C15*POWER($A$8,LN(FO_Params!D15/FO_Params!C15)/LN(50))*1000),0)/1.2)*(1+($W$6-1)*0.6)*$W$2*$W$4*(1+FO_Params!B37*FO_Params!$B$33)*(1+$I$8/100*FO_Params!D40),0)</f>
        <v>318718</v>
      </c>
      <c r="N17" s="20">
        <f>ROUND((IF($A$8&lt;=1,FO_Params!C15*1000,FO_Params!C15*POWER($A$8,LN(FO_Params!D15/FO_Params!C15)/LN(50))*1000)+MAX(POWER(10,FO_Params!F15+FO_Params!E15*LOG10($A$8))*1000000-IF($A$8&lt;=1,FO_Params!C15*1000,FO_Params!C15*POWER($A$8,LN(FO_Params!D15/FO_Params!C15)/LN(50))*1000),0)/1.2)*(1+($W$6-1)*0.6)*$W$2*$W$4*(1+FO_Params!C37*FO_Params!$B$33)*(1+$I$8/100*FO_Params!D40),0)</f>
        <v>383305</v>
      </c>
      <c r="O17" s="23">
        <f>ROUND((IF($A$8&lt;=1,FO_Params!C15*1000,FO_Params!C15*POWER($A$8,LN(FO_Params!D15/FO_Params!C15)/LN(50))*1000)+MAX(POWER(10,FO_Params!F15+FO_Params!E15*LOG10($A$8))*1000000-IF($A$8&lt;=1,FO_Params!C15*1000,FO_Params!C15*POWER($A$8,LN(FO_Params!D15/FO_Params!C15)/LN(50))*1000),0)/1.2)*(1+($W$6-1)*0.6)*$W$2*$W$4*(1+FO_Params!D37*FO_Params!$B$33)*(1+$I$8/100*FO_Params!D40),0)</f>
        <v>447892</v>
      </c>
      <c r="P17" s="23">
        <f>ROUND((IF($A$8&lt;=1,FO_Params!C15*1000,FO_Params!C15*POWER($A$8,LN(FO_Params!D15/FO_Params!C15)/LN(50))*1000)+MAX(POWER(10,FO_Params!F15+FO_Params!E15*LOG10($A$8))*1000000-IF($A$8&lt;=1,FO_Params!C15*1000,FO_Params!C15*POWER($A$8,LN(FO_Params!D15/FO_Params!C15)/LN(50))*1000),0)/1.2)*(1+($W$6-1)*0.6)*$W$2*$W$4*(1+FO_Params!E37*FO_Params!$B$33)*(1+$I$8/100*FO_Params!D40),0)</f>
        <v>506154</v>
      </c>
      <c r="Q17" s="22">
        <f>ROUND((IF($A$8&lt;=1,FO_Params!C15*1000,FO_Params!C15*POWER($A$8,LN(FO_Params!D15/FO_Params!C15)/LN(50))*1000)+2*MAX(POWER(10,FO_Params!F15+FO_Params!E15*LOG10($A$8))*1000000-IF($A$8&lt;=1,FO_Params!C15*1000,FO_Params!C15*POWER($A$8,LN(FO_Params!D15/FO_Params!C15)/LN(50))*1000),0)/1.2)*(1+($W$6-1)*0.6)*$W$2*$W$4*(1+FO_Params!A37*FO_Params!$B$33)*(1+$I$8/100*FO_Params!D40),0)</f>
        <v>324887</v>
      </c>
      <c r="R17" s="23">
        <f>ROUND((IF($A$8&lt;=1,FO_Params!C15*1000,FO_Params!C15*POWER($A$8,LN(FO_Params!D15/FO_Params!C15)/LN(50))*1000)+2*MAX(POWER(10,FO_Params!F15+FO_Params!E15*LOG10($A$8))*1000000-IF($A$8&lt;=1,FO_Params!C15*1000,FO_Params!C15*POWER($A$8,LN(FO_Params!D15/FO_Params!C15)/LN(50))*1000),0)/1.2)*(1+($W$6-1)*0.6)*$W$2*$W$4*(1+FO_Params!B37*FO_Params!$B$33)*(1+$I$8/100*FO_Params!D40),0)</f>
        <v>397562</v>
      </c>
      <c r="S17" s="20">
        <f>ROUND((IF($A$8&lt;=1,FO_Params!C15*1000,FO_Params!C15*POWER($A$8,LN(FO_Params!D15/FO_Params!C15)/LN(50))*1000)+2*MAX(POWER(10,FO_Params!F15+FO_Params!E15*LOG10($A$8))*1000000-IF($A$8&lt;=1,FO_Params!C15*1000,FO_Params!C15*POWER($A$8,LN(FO_Params!D15/FO_Params!C15)/LN(50))*1000),0)/1.2)*(1+($W$6-1)*0.6)*$W$2*$W$4*(1+FO_Params!C37*FO_Params!$B$33)*(1+$I$8/100*FO_Params!D40),0)</f>
        <v>478126</v>
      </c>
      <c r="T17" s="23">
        <f>ROUND((IF($A$8&lt;=1,FO_Params!C15*1000,FO_Params!C15*POWER($A$8,LN(FO_Params!D15/FO_Params!C15)/LN(50))*1000)+2*MAX(POWER(10,FO_Params!F15+FO_Params!E15*LOG10($A$8))*1000000-IF($A$8&lt;=1,FO_Params!C15*1000,FO_Params!C15*POWER($A$8,LN(FO_Params!D15/FO_Params!C15)/LN(50))*1000),0)/1.2)*(1+($W$6-1)*0.6)*$W$2*$W$4*(1+FO_Params!D37*FO_Params!$B$33)*(1+$I$8/100*FO_Params!D40),0)</f>
        <v>558690</v>
      </c>
      <c r="U17" s="23">
        <f>ROUND((IF($A$8&lt;=1,FO_Params!C15*1000,FO_Params!C15*POWER($A$8,LN(FO_Params!D15/FO_Params!C15)/LN(50))*1000)+2*MAX(POWER(10,FO_Params!F15+FO_Params!E15*LOG10($A$8))*1000000-IF($A$8&lt;=1,FO_Params!C15*1000,FO_Params!C15*POWER($A$8,LN(FO_Params!D15/FO_Params!C15)/LN(50))*1000),0)/1.2)*(1+($W$6-1)*0.6)*$W$2*$W$4*(1+FO_Params!E37*FO_Params!$B$33)*(1+$I$8/100*FO_Params!D40),0)</f>
        <v>631365</v>
      </c>
      <c r="V17" s="4"/>
      <c r="W17" s="4"/>
    </row>
    <row r="18" spans="1:23" ht="18" customHeight="1" x14ac:dyDescent="0.3">
      <c r="A18" s="17" t="s">
        <v>48</v>
      </c>
      <c r="B18" s="18">
        <f>ROUND(IF($A$8&lt;=1,FO_Params!C16*1000,FO_Params!C16*POWER($A$8,LN(FO_Params!D16/FO_Params!C16)/LN(50))*1000)*(1+($W$6-1)*0.7)*$W$2*$W$4*(1+FO_Params!A37*FO_Params!$B$33),0)</f>
        <v>250579</v>
      </c>
      <c r="C18" s="19">
        <f>ROUND(IF($A$8&lt;=1,FO_Params!C16*1000,FO_Params!C16*POWER($A$8,LN(FO_Params!D16/FO_Params!C16)/LN(50))*1000)*(1+($W$6-1)*0.7)*$W$2*$W$4*(1+FO_Params!B37*FO_Params!$B$33),0)</f>
        <v>306632</v>
      </c>
      <c r="D18" s="20">
        <f>ROUND(IF($A$8&lt;=1,FO_Params!C16*1000,FO_Params!C16*POWER($A$8,LN(FO_Params!D16/FO_Params!C16)/LN(50))*1000)*(1+($W$6-1)*0.7)*$W$2*$W$4*(1+FO_Params!C37*FO_Params!$B$33),0)</f>
        <v>368770</v>
      </c>
      <c r="E18" s="19">
        <f>ROUND(IF($A$8&lt;=1,FO_Params!C16*1000,FO_Params!C16*POWER($A$8,LN(FO_Params!D16/FO_Params!C16)/LN(50))*1000)*(1+($W$6-1)*0.7)*$W$2*$W$4*(1+FO_Params!D37*FO_Params!$B$33),0)</f>
        <v>430907</v>
      </c>
      <c r="F18" s="19">
        <f>ROUND(IF($A$8&lt;=1,FO_Params!C16*1000,FO_Params!C16*POWER($A$8,LN(FO_Params!D16/FO_Params!C16)/LN(50))*1000)*(1+($W$6-1)*0.7)*$W$2*$W$4*(1+FO_Params!E37*FO_Params!$B$33),0)</f>
        <v>486960</v>
      </c>
      <c r="G18" s="18">
        <f>ROUND(POWER(10,FO_Params!F16+FO_Params!E16*LOG10($A$8))*1000000*(1+($W$6-1)*0.7)*$W$2*$W$4*(1+FO_Params!A37*FO_Params!$B$33)*(1+$I$8/100*FO_Params!E40),0)</f>
        <v>388782</v>
      </c>
      <c r="H18" s="19">
        <f>ROUND(POWER(10,FO_Params!F16+FO_Params!E16*LOG10($A$8))*1000000*(1+($W$6-1)*0.7)*$W$2*$W$4*(1+FO_Params!B37*FO_Params!$B$33)*(1+$I$8/100*FO_Params!E40),0)</f>
        <v>475750</v>
      </c>
      <c r="I18" s="20">
        <f>ROUND(POWER(10,FO_Params!F16+FO_Params!E16*LOG10($A$8))*1000000*(1+($W$6-1)*0.7)*$W$2*$W$4*(1+FO_Params!C37*FO_Params!$B$33)*(1+$I$8/100*FO_Params!E40),0)</f>
        <v>572159</v>
      </c>
      <c r="J18" s="19">
        <f>ROUND(POWER(10,FO_Params!F16+FO_Params!E16*LOG10($A$8))*1000000*(1+($W$6-1)*0.7)*$W$2*$W$4*(1+FO_Params!D37*FO_Params!$B$33)*(1+$I$8/100*FO_Params!E40),0)</f>
        <v>668568</v>
      </c>
      <c r="K18" s="19">
        <f>ROUND(POWER(10,FO_Params!F16+FO_Params!E16*LOG10($A$8))*1000000*(1+($W$6-1)*0.7)*$W$2*$W$4*(1+FO_Params!E37*FO_Params!$B$33)*(1+$I$8/100*FO_Params!E40),0)</f>
        <v>755536</v>
      </c>
      <c r="L18" s="18">
        <f>ROUND((IF($A$8&lt;=1,FO_Params!C16*1000,FO_Params!C16*POWER($A$8,LN(FO_Params!D16/FO_Params!C16)/LN(50))*1000)+MAX(POWER(10,FO_Params!F16+FO_Params!E16*LOG10($A$8))*1000000-IF($A$8&lt;=1,FO_Params!C16*1000,FO_Params!C16*POWER($A$8,LN(FO_Params!D16/FO_Params!C16)/LN(50))*1000),0)/1.2)*(1+($W$6-1)*0.7)*$W$2*$W$4*(1+FO_Params!A37*FO_Params!$B$33)*(1+$I$8/100*FO_Params!E40),0)</f>
        <v>365748</v>
      </c>
      <c r="M18" s="19">
        <f>ROUND((IF($A$8&lt;=1,FO_Params!C16*1000,FO_Params!C16*POWER($A$8,LN(FO_Params!D16/FO_Params!C16)/LN(50))*1000)+MAX(POWER(10,FO_Params!F16+FO_Params!E16*LOG10($A$8))*1000000-IF($A$8&lt;=1,FO_Params!C16*1000,FO_Params!C16*POWER($A$8,LN(FO_Params!D16/FO_Params!C16)/LN(50))*1000),0)/1.2)*(1+($W$6-1)*0.7)*$W$2*$W$4*(1+FO_Params!B37*FO_Params!$B$33)*(1+$I$8/100*FO_Params!E40),0)</f>
        <v>447564</v>
      </c>
      <c r="N18" s="20">
        <f>ROUND((IF($A$8&lt;=1,FO_Params!C16*1000,FO_Params!C16*POWER($A$8,LN(FO_Params!D16/FO_Params!C16)/LN(50))*1000)+MAX(POWER(10,FO_Params!F16+FO_Params!E16*LOG10($A$8))*1000000-IF($A$8&lt;=1,FO_Params!C16*1000,FO_Params!C16*POWER($A$8,LN(FO_Params!D16/FO_Params!C16)/LN(50))*1000),0)/1.2)*(1+($W$6-1)*0.7)*$W$2*$W$4*(1+FO_Params!C37*FO_Params!$B$33)*(1+$I$8/100*FO_Params!E40),0)</f>
        <v>538261</v>
      </c>
      <c r="O18" s="19">
        <f>ROUND((IF($A$8&lt;=1,FO_Params!C16*1000,FO_Params!C16*POWER($A$8,LN(FO_Params!D16/FO_Params!C16)/LN(50))*1000)+MAX(POWER(10,FO_Params!F16+FO_Params!E16*LOG10($A$8))*1000000-IF($A$8&lt;=1,FO_Params!C16*1000,FO_Params!C16*POWER($A$8,LN(FO_Params!D16/FO_Params!C16)/LN(50))*1000),0)/1.2)*(1+($W$6-1)*0.7)*$W$2*$W$4*(1+FO_Params!D37*FO_Params!$B$33)*(1+$I$8/100*FO_Params!E40),0)</f>
        <v>628958</v>
      </c>
      <c r="P18" s="19">
        <f>ROUND((IF($A$8&lt;=1,FO_Params!C16*1000,FO_Params!C16*POWER($A$8,LN(FO_Params!D16/FO_Params!C16)/LN(50))*1000)+MAX(POWER(10,FO_Params!F16+FO_Params!E16*LOG10($A$8))*1000000-IF($A$8&lt;=1,FO_Params!C16*1000,FO_Params!C16*POWER($A$8,LN(FO_Params!D16/FO_Params!C16)/LN(50))*1000),0)/1.2)*(1+($W$6-1)*0.7)*$W$2*$W$4*(1+FO_Params!E37*FO_Params!$B$33)*(1+$I$8/100*FO_Params!E40),0)</f>
        <v>710773</v>
      </c>
      <c r="Q18" s="18">
        <f>ROUND((IF($A$8&lt;=1,FO_Params!C16*1000,FO_Params!C16*POWER($A$8,LN(FO_Params!D16/FO_Params!C16)/LN(50))*1000)+2*MAX(POWER(10,FO_Params!F16+FO_Params!E16*LOG10($A$8))*1000000-IF($A$8&lt;=1,FO_Params!C16*1000,FO_Params!C16*POWER($A$8,LN(FO_Params!D16/FO_Params!C16)/LN(50))*1000),0)/1.2)*(1+($W$6-1)*0.7)*$W$2*$W$4*(1+FO_Params!A37*FO_Params!$B$33)*(1+$I$8/100*FO_Params!E40),0)</f>
        <v>480917</v>
      </c>
      <c r="R18" s="19">
        <f>ROUND((IF($A$8&lt;=1,FO_Params!C16*1000,FO_Params!C16*POWER($A$8,LN(FO_Params!D16/FO_Params!C16)/LN(50))*1000)+2*MAX(POWER(10,FO_Params!F16+FO_Params!E16*LOG10($A$8))*1000000-IF($A$8&lt;=1,FO_Params!C16*1000,FO_Params!C16*POWER($A$8,LN(FO_Params!D16/FO_Params!C16)/LN(50))*1000),0)/1.2)*(1+($W$6-1)*0.7)*$W$2*$W$4*(1+FO_Params!B37*FO_Params!$B$33)*(1+$I$8/100*FO_Params!E40),0)</f>
        <v>588496</v>
      </c>
      <c r="S18" s="20">
        <f>ROUND((IF($A$8&lt;=1,FO_Params!C16*1000,FO_Params!C16*POWER($A$8,LN(FO_Params!D16/FO_Params!C16)/LN(50))*1000)+2*MAX(POWER(10,FO_Params!F16+FO_Params!E16*LOG10($A$8))*1000000-IF($A$8&lt;=1,FO_Params!C16*1000,FO_Params!C16*POWER($A$8,LN(FO_Params!D16/FO_Params!C16)/LN(50))*1000),0)/1.2)*(1+($W$6-1)*0.7)*$W$2*$W$4*(1+FO_Params!C37*FO_Params!$B$33)*(1+$I$8/100*FO_Params!E40),0)</f>
        <v>707752</v>
      </c>
      <c r="T18" s="19">
        <f>ROUND((IF($A$8&lt;=1,FO_Params!C16*1000,FO_Params!C16*POWER($A$8,LN(FO_Params!D16/FO_Params!C16)/LN(50))*1000)+2*MAX(POWER(10,FO_Params!F16+FO_Params!E16*LOG10($A$8))*1000000-IF($A$8&lt;=1,FO_Params!C16*1000,FO_Params!C16*POWER($A$8,LN(FO_Params!D16/FO_Params!C16)/LN(50))*1000),0)/1.2)*(1+($W$6-1)*0.7)*$W$2*$W$4*(1+FO_Params!D37*FO_Params!$B$33)*(1+$I$8/100*FO_Params!E40),0)</f>
        <v>827008</v>
      </c>
      <c r="U18" s="19">
        <f>ROUND((IF($A$8&lt;=1,FO_Params!C16*1000,FO_Params!C16*POWER($A$8,LN(FO_Params!D16/FO_Params!C16)/LN(50))*1000)+2*MAX(POWER(10,FO_Params!F16+FO_Params!E16*LOG10($A$8))*1000000-IF($A$8&lt;=1,FO_Params!C16*1000,FO_Params!C16*POWER($A$8,LN(FO_Params!D16/FO_Params!C16)/LN(50))*1000),0)/1.2)*(1+($W$6-1)*0.7)*$W$2*$W$4*(1+FO_Params!E37*FO_Params!$B$33)*(1+$I$8/100*FO_Params!E40),0)</f>
        <v>934586</v>
      </c>
      <c r="V18" s="4"/>
      <c r="W18" s="4"/>
    </row>
    <row r="19" spans="1:23" ht="18" customHeight="1" x14ac:dyDescent="0.3">
      <c r="A19" s="21" t="s">
        <v>49</v>
      </c>
      <c r="B19" s="22">
        <f>ROUND(IF($A$8&lt;=1,FO_Params!C17*1000,FO_Params!C17*POWER($A$8,LN(FO_Params!D17/FO_Params!C17)/LN(50))*1000)*(1+($W$6-1)*0.8)*$W$2*$W$4*(1+FO_Params!A37*FO_Params!$B$33),0)</f>
        <v>350442</v>
      </c>
      <c r="C19" s="23">
        <f>ROUND(IF($A$8&lt;=1,FO_Params!C17*1000,FO_Params!C17*POWER($A$8,LN(FO_Params!D17/FO_Params!C17)/LN(50))*1000)*(1+($W$6-1)*0.8)*$W$2*$W$4*(1+FO_Params!B37*FO_Params!$B$33),0)</f>
        <v>428834</v>
      </c>
      <c r="D19" s="20">
        <f>ROUND(IF($A$8&lt;=1,FO_Params!C17*1000,FO_Params!C17*POWER($A$8,LN(FO_Params!D17/FO_Params!C17)/LN(50))*1000)*(1+($W$6-1)*0.8)*$W$2*$W$4*(1+FO_Params!C37*FO_Params!$B$33),0)</f>
        <v>515735</v>
      </c>
      <c r="E19" s="23">
        <f>ROUND(IF($A$8&lt;=1,FO_Params!C17*1000,FO_Params!C17*POWER($A$8,LN(FO_Params!D17/FO_Params!C17)/LN(50))*1000)*(1+($W$6-1)*0.8)*$W$2*$W$4*(1+FO_Params!D37*FO_Params!$B$33),0)</f>
        <v>602637</v>
      </c>
      <c r="F19" s="23">
        <f>ROUND(IF($A$8&lt;=1,FO_Params!C17*1000,FO_Params!C17*POWER($A$8,LN(FO_Params!D17/FO_Params!C17)/LN(50))*1000)*(1+($W$6-1)*0.8)*$W$2*$W$4*(1+FO_Params!E37*FO_Params!$B$33),0)</f>
        <v>681028</v>
      </c>
      <c r="G19" s="22">
        <f>ROUND(POWER(10,FO_Params!F17+FO_Params!E17*LOG10($A$8))*1000000*(1+($W$6-1)*0.8)*$W$2*$W$4*(1+FO_Params!A37*FO_Params!$B$33)*(1+$I$8/100*FO_Params!F40),0)</f>
        <v>742517</v>
      </c>
      <c r="H19" s="23">
        <f>ROUND(POWER(10,FO_Params!F17+FO_Params!E17*LOG10($A$8))*1000000*(1+($W$6-1)*0.8)*$W$2*$W$4*(1+FO_Params!B37*FO_Params!$B$33)*(1+$I$8/100*FO_Params!F40),0)</f>
        <v>908613</v>
      </c>
      <c r="I19" s="20">
        <f>ROUND(POWER(10,FO_Params!F17+FO_Params!E17*LOG10($A$8))*1000000*(1+($W$6-1)*0.8)*$W$2*$W$4*(1+FO_Params!C37*FO_Params!$B$33)*(1+$I$8/100*FO_Params!F40),0)</f>
        <v>1092740</v>
      </c>
      <c r="J19" s="23">
        <f>ROUND(POWER(10,FO_Params!F17+FO_Params!E17*LOG10($A$8))*1000000*(1+($W$6-1)*0.8)*$W$2*$W$4*(1+FO_Params!D37*FO_Params!$B$33)*(1+$I$8/100*FO_Params!F40),0)</f>
        <v>1276866</v>
      </c>
      <c r="K19" s="23">
        <f>ROUND(POWER(10,FO_Params!F17+FO_Params!E17*LOG10($A$8))*1000000*(1+($W$6-1)*0.8)*$W$2*$W$4*(1+FO_Params!E37*FO_Params!$B$33)*(1+$I$8/100*FO_Params!F40),0)</f>
        <v>1442963</v>
      </c>
      <c r="L19" s="22">
        <f>ROUND((IF($A$8&lt;=1,FO_Params!C17*1000,FO_Params!C17*POWER($A$8,LN(FO_Params!D17/FO_Params!C17)/LN(50))*1000)+MAX(POWER(10,FO_Params!F17+FO_Params!E17*LOG10($A$8))*1000000-IF($A$8&lt;=1,FO_Params!C17*1000,FO_Params!C17*POWER($A$8,LN(FO_Params!D17/FO_Params!C17)/LN(50))*1000),0)/1.2)*(1+($W$6-1)*0.8)*$W$2*$W$4*(1+FO_Params!A37*FO_Params!$B$33)*(1+$I$8/100*FO_Params!F40),0)</f>
        <v>677171</v>
      </c>
      <c r="M19" s="23">
        <f>ROUND((IF($A$8&lt;=1,FO_Params!C17*1000,FO_Params!C17*POWER($A$8,LN(FO_Params!D17/FO_Params!C17)/LN(50))*1000)+MAX(POWER(10,FO_Params!F17+FO_Params!E17*LOG10($A$8))*1000000-IF($A$8&lt;=1,FO_Params!C17*1000,FO_Params!C17*POWER($A$8,LN(FO_Params!D17/FO_Params!C17)/LN(50))*1000),0)/1.2)*(1+($W$6-1)*0.8)*$W$2*$W$4*(1+FO_Params!B37*FO_Params!$B$33)*(1+$I$8/100*FO_Params!F40),0)</f>
        <v>828650</v>
      </c>
      <c r="N19" s="20">
        <f>ROUND((IF($A$8&lt;=1,FO_Params!C17*1000,FO_Params!C17*POWER($A$8,LN(FO_Params!D17/FO_Params!C17)/LN(50))*1000)+MAX(POWER(10,FO_Params!F17+FO_Params!E17*LOG10($A$8))*1000000-IF($A$8&lt;=1,FO_Params!C17*1000,FO_Params!C17*POWER($A$8,LN(FO_Params!D17/FO_Params!C17)/LN(50))*1000),0)/1.2)*(1+($W$6-1)*0.8)*$W$2*$W$4*(1+FO_Params!C37*FO_Params!$B$33)*(1+$I$8/100*FO_Params!F40),0)</f>
        <v>996572</v>
      </c>
      <c r="O19" s="23">
        <f>ROUND((IF($A$8&lt;=1,FO_Params!C17*1000,FO_Params!C17*POWER($A$8,LN(FO_Params!D17/FO_Params!C17)/LN(50))*1000)+MAX(POWER(10,FO_Params!F17+FO_Params!E17*LOG10($A$8))*1000000-IF($A$8&lt;=1,FO_Params!C17*1000,FO_Params!C17*POWER($A$8,LN(FO_Params!D17/FO_Params!C17)/LN(50))*1000),0)/1.2)*(1+($W$6-1)*0.8)*$W$2*$W$4*(1+FO_Params!D37*FO_Params!$B$33)*(1+$I$8/100*FO_Params!F40),0)</f>
        <v>1164495</v>
      </c>
      <c r="P19" s="23">
        <f>ROUND((IF($A$8&lt;=1,FO_Params!C17*1000,FO_Params!C17*POWER($A$8,LN(FO_Params!D17/FO_Params!C17)/LN(50))*1000)+MAX(POWER(10,FO_Params!F17+FO_Params!E17*LOG10($A$8))*1000000-IF($A$8&lt;=1,FO_Params!C17*1000,FO_Params!C17*POWER($A$8,LN(FO_Params!D17/FO_Params!C17)/LN(50))*1000),0)/1.2)*(1+($W$6-1)*0.8)*$W$2*$W$4*(1+FO_Params!E37*FO_Params!$B$33)*(1+$I$8/100*FO_Params!F40),0)</f>
        <v>1315974</v>
      </c>
      <c r="Q19" s="22">
        <f>ROUND((IF($A$8&lt;=1,FO_Params!C17*1000,FO_Params!C17*POWER($A$8,LN(FO_Params!D17/FO_Params!C17)/LN(50))*1000)+2*MAX(POWER(10,FO_Params!F17+FO_Params!E17*LOG10($A$8))*1000000-IF($A$8&lt;=1,FO_Params!C17*1000,FO_Params!C17*POWER($A$8,LN(FO_Params!D17/FO_Params!C17)/LN(50))*1000),0)/1.2)*(1+($W$6-1)*0.8)*$W$2*$W$4*(1+FO_Params!A37*FO_Params!$B$33)*(1+$I$8/100*FO_Params!F40),0)</f>
        <v>1003899</v>
      </c>
      <c r="R19" s="23">
        <f>ROUND((IF($A$8&lt;=1,FO_Params!C17*1000,FO_Params!C17*POWER($A$8,LN(FO_Params!D17/FO_Params!C17)/LN(50))*1000)+2*MAX(POWER(10,FO_Params!F17+FO_Params!E17*LOG10($A$8))*1000000-IF($A$8&lt;=1,FO_Params!C17*1000,FO_Params!C17*POWER($A$8,LN(FO_Params!D17/FO_Params!C17)/LN(50))*1000),0)/1.2)*(1+($W$6-1)*0.8)*$W$2*$W$4*(1+FO_Params!B37*FO_Params!$B$33)*(1+$I$8/100*FO_Params!F40),0)</f>
        <v>1228466</v>
      </c>
      <c r="S19" s="20">
        <f>ROUND((IF($A$8&lt;=1,FO_Params!C17*1000,FO_Params!C17*POWER($A$8,LN(FO_Params!D17/FO_Params!C17)/LN(50))*1000)+2*MAX(POWER(10,FO_Params!F17+FO_Params!E17*LOG10($A$8))*1000000-IF($A$8&lt;=1,FO_Params!C17*1000,FO_Params!C17*POWER($A$8,LN(FO_Params!D17/FO_Params!C17)/LN(50))*1000),0)/1.2)*(1+($W$6-1)*0.8)*$W$2*$W$4*(1+FO_Params!C37*FO_Params!$B$33)*(1+$I$8/100*FO_Params!F40),0)</f>
        <v>1477409</v>
      </c>
      <c r="T19" s="23">
        <f>ROUND((IF($A$8&lt;=1,FO_Params!C17*1000,FO_Params!C17*POWER($A$8,LN(FO_Params!D17/FO_Params!C17)/LN(50))*1000)+2*MAX(POWER(10,FO_Params!F17+FO_Params!E17*LOG10($A$8))*1000000-IF($A$8&lt;=1,FO_Params!C17*1000,FO_Params!C17*POWER($A$8,LN(FO_Params!D17/FO_Params!C17)/LN(50))*1000),0)/1.2)*(1+($W$6-1)*0.8)*$W$2*$W$4*(1+FO_Params!D37*FO_Params!$B$33)*(1+$I$8/100*FO_Params!F40),0)</f>
        <v>1726353</v>
      </c>
      <c r="U19" s="23">
        <f>ROUND((IF($A$8&lt;=1,FO_Params!C17*1000,FO_Params!C17*POWER($A$8,LN(FO_Params!D17/FO_Params!C17)/LN(50))*1000)+2*MAX(POWER(10,FO_Params!F17+FO_Params!E17*LOG10($A$8))*1000000-IF($A$8&lt;=1,FO_Params!C17*1000,FO_Params!C17*POWER($A$8,LN(FO_Params!D17/FO_Params!C17)/LN(50))*1000),0)/1.2)*(1+($W$6-1)*0.8)*$W$2*$W$4*(1+FO_Params!E37*FO_Params!$B$33)*(1+$I$8/100*FO_Params!F40),0)</f>
        <v>1950919</v>
      </c>
      <c r="V19" s="4"/>
      <c r="W19" s="4"/>
    </row>
    <row r="20" spans="1:23" ht="18" customHeight="1" x14ac:dyDescent="0.3">
      <c r="A20" s="17" t="s">
        <v>50</v>
      </c>
      <c r="B20" s="18">
        <f>ROUND(IF($A$8&lt;=1,FO_Params!C18*1000,FO_Params!C18*POWER($A$8,LN(FO_Params!D18/FO_Params!C18)/LN(50))*1000)*(1+($W$6-1)*0.9)*$W$2*$W$4*(1+FO_Params!A37*FO_Params!$B$33),0)</f>
        <v>369489</v>
      </c>
      <c r="C20" s="19">
        <f>ROUND(IF($A$8&lt;=1,FO_Params!C18*1000,FO_Params!C18*POWER($A$8,LN(FO_Params!D18/FO_Params!C18)/LN(50))*1000)*(1+($W$6-1)*0.9)*$W$2*$W$4*(1+FO_Params!B37*FO_Params!$B$33),0)</f>
        <v>452141</v>
      </c>
      <c r="D20" s="20">
        <f>ROUND(IF($A$8&lt;=1,FO_Params!C18*1000,FO_Params!C18*POWER($A$8,LN(FO_Params!D18/FO_Params!C18)/LN(50))*1000)*(1+($W$6-1)*0.9)*$W$2*$W$4*(1+FO_Params!C37*FO_Params!$B$33),0)</f>
        <v>543766</v>
      </c>
      <c r="E20" s="19">
        <f>ROUND(IF($A$8&lt;=1,FO_Params!C18*1000,FO_Params!C18*POWER($A$8,LN(FO_Params!D18/FO_Params!C18)/LN(50))*1000)*(1+($W$6-1)*0.9)*$W$2*$W$4*(1+FO_Params!D37*FO_Params!$B$33),0)</f>
        <v>635390</v>
      </c>
      <c r="F20" s="19">
        <f>ROUND(IF($A$8&lt;=1,FO_Params!C18*1000,FO_Params!C18*POWER($A$8,LN(FO_Params!D18/FO_Params!C18)/LN(50))*1000)*(1+($W$6-1)*0.9)*$W$2*$W$4*(1+FO_Params!E37*FO_Params!$B$33),0)</f>
        <v>718043</v>
      </c>
      <c r="G20" s="18">
        <f>ROUND(POWER(10,FO_Params!F18+FO_Params!E18*LOG10($A$8))*1000000*(1+($W$6-1)*0.9)*$W$2*$W$4*(1+FO_Params!A37*FO_Params!$B$33)*(1+$I$8/100*FO_Params!G40),0)</f>
        <v>844707</v>
      </c>
      <c r="H20" s="19">
        <f>ROUND(POWER(10,FO_Params!F18+FO_Params!E18*LOG10($A$8))*1000000*(1+($W$6-1)*0.9)*$W$2*$W$4*(1+FO_Params!B37*FO_Params!$B$33)*(1+$I$8/100*FO_Params!G40),0)</f>
        <v>1033663</v>
      </c>
      <c r="I20" s="20">
        <f>ROUND(POWER(10,FO_Params!F18+FO_Params!E18*LOG10($A$8))*1000000*(1+($W$6-1)*0.9)*$W$2*$W$4*(1+FO_Params!C37*FO_Params!$B$33)*(1+$I$8/100*FO_Params!G40),0)</f>
        <v>1243130</v>
      </c>
      <c r="J20" s="19">
        <f>ROUND(POWER(10,FO_Params!F18+FO_Params!E18*LOG10($A$8))*1000000*(1+($W$6-1)*0.9)*$W$2*$W$4*(1+FO_Params!D37*FO_Params!$B$33)*(1+$I$8/100*FO_Params!G40),0)</f>
        <v>1452598</v>
      </c>
      <c r="K20" s="19">
        <f>ROUND(POWER(10,FO_Params!F18+FO_Params!E18*LOG10($A$8))*1000000*(1+($W$6-1)*0.9)*$W$2*$W$4*(1+FO_Params!E37*FO_Params!$B$33)*(1+$I$8/100*FO_Params!G40),0)</f>
        <v>1641554</v>
      </c>
      <c r="L20" s="18">
        <f>ROUND((IF($A$8&lt;=1,FO_Params!C18*1000,FO_Params!C18*POWER($A$8,LN(FO_Params!D18/FO_Params!C18)/LN(50))*1000)+MAX(POWER(10,FO_Params!F18+FO_Params!E18*LOG10($A$8))*1000000-IF($A$8&lt;=1,FO_Params!C18*1000,FO_Params!C18*POWER($A$8,LN(FO_Params!D18/FO_Params!C18)/LN(50))*1000),0)/1.2)*(1+($W$6-1)*0.9)*$W$2*$W$4*(1+FO_Params!A37*FO_Params!$B$33)*(1+$I$8/100*FO_Params!G40),0)</f>
        <v>765504</v>
      </c>
      <c r="M20" s="19">
        <f>ROUND((IF($A$8&lt;=1,FO_Params!C18*1000,FO_Params!C18*POWER($A$8,LN(FO_Params!D18/FO_Params!C18)/LN(50))*1000)+MAX(POWER(10,FO_Params!F18+FO_Params!E18*LOG10($A$8))*1000000-IF($A$8&lt;=1,FO_Params!C18*1000,FO_Params!C18*POWER($A$8,LN(FO_Params!D18/FO_Params!C18)/LN(50))*1000),0)/1.2)*(1+($W$6-1)*0.9)*$W$2*$W$4*(1+FO_Params!B37*FO_Params!$B$33)*(1+$I$8/100*FO_Params!G40),0)</f>
        <v>936743</v>
      </c>
      <c r="N20" s="20">
        <f>ROUND((IF($A$8&lt;=1,FO_Params!C18*1000,FO_Params!C18*POWER($A$8,LN(FO_Params!D18/FO_Params!C18)/LN(50))*1000)+MAX(POWER(10,FO_Params!F18+FO_Params!E18*LOG10($A$8))*1000000-IF($A$8&lt;=1,FO_Params!C18*1000,FO_Params!C18*POWER($A$8,LN(FO_Params!D18/FO_Params!C18)/LN(50))*1000),0)/1.2)*(1+($W$6-1)*0.9)*$W$2*$W$4*(1+FO_Params!C37*FO_Params!$B$33)*(1+$I$8/100*FO_Params!G40),0)</f>
        <v>1126570</v>
      </c>
      <c r="O20" s="19">
        <f>ROUND((IF($A$8&lt;=1,FO_Params!C18*1000,FO_Params!C18*POWER($A$8,LN(FO_Params!D18/FO_Params!C18)/LN(50))*1000)+MAX(POWER(10,FO_Params!F18+FO_Params!E18*LOG10($A$8))*1000000-IF($A$8&lt;=1,FO_Params!C18*1000,FO_Params!C18*POWER($A$8,LN(FO_Params!D18/FO_Params!C18)/LN(50))*1000),0)/1.2)*(1+($W$6-1)*0.9)*$W$2*$W$4*(1+FO_Params!D37*FO_Params!$B$33)*(1+$I$8/100*FO_Params!G40),0)</f>
        <v>1316397</v>
      </c>
      <c r="P20" s="19">
        <f>ROUND((IF($A$8&lt;=1,FO_Params!C18*1000,FO_Params!C18*POWER($A$8,LN(FO_Params!D18/FO_Params!C18)/LN(50))*1000)+MAX(POWER(10,FO_Params!F18+FO_Params!E18*LOG10($A$8))*1000000-IF($A$8&lt;=1,FO_Params!C18*1000,FO_Params!C18*POWER($A$8,LN(FO_Params!D18/FO_Params!C18)/LN(50))*1000),0)/1.2)*(1+($W$6-1)*0.9)*$W$2*$W$4*(1+FO_Params!E37*FO_Params!$B$33)*(1+$I$8/100*FO_Params!G40),0)</f>
        <v>1487635</v>
      </c>
      <c r="Q20" s="18">
        <f>ROUND((IF($A$8&lt;=1,FO_Params!C18*1000,FO_Params!C18*POWER($A$8,LN(FO_Params!D18/FO_Params!C18)/LN(50))*1000)+2*MAX(POWER(10,FO_Params!F18+FO_Params!E18*LOG10($A$8))*1000000-IF($A$8&lt;=1,FO_Params!C18*1000,FO_Params!C18*POWER($A$8,LN(FO_Params!D18/FO_Params!C18)/LN(50))*1000),0)/1.2)*(1+($W$6-1)*0.9)*$W$2*$W$4*(1+FO_Params!A37*FO_Params!$B$33)*(1+$I$8/100*FO_Params!G40),0)</f>
        <v>1161519</v>
      </c>
      <c r="R20" s="19">
        <f>ROUND((IF($A$8&lt;=1,FO_Params!C18*1000,FO_Params!C18*POWER($A$8,LN(FO_Params!D18/FO_Params!C18)/LN(50))*1000)+2*MAX(POWER(10,FO_Params!F18+FO_Params!E18*LOG10($A$8))*1000000-IF($A$8&lt;=1,FO_Params!C18*1000,FO_Params!C18*POWER($A$8,LN(FO_Params!D18/FO_Params!C18)/LN(50))*1000),0)/1.2)*(1+($W$6-1)*0.9)*$W$2*$W$4*(1+FO_Params!B37*FO_Params!$B$33)*(1+$I$8/100*FO_Params!G40),0)</f>
        <v>1421344</v>
      </c>
      <c r="S20" s="20">
        <f>ROUND((IF($A$8&lt;=1,FO_Params!C18*1000,FO_Params!C18*POWER($A$8,LN(FO_Params!D18/FO_Params!C18)/LN(50))*1000)+2*MAX(POWER(10,FO_Params!F18+FO_Params!E18*LOG10($A$8))*1000000-IF($A$8&lt;=1,FO_Params!C18*1000,FO_Params!C18*POWER($A$8,LN(FO_Params!D18/FO_Params!C18)/LN(50))*1000),0)/1.2)*(1+($W$6-1)*0.9)*$W$2*$W$4*(1+FO_Params!C37*FO_Params!$B$33)*(1+$I$8/100*FO_Params!G40),0)</f>
        <v>1709373</v>
      </c>
      <c r="T20" s="19">
        <f>ROUND((IF($A$8&lt;=1,FO_Params!C18*1000,FO_Params!C18*POWER($A$8,LN(FO_Params!D18/FO_Params!C18)/LN(50))*1000)+2*MAX(POWER(10,FO_Params!F18+FO_Params!E18*LOG10($A$8))*1000000-IF($A$8&lt;=1,FO_Params!C18*1000,FO_Params!C18*POWER($A$8,LN(FO_Params!D18/FO_Params!C18)/LN(50))*1000),0)/1.2)*(1+($W$6-1)*0.9)*$W$2*$W$4*(1+FO_Params!D37*FO_Params!$B$33)*(1+$I$8/100*FO_Params!G40),0)</f>
        <v>1997403</v>
      </c>
      <c r="U20" s="19">
        <f>ROUND((IF($A$8&lt;=1,FO_Params!C18*1000,FO_Params!C18*POWER($A$8,LN(FO_Params!D18/FO_Params!C18)/LN(50))*1000)+2*MAX(POWER(10,FO_Params!F18+FO_Params!E18*LOG10($A$8))*1000000-IF($A$8&lt;=1,FO_Params!C18*1000,FO_Params!C18*POWER($A$8,LN(FO_Params!D18/FO_Params!C18)/LN(50))*1000),0)/1.2)*(1+($W$6-1)*0.9)*$W$2*$W$4*(1+FO_Params!E37*FO_Params!$B$33)*(1+$I$8/100*FO_Params!G40),0)</f>
        <v>2257228</v>
      </c>
      <c r="V20" s="4"/>
      <c r="W20" s="4"/>
    </row>
    <row r="21" spans="1:23" ht="18" customHeight="1" x14ac:dyDescent="0.3">
      <c r="A21" s="24" t="s">
        <v>51</v>
      </c>
      <c r="B21" s="25">
        <f>ROUND(IF($A$8&lt;=1,FO_Params!C19*1000,FO_Params!C19*POWER($A$8,LN(FO_Params!D19/FO_Params!C19)/LN(50))*1000)*(1+($W$6-1)*1)*$W$2*$W$4*(1+FO_Params!A37*FO_Params!$B$33),0)</f>
        <v>602596</v>
      </c>
      <c r="C21" s="26">
        <f>ROUND(IF($A$8&lt;=1,FO_Params!C19*1000,FO_Params!C19*POWER($A$8,LN(FO_Params!D19/FO_Params!C19)/LN(50))*1000)*(1+($W$6-1)*1)*$W$2*$W$4*(1+FO_Params!B37*FO_Params!$B$33),0)</f>
        <v>737394</v>
      </c>
      <c r="D21" s="27">
        <f>ROUND(IF($A$8&lt;=1,FO_Params!C19*1000,FO_Params!C19*POWER($A$8,LN(FO_Params!D19/FO_Params!C19)/LN(50))*1000)*(1+($W$6-1)*1)*$W$2*$W$4*(1+FO_Params!C37*FO_Params!$B$33),0)</f>
        <v>886823</v>
      </c>
      <c r="E21" s="26">
        <f>ROUND(IF($A$8&lt;=1,FO_Params!C19*1000,FO_Params!C19*POWER($A$8,LN(FO_Params!D19/FO_Params!C19)/LN(50))*1000)*(1+($W$6-1)*1)*$W$2*$W$4*(1+FO_Params!D37*FO_Params!$B$33),0)</f>
        <v>1036253</v>
      </c>
      <c r="F21" s="26">
        <f>ROUND(IF($A$8&lt;=1,FO_Params!C19*1000,FO_Params!C19*POWER($A$8,LN(FO_Params!D19/FO_Params!C19)/LN(50))*1000)*(1+($W$6-1)*1)*$W$2*$W$4*(1+FO_Params!E37*FO_Params!$B$33),0)</f>
        <v>1171050</v>
      </c>
      <c r="G21" s="25">
        <f>ROUND(POWER(10,FO_Params!F19+FO_Params!E19*LOG10($A$8))*1000000*(1+($W$6-1)*1)*$W$2*$W$4*(1+FO_Params!A37*FO_Params!$B$33)*(1+$I$8/100*FO_Params!H40),0)</f>
        <v>1523022</v>
      </c>
      <c r="H21" s="26">
        <f>ROUND(POWER(10,FO_Params!F19+FO_Params!E19*LOG10($A$8))*1000000*(1+($W$6-1)*1)*$W$2*$W$4*(1+FO_Params!B37*FO_Params!$B$33)*(1+$I$8/100*FO_Params!H40),0)</f>
        <v>1863713</v>
      </c>
      <c r="I21" s="27">
        <f>ROUND(POWER(10,FO_Params!F19+FO_Params!E19*LOG10($A$8))*1000000*(1+($W$6-1)*1)*$W$2*$W$4*(1+FO_Params!C37*FO_Params!$B$33)*(1+$I$8/100*FO_Params!H40),0)</f>
        <v>2241386</v>
      </c>
      <c r="J21" s="26">
        <f>ROUND(POWER(10,FO_Params!F19+FO_Params!E19*LOG10($A$8))*1000000*(1+($W$6-1)*1)*$W$2*$W$4*(1+FO_Params!D37*FO_Params!$B$33)*(1+$I$8/100*FO_Params!H40),0)</f>
        <v>2619060</v>
      </c>
      <c r="K21" s="26">
        <f>ROUND(POWER(10,FO_Params!F19+FO_Params!E19*LOG10($A$8))*1000000*(1+($W$6-1)*1)*$W$2*$W$4*(1+FO_Params!E37*FO_Params!$B$33)*(1+$I$8/100*FO_Params!H40),0)</f>
        <v>2959750</v>
      </c>
      <c r="L21" s="25">
        <f>ROUND((IF($A$8&lt;=1,FO_Params!C19*1000,FO_Params!C19*POWER($A$8,LN(FO_Params!D19/FO_Params!C19)/LN(50))*1000)+MAX(POWER(10,FO_Params!F19+FO_Params!E19*LOG10($A$8))*1000000-IF($A$8&lt;=1,FO_Params!C19*1000,FO_Params!C19*POWER($A$8,LN(FO_Params!D19/FO_Params!C19)/LN(50))*1000),0)/1.2)*(1+($W$6-1)*1)*$W$2*$W$4*(1+FO_Params!A37*FO_Params!$B$33)*(1+$I$8/100*FO_Params!H40),0)</f>
        <v>1369618</v>
      </c>
      <c r="M21" s="26">
        <f>ROUND((IF($A$8&lt;=1,FO_Params!C19*1000,FO_Params!C19*POWER($A$8,LN(FO_Params!D19/FO_Params!C19)/LN(50))*1000)+MAX(POWER(10,FO_Params!F19+FO_Params!E19*LOG10($A$8))*1000000-IF($A$8&lt;=1,FO_Params!C19*1000,FO_Params!C19*POWER($A$8,LN(FO_Params!D19/FO_Params!C19)/LN(50))*1000),0)/1.2)*(1+($W$6-1)*1)*$W$2*$W$4*(1+FO_Params!B37*FO_Params!$B$33)*(1+$I$8/100*FO_Params!H40),0)</f>
        <v>1675993</v>
      </c>
      <c r="N21" s="27">
        <f>ROUND((IF($A$8&lt;=1,FO_Params!C19*1000,FO_Params!C19*POWER($A$8,LN(FO_Params!D19/FO_Params!C19)/LN(50))*1000)+MAX(POWER(10,FO_Params!F19+FO_Params!E19*LOG10($A$8))*1000000-IF($A$8&lt;=1,FO_Params!C19*1000,FO_Params!C19*POWER($A$8,LN(FO_Params!D19/FO_Params!C19)/LN(50))*1000),0)/1.2)*(1+($W$6-1)*1)*$W$2*$W$4*(1+FO_Params!C37*FO_Params!$B$33)*(1+$I$8/100*FO_Params!H40),0)</f>
        <v>2015626</v>
      </c>
      <c r="O21" s="26">
        <f>ROUND((IF($A$8&lt;=1,FO_Params!C19*1000,FO_Params!C19*POWER($A$8,LN(FO_Params!D19/FO_Params!C19)/LN(50))*1000)+MAX(POWER(10,FO_Params!F19+FO_Params!E19*LOG10($A$8))*1000000-IF($A$8&lt;=1,FO_Params!C19*1000,FO_Params!C19*POWER($A$8,LN(FO_Params!D19/FO_Params!C19)/LN(50))*1000),0)/1.2)*(1+($W$6-1)*1)*$W$2*$W$4*(1+FO_Params!D37*FO_Params!$B$33)*(1+$I$8/100*FO_Params!H40),0)</f>
        <v>2355259</v>
      </c>
      <c r="P21" s="26">
        <f>ROUND((IF($A$8&lt;=1,FO_Params!C19*1000,FO_Params!C19*POWER($A$8,LN(FO_Params!D19/FO_Params!C19)/LN(50))*1000)+MAX(POWER(10,FO_Params!F19+FO_Params!E19*LOG10($A$8))*1000000-IF($A$8&lt;=1,FO_Params!C19*1000,FO_Params!C19*POWER($A$8,LN(FO_Params!D19/FO_Params!C19)/LN(50))*1000),0)/1.2)*(1+($W$6-1)*1)*$W$2*$W$4*(1+FO_Params!E37*FO_Params!$B$33)*(1+$I$8/100*FO_Params!H40),0)</f>
        <v>2661634</v>
      </c>
      <c r="Q21" s="25">
        <f>ROUND((IF($A$8&lt;=1,FO_Params!C19*1000,FO_Params!C19*POWER($A$8,LN(FO_Params!D19/FO_Params!C19)/LN(50))*1000)+2*MAX(POWER(10,FO_Params!F19+FO_Params!E19*LOG10($A$8))*1000000-IF($A$8&lt;=1,FO_Params!C19*1000,FO_Params!C19*POWER($A$8,LN(FO_Params!D19/FO_Params!C19)/LN(50))*1000),0)/1.2)*(1+($W$6-1)*1)*$W$2*$W$4*(1+FO_Params!A37*FO_Params!$B$33)*(1+$I$8/100*FO_Params!H40),0)</f>
        <v>2136639</v>
      </c>
      <c r="R21" s="26">
        <f>ROUND((IF($A$8&lt;=1,FO_Params!C19*1000,FO_Params!C19*POWER($A$8,LN(FO_Params!D19/FO_Params!C19)/LN(50))*1000)+2*MAX(POWER(10,FO_Params!F19+FO_Params!E19*LOG10($A$8))*1000000-IF($A$8&lt;=1,FO_Params!C19*1000,FO_Params!C19*POWER($A$8,LN(FO_Params!D19/FO_Params!C19)/LN(50))*1000),0)/1.2)*(1+($W$6-1)*1)*$W$2*$W$4*(1+FO_Params!B37*FO_Params!$B$33)*(1+$I$8/100*FO_Params!H40),0)</f>
        <v>2614592</v>
      </c>
      <c r="S21" s="27">
        <f>ROUND((IF($A$8&lt;=1,FO_Params!C19*1000,FO_Params!C19*POWER($A$8,LN(FO_Params!D19/FO_Params!C19)/LN(50))*1000)+2*MAX(POWER(10,FO_Params!F19+FO_Params!E19*LOG10($A$8))*1000000-IF($A$8&lt;=1,FO_Params!C19*1000,FO_Params!C19*POWER($A$8,LN(FO_Params!D19/FO_Params!C19)/LN(50))*1000),0)/1.2)*(1+($W$6-1)*1)*$W$2*$W$4*(1+FO_Params!C37*FO_Params!$B$33)*(1+$I$8/100*FO_Params!H40),0)</f>
        <v>3144428</v>
      </c>
      <c r="T21" s="26">
        <f>ROUND((IF($A$8&lt;=1,FO_Params!C19*1000,FO_Params!C19*POWER($A$8,LN(FO_Params!D19/FO_Params!C19)/LN(50))*1000)+2*MAX(POWER(10,FO_Params!F19+FO_Params!E19*LOG10($A$8))*1000000-IF($A$8&lt;=1,FO_Params!C19*1000,FO_Params!C19*POWER($A$8,LN(FO_Params!D19/FO_Params!C19)/LN(50))*1000),0)/1.2)*(1+($W$6-1)*1)*$W$2*$W$4*(1+FO_Params!D37*FO_Params!$B$33)*(1+$I$8/100*FO_Params!H40),0)</f>
        <v>3674264</v>
      </c>
      <c r="U21" s="26">
        <f>ROUND((IF($A$8&lt;=1,FO_Params!C19*1000,FO_Params!C19*POWER($A$8,LN(FO_Params!D19/FO_Params!C19)/LN(50))*1000)+2*MAX(POWER(10,FO_Params!F19+FO_Params!E19*LOG10($A$8))*1000000-IF($A$8&lt;=1,FO_Params!C19*1000,FO_Params!C19*POWER($A$8,LN(FO_Params!D19/FO_Params!C19)/LN(50))*1000),0)/1.2)*(1+($W$6-1)*1)*$W$2*$W$4*(1+FO_Params!E37*FO_Params!$B$33)*(1+$I$8/100*FO_Params!H40),0)</f>
        <v>4152217</v>
      </c>
      <c r="V21" s="4"/>
      <c r="W21" s="4"/>
    </row>
    <row r="22" spans="1:23" ht="7.9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7.9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22.05" customHeight="1" x14ac:dyDescent="0.3">
      <c r="A24" s="107" t="str">
        <f>"Investment Operations ("&amp;TEXT(A8,"$#.0")&amp;"B AUM, C"&amp;G8&amp;")"</f>
        <v>Investment Operations ($10.0B AUM, C3)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4"/>
      <c r="W24" s="4"/>
    </row>
    <row r="25" spans="1:23" ht="19.95" customHeight="1" x14ac:dyDescent="0.3">
      <c r="A25" s="13"/>
      <c r="B25" s="97" t="s">
        <v>9</v>
      </c>
      <c r="C25" s="98"/>
      <c r="D25" s="98"/>
      <c r="E25" s="98"/>
      <c r="F25" s="98"/>
      <c r="G25" s="102" t="s">
        <v>44</v>
      </c>
      <c r="H25" s="98"/>
      <c r="I25" s="98"/>
      <c r="J25" s="98"/>
      <c r="K25" s="98"/>
      <c r="L25" s="99" t="s">
        <v>45</v>
      </c>
      <c r="M25" s="98"/>
      <c r="N25" s="98"/>
      <c r="O25" s="98"/>
      <c r="P25" s="98"/>
      <c r="Q25" s="102" t="s">
        <v>46</v>
      </c>
      <c r="R25" s="98"/>
      <c r="S25" s="98"/>
      <c r="T25" s="98"/>
      <c r="U25" s="98"/>
      <c r="V25" s="4"/>
      <c r="W25" s="4"/>
    </row>
    <row r="26" spans="1:23" ht="19.95" customHeight="1" x14ac:dyDescent="0.3">
      <c r="A26" s="14" t="s">
        <v>12</v>
      </c>
      <c r="B26" s="15" t="s">
        <v>13</v>
      </c>
      <c r="C26" s="16" t="s">
        <v>14</v>
      </c>
      <c r="D26" s="16" t="s">
        <v>15</v>
      </c>
      <c r="E26" s="16" t="s">
        <v>16</v>
      </c>
      <c r="F26" s="16" t="s">
        <v>17</v>
      </c>
      <c r="G26" s="15" t="s">
        <v>13</v>
      </c>
      <c r="H26" s="16" t="s">
        <v>14</v>
      </c>
      <c r="I26" s="16" t="s">
        <v>15</v>
      </c>
      <c r="J26" s="16" t="s">
        <v>16</v>
      </c>
      <c r="K26" s="16" t="s">
        <v>17</v>
      </c>
      <c r="L26" s="15" t="s">
        <v>13</v>
      </c>
      <c r="M26" s="16" t="s">
        <v>14</v>
      </c>
      <c r="N26" s="16" t="s">
        <v>15</v>
      </c>
      <c r="O26" s="16" t="s">
        <v>16</v>
      </c>
      <c r="P26" s="16" t="s">
        <v>17</v>
      </c>
      <c r="Q26" s="15" t="s">
        <v>13</v>
      </c>
      <c r="R26" s="16" t="s">
        <v>14</v>
      </c>
      <c r="S26" s="16" t="s">
        <v>15</v>
      </c>
      <c r="T26" s="16" t="s">
        <v>16</v>
      </c>
      <c r="U26" s="16" t="s">
        <v>17</v>
      </c>
      <c r="V26" s="4"/>
      <c r="W26" s="4"/>
    </row>
    <row r="27" spans="1:23" ht="18" customHeight="1" x14ac:dyDescent="0.3">
      <c r="A27" s="17" t="s">
        <v>27</v>
      </c>
      <c r="B27" s="18">
        <f>ROUND(IF($A$8&lt;=1,FO_Params!C12*1000,FO_Params!C12*POWER($A$8,LN(FO_Params!D12/FO_Params!C12)/LN(50))*1000)*FO_Params!G12*(1+($W$6-1)*0.3)*$W$2*$W$4*(1+FO_Params!A37*FO_Params!$B$33),0)</f>
        <v>52347</v>
      </c>
      <c r="C27" s="19">
        <f>ROUND(IF($A$8&lt;=1,FO_Params!C12*1000,FO_Params!C12*POWER($A$8,LN(FO_Params!D12/FO_Params!C12)/LN(50))*1000)*FO_Params!G12*(1+($W$6-1)*0.3)*$W$2*$W$4*(1+FO_Params!B37*FO_Params!$B$33),0)</f>
        <v>64057</v>
      </c>
      <c r="D27" s="20">
        <f>ROUND(IF($A$8&lt;=1,FO_Params!C12*1000,FO_Params!C12*POWER($A$8,LN(FO_Params!D12/FO_Params!C12)/LN(50))*1000)*FO_Params!G12*(1+($W$6-1)*0.3)*$W$2*$W$4*(1+FO_Params!C37*FO_Params!$B$33),0)</f>
        <v>77038</v>
      </c>
      <c r="E27" s="19">
        <f>ROUND(IF($A$8&lt;=1,FO_Params!C12*1000,FO_Params!C12*POWER($A$8,LN(FO_Params!D12/FO_Params!C12)/LN(50))*1000)*FO_Params!G12*(1+($W$6-1)*0.3)*$W$2*$W$4*(1+FO_Params!D37*FO_Params!$B$33),0)</f>
        <v>90019</v>
      </c>
      <c r="F27" s="19">
        <f>ROUND(IF($A$8&lt;=1,FO_Params!C12*1000,FO_Params!C12*POWER($A$8,LN(FO_Params!D12/FO_Params!C12)/LN(50))*1000)*FO_Params!G12*(1+($W$6-1)*0.3)*$W$2*$W$4*(1+FO_Params!E37*FO_Params!$B$33),0)</f>
        <v>101728</v>
      </c>
      <c r="G27" s="18">
        <f>ROUND((IF($A$8&lt;=1,FO_Params!C12*1000,FO_Params!C12*POWER($A$8,LN(FO_Params!D12/FO_Params!C12)/LN(50))*1000)*FO_Params!G12+1.5*MAX(POWER(10,FO_Params!F12+FO_Params!E12*LOG10($A$8))*1000000-IF($A$8&lt;=1,FO_Params!C12*1000,FO_Params!C12*POWER($A$8,LN(FO_Params!D12/FO_Params!C12)/LN(50))*1000),0)/1.2*FO_Params!H12)*(1+($W$6-1)*0.3)*$W$2*$W$4*(1+FO_Params!A37*FO_Params!$B$33)*(1+$I$8/100*FO_Params!A40),0)</f>
        <v>53937</v>
      </c>
      <c r="H27" s="19">
        <f>ROUND((IF($A$8&lt;=1,FO_Params!C12*1000,FO_Params!C12*POWER($A$8,LN(FO_Params!D12/FO_Params!C12)/LN(50))*1000)*FO_Params!G12+1.5*MAX(POWER(10,FO_Params!F12+FO_Params!E12*LOG10($A$8))*1000000-IF($A$8&lt;=1,FO_Params!C12*1000,FO_Params!C12*POWER($A$8,LN(FO_Params!D12/FO_Params!C12)/LN(50))*1000),0)/1.2*FO_Params!H12)*(1+($W$6-1)*0.3)*$W$2*$W$4*(1+FO_Params!B37*FO_Params!$B$33)*(1+$I$8/100*FO_Params!A40),0)</f>
        <v>66003</v>
      </c>
      <c r="I27" s="20">
        <f>ROUND((IF($A$8&lt;=1,FO_Params!C12*1000,FO_Params!C12*POWER($A$8,LN(FO_Params!D12/FO_Params!C12)/LN(50))*1000)*FO_Params!G12+1.5*MAX(POWER(10,FO_Params!F12+FO_Params!E12*LOG10($A$8))*1000000-IF($A$8&lt;=1,FO_Params!C12*1000,FO_Params!C12*POWER($A$8,LN(FO_Params!D12/FO_Params!C12)/LN(50))*1000),0)/1.2*FO_Params!H12)*(1+($W$6-1)*0.3)*$W$2*$W$4*(1+FO_Params!C37*FO_Params!$B$33)*(1+$I$8/100*FO_Params!A40),0)</f>
        <v>79378</v>
      </c>
      <c r="J27" s="19">
        <f>ROUND((IF($A$8&lt;=1,FO_Params!C12*1000,FO_Params!C12*POWER($A$8,LN(FO_Params!D12/FO_Params!C12)/LN(50))*1000)*FO_Params!G12+1.5*MAX(POWER(10,FO_Params!F12+FO_Params!E12*LOG10($A$8))*1000000-IF($A$8&lt;=1,FO_Params!C12*1000,FO_Params!C12*POWER($A$8,LN(FO_Params!D12/FO_Params!C12)/LN(50))*1000),0)/1.2*FO_Params!H12)*(1+($W$6-1)*0.3)*$W$2*$W$4*(1+FO_Params!D37*FO_Params!$B$33)*(1+$I$8/100*FO_Params!A40),0)</f>
        <v>92753</v>
      </c>
      <c r="K27" s="19">
        <f>ROUND((IF($A$8&lt;=1,FO_Params!C12*1000,FO_Params!C12*POWER($A$8,LN(FO_Params!D12/FO_Params!C12)/LN(50))*1000)*FO_Params!G12+1.5*MAX(POWER(10,FO_Params!F12+FO_Params!E12*LOG10($A$8))*1000000-IF($A$8&lt;=1,FO_Params!C12*1000,FO_Params!C12*POWER($A$8,LN(FO_Params!D12/FO_Params!C12)/LN(50))*1000),0)/1.2*FO_Params!H12)*(1+($W$6-1)*0.3)*$W$2*$W$4*(1+FO_Params!E37*FO_Params!$B$33)*(1+$I$8/100*FO_Params!A40),0)</f>
        <v>104819</v>
      </c>
      <c r="L27" s="18">
        <f>ROUND((IF($A$8&lt;=1,FO_Params!C12*1000,FO_Params!C12*POWER($A$8,LN(FO_Params!D12/FO_Params!C12)/LN(50))*1000)*FO_Params!G12+MAX(POWER(10,FO_Params!F12+FO_Params!E12*LOG10($A$8))*1000000-IF($A$8&lt;=1,FO_Params!C12*1000,FO_Params!C12*POWER($A$8,LN(FO_Params!D12/FO_Params!C12)/LN(50))*1000),0)/1.2*FO_Params!H12)*(1+($W$6-1)*0.3)*$W$2*$W$4*(1+FO_Params!A37*FO_Params!$B$33)*(1+$I$8/100*FO_Params!A40),0)</f>
        <v>53407</v>
      </c>
      <c r="M27" s="19">
        <f>ROUND((IF($A$8&lt;=1,FO_Params!C12*1000,FO_Params!C12*POWER($A$8,LN(FO_Params!D12/FO_Params!C12)/LN(50))*1000)*FO_Params!G12+MAX(POWER(10,FO_Params!F12+FO_Params!E12*LOG10($A$8))*1000000-IF($A$8&lt;=1,FO_Params!C12*1000,FO_Params!C12*POWER($A$8,LN(FO_Params!D12/FO_Params!C12)/LN(50))*1000),0)/1.2*FO_Params!H12)*(1+($W$6-1)*0.3)*$W$2*$W$4*(1+FO_Params!B37*FO_Params!$B$33)*(1+$I$8/100*FO_Params!A40),0)</f>
        <v>65354</v>
      </c>
      <c r="N27" s="20">
        <f>ROUND((IF($A$8&lt;=1,FO_Params!C12*1000,FO_Params!C12*POWER($A$8,LN(FO_Params!D12/FO_Params!C12)/LN(50))*1000)*FO_Params!G12+MAX(POWER(10,FO_Params!F12+FO_Params!E12*LOG10($A$8))*1000000-IF($A$8&lt;=1,FO_Params!C12*1000,FO_Params!C12*POWER($A$8,LN(FO_Params!D12/FO_Params!C12)/LN(50))*1000),0)/1.2*FO_Params!H12)*(1+($W$6-1)*0.3)*$W$2*$W$4*(1+FO_Params!C37*FO_Params!$B$33)*(1+$I$8/100*FO_Params!A40),0)</f>
        <v>78598</v>
      </c>
      <c r="O27" s="19">
        <f>ROUND((IF($A$8&lt;=1,FO_Params!C12*1000,FO_Params!C12*POWER($A$8,LN(FO_Params!D12/FO_Params!C12)/LN(50))*1000)*FO_Params!G12+MAX(POWER(10,FO_Params!F12+FO_Params!E12*LOG10($A$8))*1000000-IF($A$8&lt;=1,FO_Params!C12*1000,FO_Params!C12*POWER($A$8,LN(FO_Params!D12/FO_Params!C12)/LN(50))*1000),0)/1.2*FO_Params!H12)*(1+($W$6-1)*0.3)*$W$2*$W$4*(1+FO_Params!D37*FO_Params!$B$33)*(1+$I$8/100*FO_Params!A40),0)</f>
        <v>91842</v>
      </c>
      <c r="P27" s="19">
        <f>ROUND((IF($A$8&lt;=1,FO_Params!C12*1000,FO_Params!C12*POWER($A$8,LN(FO_Params!D12/FO_Params!C12)/LN(50))*1000)*FO_Params!G12+MAX(POWER(10,FO_Params!F12+FO_Params!E12*LOG10($A$8))*1000000-IF($A$8&lt;=1,FO_Params!C12*1000,FO_Params!C12*POWER($A$8,LN(FO_Params!D12/FO_Params!C12)/LN(50))*1000),0)/1.2*FO_Params!H12)*(1+($W$6-1)*0.3)*$W$2*$W$4*(1+FO_Params!E37*FO_Params!$B$33)*(1+$I$8/100*FO_Params!A40),0)</f>
        <v>103788</v>
      </c>
      <c r="Q27" s="18">
        <f>ROUND((IF($A$8&lt;=1,FO_Params!C12*1000,FO_Params!C12*POWER($A$8,LN(FO_Params!D12/FO_Params!C12)/LN(50))*1000)*FO_Params!G12+2*MAX(POWER(10,FO_Params!F12+FO_Params!E12*LOG10($A$8))*1000000-IF($A$8&lt;=1,FO_Params!C12*1000,FO_Params!C12*POWER($A$8,LN(FO_Params!D12/FO_Params!C12)/LN(50))*1000),0)/1.2*FO_Params!H12)*(1+($W$6-1)*0.3)*$W$2*$W$4*(1+FO_Params!A37*FO_Params!$B$33)*(1+$I$8/100*FO_Params!A40),0)</f>
        <v>54467</v>
      </c>
      <c r="R27" s="19">
        <f>ROUND((IF($A$8&lt;=1,FO_Params!C12*1000,FO_Params!C12*POWER($A$8,LN(FO_Params!D12/FO_Params!C12)/LN(50))*1000)*FO_Params!G12+2*MAX(POWER(10,FO_Params!F12+FO_Params!E12*LOG10($A$8))*1000000-IF($A$8&lt;=1,FO_Params!C12*1000,FO_Params!C12*POWER($A$8,LN(FO_Params!D12/FO_Params!C12)/LN(50))*1000),0)/1.2*FO_Params!H12)*(1+($W$6-1)*0.3)*$W$2*$W$4*(1+FO_Params!B37*FO_Params!$B$33)*(1+$I$8/100*FO_Params!A40),0)</f>
        <v>66651</v>
      </c>
      <c r="S27" s="20">
        <f>ROUND((IF($A$8&lt;=1,FO_Params!C12*1000,FO_Params!C12*POWER($A$8,LN(FO_Params!D12/FO_Params!C12)/LN(50))*1000)*FO_Params!G12+2*MAX(POWER(10,FO_Params!F12+FO_Params!E12*LOG10($A$8))*1000000-IF($A$8&lt;=1,FO_Params!C12*1000,FO_Params!C12*POWER($A$8,LN(FO_Params!D12/FO_Params!C12)/LN(50))*1000),0)/1.2*FO_Params!H12)*(1+($W$6-1)*0.3)*$W$2*$W$4*(1+FO_Params!C37*FO_Params!$B$33)*(1+$I$8/100*FO_Params!A40),0)</f>
        <v>80158</v>
      </c>
      <c r="T27" s="19">
        <f>ROUND((IF($A$8&lt;=1,FO_Params!C12*1000,FO_Params!C12*POWER($A$8,LN(FO_Params!D12/FO_Params!C12)/LN(50))*1000)*FO_Params!G12+2*MAX(POWER(10,FO_Params!F12+FO_Params!E12*LOG10($A$8))*1000000-IF($A$8&lt;=1,FO_Params!C12*1000,FO_Params!C12*POWER($A$8,LN(FO_Params!D12/FO_Params!C12)/LN(50))*1000),0)/1.2*FO_Params!H12)*(1+($W$6-1)*0.3)*$W$2*$W$4*(1+FO_Params!D37*FO_Params!$B$33)*(1+$I$8/100*FO_Params!A40),0)</f>
        <v>93665</v>
      </c>
      <c r="U27" s="19">
        <f>ROUND((IF($A$8&lt;=1,FO_Params!C12*1000,FO_Params!C12*POWER($A$8,LN(FO_Params!D12/FO_Params!C12)/LN(50))*1000)*FO_Params!G12+2*MAX(POWER(10,FO_Params!F12+FO_Params!E12*LOG10($A$8))*1000000-IF($A$8&lt;=1,FO_Params!C12*1000,FO_Params!C12*POWER($A$8,LN(FO_Params!D12/FO_Params!C12)/LN(50))*1000),0)/1.2*FO_Params!H12)*(1+($W$6-1)*0.3)*$W$2*$W$4*(1+FO_Params!E37*FO_Params!$B$33)*(1+$I$8/100*FO_Params!A40),0)</f>
        <v>105849</v>
      </c>
      <c r="V27" s="4"/>
      <c r="W27" s="4"/>
    </row>
    <row r="28" spans="1:23" ht="18" customHeight="1" x14ac:dyDescent="0.3">
      <c r="A28" s="21" t="s">
        <v>28</v>
      </c>
      <c r="B28" s="22">
        <f>ROUND(IF($A$8&lt;=1,FO_Params!C13*1000,FO_Params!C13*POWER($A$8,LN(FO_Params!D13/FO_Params!C13)/LN(50))*1000)*FO_Params!G13*(1+($W$6-1)*0.4)*$W$2*$W$4*(1+FO_Params!A37*FO_Params!$B$33),0)</f>
        <v>85989</v>
      </c>
      <c r="C28" s="23">
        <f>ROUND(IF($A$8&lt;=1,FO_Params!C13*1000,FO_Params!C13*POWER($A$8,LN(FO_Params!D13/FO_Params!C13)/LN(50))*1000)*FO_Params!G13*(1+($W$6-1)*0.4)*$W$2*$W$4*(1+FO_Params!B37*FO_Params!$B$33),0)</f>
        <v>105225</v>
      </c>
      <c r="D28" s="20">
        <f>ROUND(IF($A$8&lt;=1,FO_Params!C13*1000,FO_Params!C13*POWER($A$8,LN(FO_Params!D13/FO_Params!C13)/LN(50))*1000)*FO_Params!G13*(1+($W$6-1)*0.4)*$W$2*$W$4*(1+FO_Params!C37*FO_Params!$B$33),0)</f>
        <v>126548</v>
      </c>
      <c r="E28" s="23">
        <f>ROUND(IF($A$8&lt;=1,FO_Params!C13*1000,FO_Params!C13*POWER($A$8,LN(FO_Params!D13/FO_Params!C13)/LN(50))*1000)*FO_Params!G13*(1+($W$6-1)*0.4)*$W$2*$W$4*(1+FO_Params!D37*FO_Params!$B$33),0)</f>
        <v>147871</v>
      </c>
      <c r="F28" s="23">
        <f>ROUND(IF($A$8&lt;=1,FO_Params!C13*1000,FO_Params!C13*POWER($A$8,LN(FO_Params!D13/FO_Params!C13)/LN(50))*1000)*FO_Params!G13*(1+($W$6-1)*0.4)*$W$2*$W$4*(1+FO_Params!E37*FO_Params!$B$33),0)</f>
        <v>167107</v>
      </c>
      <c r="G28" s="22">
        <f>ROUND((IF($A$8&lt;=1,FO_Params!C13*1000,FO_Params!C13*POWER($A$8,LN(FO_Params!D13/FO_Params!C13)/LN(50))*1000)*FO_Params!G13+1.5*MAX(POWER(10,FO_Params!F13+FO_Params!E13*LOG10($A$8))*1000000-IF($A$8&lt;=1,FO_Params!C13*1000,FO_Params!C13*POWER($A$8,LN(FO_Params!D13/FO_Params!C13)/LN(50))*1000),0)/1.2*FO_Params!H13)*(1+($W$6-1)*0.4)*$W$2*$W$4*(1+FO_Params!A37*FO_Params!$B$33)*(1+$I$8/100*FO_Params!B40),0)</f>
        <v>99498</v>
      </c>
      <c r="H28" s="23">
        <f>ROUND((IF($A$8&lt;=1,FO_Params!C13*1000,FO_Params!C13*POWER($A$8,LN(FO_Params!D13/FO_Params!C13)/LN(50))*1000)*FO_Params!G13+1.5*MAX(POWER(10,FO_Params!F13+FO_Params!E13*LOG10($A$8))*1000000-IF($A$8&lt;=1,FO_Params!C13*1000,FO_Params!C13*POWER($A$8,LN(FO_Params!D13/FO_Params!C13)/LN(50))*1000),0)/1.2*FO_Params!H13)*(1+($W$6-1)*0.4)*$W$2*$W$4*(1+FO_Params!B37*FO_Params!$B$33)*(1+$I$8/100*FO_Params!B40),0)</f>
        <v>121755</v>
      </c>
      <c r="I28" s="20">
        <f>ROUND((IF($A$8&lt;=1,FO_Params!C13*1000,FO_Params!C13*POWER($A$8,LN(FO_Params!D13/FO_Params!C13)/LN(50))*1000)*FO_Params!G13+1.5*MAX(POWER(10,FO_Params!F13+FO_Params!E13*LOG10($A$8))*1000000-IF($A$8&lt;=1,FO_Params!C13*1000,FO_Params!C13*POWER($A$8,LN(FO_Params!D13/FO_Params!C13)/LN(50))*1000),0)/1.2*FO_Params!H13)*(1+($W$6-1)*0.4)*$W$2*$W$4*(1+FO_Params!C37*FO_Params!$B$33)*(1+$I$8/100*FO_Params!B40),0)</f>
        <v>146428</v>
      </c>
      <c r="J28" s="23">
        <f>ROUND((IF($A$8&lt;=1,FO_Params!C13*1000,FO_Params!C13*POWER($A$8,LN(FO_Params!D13/FO_Params!C13)/LN(50))*1000)*FO_Params!G13+1.5*MAX(POWER(10,FO_Params!F13+FO_Params!E13*LOG10($A$8))*1000000-IF($A$8&lt;=1,FO_Params!C13*1000,FO_Params!C13*POWER($A$8,LN(FO_Params!D13/FO_Params!C13)/LN(50))*1000),0)/1.2*FO_Params!H13)*(1+($W$6-1)*0.4)*$W$2*$W$4*(1+FO_Params!D37*FO_Params!$B$33)*(1+$I$8/100*FO_Params!B40),0)</f>
        <v>171101</v>
      </c>
      <c r="K28" s="23">
        <f>ROUND((IF($A$8&lt;=1,FO_Params!C13*1000,FO_Params!C13*POWER($A$8,LN(FO_Params!D13/FO_Params!C13)/LN(50))*1000)*FO_Params!G13+1.5*MAX(POWER(10,FO_Params!F13+FO_Params!E13*LOG10($A$8))*1000000-IF($A$8&lt;=1,FO_Params!C13*1000,FO_Params!C13*POWER($A$8,LN(FO_Params!D13/FO_Params!C13)/LN(50))*1000),0)/1.2*FO_Params!H13)*(1+($W$6-1)*0.4)*$W$2*$W$4*(1+FO_Params!E37*FO_Params!$B$33)*(1+$I$8/100*FO_Params!B40),0)</f>
        <v>193358</v>
      </c>
      <c r="L28" s="22">
        <f>ROUND((IF($A$8&lt;=1,FO_Params!C13*1000,FO_Params!C13*POWER($A$8,LN(FO_Params!D13/FO_Params!C13)/LN(50))*1000)*FO_Params!G13+MAX(POWER(10,FO_Params!F13+FO_Params!E13*LOG10($A$8))*1000000-IF($A$8&lt;=1,FO_Params!C13*1000,FO_Params!C13*POWER($A$8,LN(FO_Params!D13/FO_Params!C13)/LN(50))*1000),0)/1.2*FO_Params!H13)*(1+($W$6-1)*0.4)*$W$2*$W$4*(1+FO_Params!A37*FO_Params!$B$33)*(1+$I$8/100*FO_Params!B40),0)</f>
        <v>94995</v>
      </c>
      <c r="M28" s="23">
        <f>ROUND((IF($A$8&lt;=1,FO_Params!C13*1000,FO_Params!C13*POWER($A$8,LN(FO_Params!D13/FO_Params!C13)/LN(50))*1000)*FO_Params!G13+MAX(POWER(10,FO_Params!F13+FO_Params!E13*LOG10($A$8))*1000000-IF($A$8&lt;=1,FO_Params!C13*1000,FO_Params!C13*POWER($A$8,LN(FO_Params!D13/FO_Params!C13)/LN(50))*1000),0)/1.2*FO_Params!H13)*(1+($W$6-1)*0.4)*$W$2*$W$4*(1+FO_Params!B37*FO_Params!$B$33)*(1+$I$8/100*FO_Params!B40),0)</f>
        <v>116245</v>
      </c>
      <c r="N28" s="20">
        <f>ROUND((IF($A$8&lt;=1,FO_Params!C13*1000,FO_Params!C13*POWER($A$8,LN(FO_Params!D13/FO_Params!C13)/LN(50))*1000)*FO_Params!G13+MAX(POWER(10,FO_Params!F13+FO_Params!E13*LOG10($A$8))*1000000-IF($A$8&lt;=1,FO_Params!C13*1000,FO_Params!C13*POWER($A$8,LN(FO_Params!D13/FO_Params!C13)/LN(50))*1000),0)/1.2*FO_Params!H13)*(1+($W$6-1)*0.4)*$W$2*$W$4*(1+FO_Params!C37*FO_Params!$B$33)*(1+$I$8/100*FO_Params!B40),0)</f>
        <v>139801</v>
      </c>
      <c r="O28" s="23">
        <f>ROUND((IF($A$8&lt;=1,FO_Params!C13*1000,FO_Params!C13*POWER($A$8,LN(FO_Params!D13/FO_Params!C13)/LN(50))*1000)*FO_Params!G13+MAX(POWER(10,FO_Params!F13+FO_Params!E13*LOG10($A$8))*1000000-IF($A$8&lt;=1,FO_Params!C13*1000,FO_Params!C13*POWER($A$8,LN(FO_Params!D13/FO_Params!C13)/LN(50))*1000),0)/1.2*FO_Params!H13)*(1+($W$6-1)*0.4)*$W$2*$W$4*(1+FO_Params!D37*FO_Params!$B$33)*(1+$I$8/100*FO_Params!B40),0)</f>
        <v>163358</v>
      </c>
      <c r="P28" s="23">
        <f>ROUND((IF($A$8&lt;=1,FO_Params!C13*1000,FO_Params!C13*POWER($A$8,LN(FO_Params!D13/FO_Params!C13)/LN(50))*1000)*FO_Params!G13+MAX(POWER(10,FO_Params!F13+FO_Params!E13*LOG10($A$8))*1000000-IF($A$8&lt;=1,FO_Params!C13*1000,FO_Params!C13*POWER($A$8,LN(FO_Params!D13/FO_Params!C13)/LN(50))*1000),0)/1.2*FO_Params!H13)*(1+($W$6-1)*0.4)*$W$2*$W$4*(1+FO_Params!E37*FO_Params!$B$33)*(1+$I$8/100*FO_Params!B40),0)</f>
        <v>184607</v>
      </c>
      <c r="Q28" s="22">
        <f>ROUND((IF($A$8&lt;=1,FO_Params!C13*1000,FO_Params!C13*POWER($A$8,LN(FO_Params!D13/FO_Params!C13)/LN(50))*1000)*FO_Params!G13+2*MAX(POWER(10,FO_Params!F13+FO_Params!E13*LOG10($A$8))*1000000-IF($A$8&lt;=1,FO_Params!C13*1000,FO_Params!C13*POWER($A$8,LN(FO_Params!D13/FO_Params!C13)/LN(50))*1000),0)/1.2*FO_Params!H13)*(1+($W$6-1)*0.4)*$W$2*$W$4*(1+FO_Params!A37*FO_Params!$B$33)*(1+$I$8/100*FO_Params!B40),0)</f>
        <v>104000</v>
      </c>
      <c r="R28" s="23">
        <f>ROUND((IF($A$8&lt;=1,FO_Params!C13*1000,FO_Params!C13*POWER($A$8,LN(FO_Params!D13/FO_Params!C13)/LN(50))*1000)*FO_Params!G13+2*MAX(POWER(10,FO_Params!F13+FO_Params!E13*LOG10($A$8))*1000000-IF($A$8&lt;=1,FO_Params!C13*1000,FO_Params!C13*POWER($A$8,LN(FO_Params!D13/FO_Params!C13)/LN(50))*1000),0)/1.2*FO_Params!H13)*(1+($W$6-1)*0.4)*$W$2*$W$4*(1+FO_Params!B37*FO_Params!$B$33)*(1+$I$8/100*FO_Params!B40),0)</f>
        <v>127265</v>
      </c>
      <c r="S28" s="20">
        <f>ROUND((IF($A$8&lt;=1,FO_Params!C13*1000,FO_Params!C13*POWER($A$8,LN(FO_Params!D13/FO_Params!C13)/LN(50))*1000)*FO_Params!G13+2*MAX(POWER(10,FO_Params!F13+FO_Params!E13*LOG10($A$8))*1000000-IF($A$8&lt;=1,FO_Params!C13*1000,FO_Params!C13*POWER($A$8,LN(FO_Params!D13/FO_Params!C13)/LN(50))*1000),0)/1.2*FO_Params!H13)*(1+($W$6-1)*0.4)*$W$2*$W$4*(1+FO_Params!C37*FO_Params!$B$33)*(1+$I$8/100*FO_Params!B40),0)</f>
        <v>153054</v>
      </c>
      <c r="T28" s="23">
        <f>ROUND((IF($A$8&lt;=1,FO_Params!C13*1000,FO_Params!C13*POWER($A$8,LN(FO_Params!D13/FO_Params!C13)/LN(50))*1000)*FO_Params!G13+2*MAX(POWER(10,FO_Params!F13+FO_Params!E13*LOG10($A$8))*1000000-IF($A$8&lt;=1,FO_Params!C13*1000,FO_Params!C13*POWER($A$8,LN(FO_Params!D13/FO_Params!C13)/LN(50))*1000),0)/1.2*FO_Params!H13)*(1+($W$6-1)*0.4)*$W$2*$W$4*(1+FO_Params!D37*FO_Params!$B$33)*(1+$I$8/100*FO_Params!B40),0)</f>
        <v>178844</v>
      </c>
      <c r="U28" s="23">
        <f>ROUND((IF($A$8&lt;=1,FO_Params!C13*1000,FO_Params!C13*POWER($A$8,LN(FO_Params!D13/FO_Params!C13)/LN(50))*1000)*FO_Params!G13+2*MAX(POWER(10,FO_Params!F13+FO_Params!E13*LOG10($A$8))*1000000-IF($A$8&lt;=1,FO_Params!C13*1000,FO_Params!C13*POWER($A$8,LN(FO_Params!D13/FO_Params!C13)/LN(50))*1000),0)/1.2*FO_Params!H13)*(1+($W$6-1)*0.4)*$W$2*$W$4*(1+FO_Params!E37*FO_Params!$B$33)*(1+$I$8/100*FO_Params!B40),0)</f>
        <v>202108</v>
      </c>
      <c r="V28" s="4"/>
      <c r="W28" s="4"/>
    </row>
    <row r="29" spans="1:23" ht="18" customHeight="1" x14ac:dyDescent="0.3">
      <c r="A29" s="17" t="s">
        <v>29</v>
      </c>
      <c r="B29" s="18">
        <f>ROUND(IF($A$8&lt;=1,FO_Params!C14*1000,FO_Params!C14*POWER($A$8,LN(FO_Params!D14/FO_Params!C14)/LN(50))*1000)*FO_Params!G14*(1+($W$6-1)*0.5)*$W$2*$W$4*(1+FO_Params!A37*FO_Params!$B$33),0)</f>
        <v>121484</v>
      </c>
      <c r="C29" s="19">
        <f>ROUND(IF($A$8&lt;=1,FO_Params!C14*1000,FO_Params!C14*POWER($A$8,LN(FO_Params!D14/FO_Params!C14)/LN(50))*1000)*FO_Params!G14*(1+($W$6-1)*0.5)*$W$2*$W$4*(1+FO_Params!B37*FO_Params!$B$33),0)</f>
        <v>148659</v>
      </c>
      <c r="D29" s="20">
        <f>ROUND(IF($A$8&lt;=1,FO_Params!C14*1000,FO_Params!C14*POWER($A$8,LN(FO_Params!D14/FO_Params!C14)/LN(50))*1000)*FO_Params!G14*(1+($W$6-1)*0.5)*$W$2*$W$4*(1+FO_Params!C37*FO_Params!$B$33),0)</f>
        <v>178784</v>
      </c>
      <c r="E29" s="19">
        <f>ROUND(IF($A$8&lt;=1,FO_Params!C14*1000,FO_Params!C14*POWER($A$8,LN(FO_Params!D14/FO_Params!C14)/LN(50))*1000)*FO_Params!G14*(1+($W$6-1)*0.5)*$W$2*$W$4*(1+FO_Params!D37*FO_Params!$B$33),0)</f>
        <v>208909</v>
      </c>
      <c r="F29" s="19">
        <f>ROUND(IF($A$8&lt;=1,FO_Params!C14*1000,FO_Params!C14*POWER($A$8,LN(FO_Params!D14/FO_Params!C14)/LN(50))*1000)*FO_Params!G14*(1+($W$6-1)*0.5)*$W$2*$W$4*(1+FO_Params!E37*FO_Params!$B$33),0)</f>
        <v>236084</v>
      </c>
      <c r="G29" s="18">
        <f>ROUND((IF($A$8&lt;=1,FO_Params!C14*1000,FO_Params!C14*POWER($A$8,LN(FO_Params!D14/FO_Params!C14)/LN(50))*1000)*FO_Params!G14+1.5*MAX(POWER(10,FO_Params!F14+FO_Params!E14*LOG10($A$8))*1000000-IF($A$8&lt;=1,FO_Params!C14*1000,FO_Params!C14*POWER($A$8,LN(FO_Params!D14/FO_Params!C14)/LN(50))*1000),0)/1.2*FO_Params!H14)*(1+($W$6-1)*0.5)*$W$2*$W$4*(1+FO_Params!A37*FO_Params!$B$33)*(1+$I$8/100*FO_Params!C40),0)</f>
        <v>162276</v>
      </c>
      <c r="H29" s="19">
        <f>ROUND((IF($A$8&lt;=1,FO_Params!C14*1000,FO_Params!C14*POWER($A$8,LN(FO_Params!D14/FO_Params!C14)/LN(50))*1000)*FO_Params!G14+1.5*MAX(POWER(10,FO_Params!F14+FO_Params!E14*LOG10($A$8))*1000000-IF($A$8&lt;=1,FO_Params!C14*1000,FO_Params!C14*POWER($A$8,LN(FO_Params!D14/FO_Params!C14)/LN(50))*1000),0)/1.2*FO_Params!H14)*(1+($W$6-1)*0.5)*$W$2*$W$4*(1+FO_Params!B37*FO_Params!$B$33)*(1+$I$8/100*FO_Params!C40),0)</f>
        <v>198577</v>
      </c>
      <c r="I29" s="20">
        <f>ROUND((IF($A$8&lt;=1,FO_Params!C14*1000,FO_Params!C14*POWER($A$8,LN(FO_Params!D14/FO_Params!C14)/LN(50))*1000)*FO_Params!G14+1.5*MAX(POWER(10,FO_Params!F14+FO_Params!E14*LOG10($A$8))*1000000-IF($A$8&lt;=1,FO_Params!C14*1000,FO_Params!C14*POWER($A$8,LN(FO_Params!D14/FO_Params!C14)/LN(50))*1000),0)/1.2*FO_Params!H14)*(1+($W$6-1)*0.5)*$W$2*$W$4*(1+FO_Params!C37*FO_Params!$B$33)*(1+$I$8/100*FO_Params!C40),0)</f>
        <v>238817</v>
      </c>
      <c r="J29" s="19">
        <f>ROUND((IF($A$8&lt;=1,FO_Params!C14*1000,FO_Params!C14*POWER($A$8,LN(FO_Params!D14/FO_Params!C14)/LN(50))*1000)*FO_Params!G14+1.5*MAX(POWER(10,FO_Params!F14+FO_Params!E14*LOG10($A$8))*1000000-IF($A$8&lt;=1,FO_Params!C14*1000,FO_Params!C14*POWER($A$8,LN(FO_Params!D14/FO_Params!C14)/LN(50))*1000),0)/1.2*FO_Params!H14)*(1+($W$6-1)*0.5)*$W$2*$W$4*(1+FO_Params!D37*FO_Params!$B$33)*(1+$I$8/100*FO_Params!C40),0)</f>
        <v>279058</v>
      </c>
      <c r="K29" s="19">
        <f>ROUND((IF($A$8&lt;=1,FO_Params!C14*1000,FO_Params!C14*POWER($A$8,LN(FO_Params!D14/FO_Params!C14)/LN(50))*1000)*FO_Params!G14+1.5*MAX(POWER(10,FO_Params!F14+FO_Params!E14*LOG10($A$8))*1000000-IF($A$8&lt;=1,FO_Params!C14*1000,FO_Params!C14*POWER($A$8,LN(FO_Params!D14/FO_Params!C14)/LN(50))*1000),0)/1.2*FO_Params!H14)*(1+($W$6-1)*0.5)*$W$2*$W$4*(1+FO_Params!E37*FO_Params!$B$33)*(1+$I$8/100*FO_Params!C40),0)</f>
        <v>315358</v>
      </c>
      <c r="L29" s="18">
        <f>ROUND((IF($A$8&lt;=1,FO_Params!C14*1000,FO_Params!C14*POWER($A$8,LN(FO_Params!D14/FO_Params!C14)/LN(50))*1000)*FO_Params!G14+MAX(POWER(10,FO_Params!F14+FO_Params!E14*LOG10($A$8))*1000000-IF($A$8&lt;=1,FO_Params!C14*1000,FO_Params!C14*POWER($A$8,LN(FO_Params!D14/FO_Params!C14)/LN(50))*1000),0)/1.2*FO_Params!H14)*(1+($W$6-1)*0.5)*$W$2*$W$4*(1+FO_Params!A37*FO_Params!$B$33)*(1+$I$8/100*FO_Params!C40),0)</f>
        <v>148679</v>
      </c>
      <c r="M29" s="19">
        <f>ROUND((IF($A$8&lt;=1,FO_Params!C14*1000,FO_Params!C14*POWER($A$8,LN(FO_Params!D14/FO_Params!C14)/LN(50))*1000)*FO_Params!G14+MAX(POWER(10,FO_Params!F14+FO_Params!E14*LOG10($A$8))*1000000-IF($A$8&lt;=1,FO_Params!C14*1000,FO_Params!C14*POWER($A$8,LN(FO_Params!D14/FO_Params!C14)/LN(50))*1000),0)/1.2*FO_Params!H14)*(1+($W$6-1)*0.5)*$W$2*$W$4*(1+FO_Params!B37*FO_Params!$B$33)*(1+$I$8/100*FO_Params!C40),0)</f>
        <v>181937</v>
      </c>
      <c r="N29" s="20">
        <f>ROUND((IF($A$8&lt;=1,FO_Params!C14*1000,FO_Params!C14*POWER($A$8,LN(FO_Params!D14/FO_Params!C14)/LN(50))*1000)*FO_Params!G14+MAX(POWER(10,FO_Params!F14+FO_Params!E14*LOG10($A$8))*1000000-IF($A$8&lt;=1,FO_Params!C14*1000,FO_Params!C14*POWER($A$8,LN(FO_Params!D14/FO_Params!C14)/LN(50))*1000),0)/1.2*FO_Params!H14)*(1+($W$6-1)*0.5)*$W$2*$W$4*(1+FO_Params!C37*FO_Params!$B$33)*(1+$I$8/100*FO_Params!C40),0)</f>
        <v>218806</v>
      </c>
      <c r="O29" s="19">
        <f>ROUND((IF($A$8&lt;=1,FO_Params!C14*1000,FO_Params!C14*POWER($A$8,LN(FO_Params!D14/FO_Params!C14)/LN(50))*1000)*FO_Params!G14+MAX(POWER(10,FO_Params!F14+FO_Params!E14*LOG10($A$8))*1000000-IF($A$8&lt;=1,FO_Params!C14*1000,FO_Params!C14*POWER($A$8,LN(FO_Params!D14/FO_Params!C14)/LN(50))*1000),0)/1.2*FO_Params!H14)*(1+($W$6-1)*0.5)*$W$2*$W$4*(1+FO_Params!D37*FO_Params!$B$33)*(1+$I$8/100*FO_Params!C40),0)</f>
        <v>255675</v>
      </c>
      <c r="P29" s="19">
        <f>ROUND((IF($A$8&lt;=1,FO_Params!C14*1000,FO_Params!C14*POWER($A$8,LN(FO_Params!D14/FO_Params!C14)/LN(50))*1000)*FO_Params!G14+MAX(POWER(10,FO_Params!F14+FO_Params!E14*LOG10($A$8))*1000000-IF($A$8&lt;=1,FO_Params!C14*1000,FO_Params!C14*POWER($A$8,LN(FO_Params!D14/FO_Params!C14)/LN(50))*1000),0)/1.2*FO_Params!H14)*(1+($W$6-1)*0.5)*$W$2*$W$4*(1+FO_Params!E37*FO_Params!$B$33)*(1+$I$8/100*FO_Params!C40),0)</f>
        <v>288934</v>
      </c>
      <c r="Q29" s="18">
        <f>ROUND((IF($A$8&lt;=1,FO_Params!C14*1000,FO_Params!C14*POWER($A$8,LN(FO_Params!D14/FO_Params!C14)/LN(50))*1000)*FO_Params!G14+2*MAX(POWER(10,FO_Params!F14+FO_Params!E14*LOG10($A$8))*1000000-IF($A$8&lt;=1,FO_Params!C14*1000,FO_Params!C14*POWER($A$8,LN(FO_Params!D14/FO_Params!C14)/LN(50))*1000),0)/1.2*FO_Params!H14)*(1+($W$6-1)*0.5)*$W$2*$W$4*(1+FO_Params!A37*FO_Params!$B$33)*(1+$I$8/100*FO_Params!C40),0)</f>
        <v>175874</v>
      </c>
      <c r="R29" s="19">
        <f>ROUND((IF($A$8&lt;=1,FO_Params!C14*1000,FO_Params!C14*POWER($A$8,LN(FO_Params!D14/FO_Params!C14)/LN(50))*1000)*FO_Params!G14+2*MAX(POWER(10,FO_Params!F14+FO_Params!E14*LOG10($A$8))*1000000-IF($A$8&lt;=1,FO_Params!C14*1000,FO_Params!C14*POWER($A$8,LN(FO_Params!D14/FO_Params!C14)/LN(50))*1000),0)/1.2*FO_Params!H14)*(1+($W$6-1)*0.5)*$W$2*$W$4*(1+FO_Params!B37*FO_Params!$B$33)*(1+$I$8/100*FO_Params!C40),0)</f>
        <v>215216</v>
      </c>
      <c r="S29" s="20">
        <f>ROUND((IF($A$8&lt;=1,FO_Params!C14*1000,FO_Params!C14*POWER($A$8,LN(FO_Params!D14/FO_Params!C14)/LN(50))*1000)*FO_Params!G14+2*MAX(POWER(10,FO_Params!F14+FO_Params!E14*LOG10($A$8))*1000000-IF($A$8&lt;=1,FO_Params!C14*1000,FO_Params!C14*POWER($A$8,LN(FO_Params!D14/FO_Params!C14)/LN(50))*1000),0)/1.2*FO_Params!H14)*(1+($W$6-1)*0.5)*$W$2*$W$4*(1+FO_Params!C37*FO_Params!$B$33)*(1+$I$8/100*FO_Params!C40),0)</f>
        <v>258829</v>
      </c>
      <c r="T29" s="19">
        <f>ROUND((IF($A$8&lt;=1,FO_Params!C14*1000,FO_Params!C14*POWER($A$8,LN(FO_Params!D14/FO_Params!C14)/LN(50))*1000)*FO_Params!G14+2*MAX(POWER(10,FO_Params!F14+FO_Params!E14*LOG10($A$8))*1000000-IF($A$8&lt;=1,FO_Params!C14*1000,FO_Params!C14*POWER($A$8,LN(FO_Params!D14/FO_Params!C14)/LN(50))*1000),0)/1.2*FO_Params!H14)*(1+($W$6-1)*0.5)*$W$2*$W$4*(1+FO_Params!D37*FO_Params!$B$33)*(1+$I$8/100*FO_Params!C40),0)</f>
        <v>302441</v>
      </c>
      <c r="U29" s="19">
        <f>ROUND((IF($A$8&lt;=1,FO_Params!C14*1000,FO_Params!C14*POWER($A$8,LN(FO_Params!D14/FO_Params!C14)/LN(50))*1000)*FO_Params!G14+2*MAX(POWER(10,FO_Params!F14+FO_Params!E14*LOG10($A$8))*1000000-IF($A$8&lt;=1,FO_Params!C14*1000,FO_Params!C14*POWER($A$8,LN(FO_Params!D14/FO_Params!C14)/LN(50))*1000),0)/1.2*FO_Params!H14)*(1+($W$6-1)*0.5)*$W$2*$W$4*(1+FO_Params!E37*FO_Params!$B$33)*(1+$I$8/100*FO_Params!C40),0)</f>
        <v>341783</v>
      </c>
      <c r="V29" s="4"/>
      <c r="W29" s="4"/>
    </row>
    <row r="30" spans="1:23" ht="18" customHeight="1" x14ac:dyDescent="0.3">
      <c r="A30" s="21" t="s">
        <v>67</v>
      </c>
      <c r="B30" s="22">
        <f>ROUND(IF($A$8&lt;=1,FO_Params!C15*1000,FO_Params!C15*POWER($A$8,LN(FO_Params!D15/FO_Params!C15)/LN(50))*1000)*FO_Params!G15*(1+($W$6-1)*0.6)*$W$2*$W$4*(1+FO_Params!A37*FO_Params!$B$33),0)</f>
        <v>166621</v>
      </c>
      <c r="C30" s="23">
        <f>ROUND(IF($A$8&lt;=1,FO_Params!C15*1000,FO_Params!C15*POWER($A$8,LN(FO_Params!D15/FO_Params!C15)/LN(50))*1000)*FO_Params!G15*(1+($W$6-1)*0.6)*$W$2*$W$4*(1+FO_Params!B37*FO_Params!$B$33),0)</f>
        <v>203893</v>
      </c>
      <c r="D30" s="20">
        <f>ROUND(IF($A$8&lt;=1,FO_Params!C15*1000,FO_Params!C15*POWER($A$8,LN(FO_Params!D15/FO_Params!C15)/LN(50))*1000)*FO_Params!G15*(1+($W$6-1)*0.6)*$W$2*$W$4*(1+FO_Params!C37*FO_Params!$B$33),0)</f>
        <v>245211</v>
      </c>
      <c r="E30" s="23">
        <f>ROUND(IF($A$8&lt;=1,FO_Params!C15*1000,FO_Params!C15*POWER($A$8,LN(FO_Params!D15/FO_Params!C15)/LN(50))*1000)*FO_Params!G15*(1+($W$6-1)*0.6)*$W$2*$W$4*(1+FO_Params!D37*FO_Params!$B$33),0)</f>
        <v>286529</v>
      </c>
      <c r="F30" s="23">
        <f>ROUND(IF($A$8&lt;=1,FO_Params!C15*1000,FO_Params!C15*POWER($A$8,LN(FO_Params!D15/FO_Params!C15)/LN(50))*1000)*FO_Params!G15*(1+($W$6-1)*0.6)*$W$2*$W$4*(1+FO_Params!E37*FO_Params!$B$33),0)</f>
        <v>323801</v>
      </c>
      <c r="G30" s="22">
        <f>ROUND((IF($A$8&lt;=1,FO_Params!C15*1000,FO_Params!C15*POWER($A$8,LN(FO_Params!D15/FO_Params!C15)/LN(50))*1000)*FO_Params!G15+1.5*MAX(POWER(10,FO_Params!F15+FO_Params!E15*LOG10($A$8))*1000000-IF($A$8&lt;=1,FO_Params!C15*1000,FO_Params!C15*POWER($A$8,LN(FO_Params!D15/FO_Params!C15)/LN(50))*1000),0)/1.2*FO_Params!H15)*(1+($W$6-1)*0.6)*$W$2*$W$4*(1+FO_Params!A37*FO_Params!$B$33)*(1+$I$8/100*FO_Params!D40),0)</f>
        <v>234274</v>
      </c>
      <c r="H30" s="23">
        <f>ROUND((IF($A$8&lt;=1,FO_Params!C15*1000,FO_Params!C15*POWER($A$8,LN(FO_Params!D15/FO_Params!C15)/LN(50))*1000)*FO_Params!G15+1.5*MAX(POWER(10,FO_Params!F15+FO_Params!E15*LOG10($A$8))*1000000-IF($A$8&lt;=1,FO_Params!C15*1000,FO_Params!C15*POWER($A$8,LN(FO_Params!D15/FO_Params!C15)/LN(50))*1000),0)/1.2*FO_Params!H15)*(1+($W$6-1)*0.6)*$W$2*$W$4*(1+FO_Params!B37*FO_Params!$B$33)*(1+$I$8/100*FO_Params!D40),0)</f>
        <v>286679</v>
      </c>
      <c r="I30" s="20">
        <f>ROUND((IF($A$8&lt;=1,FO_Params!C15*1000,FO_Params!C15*POWER($A$8,LN(FO_Params!D15/FO_Params!C15)/LN(50))*1000)*FO_Params!G15+1.5*MAX(POWER(10,FO_Params!F15+FO_Params!E15*LOG10($A$8))*1000000-IF($A$8&lt;=1,FO_Params!C15*1000,FO_Params!C15*POWER($A$8,LN(FO_Params!D15/FO_Params!C15)/LN(50))*1000),0)/1.2*FO_Params!H15)*(1+($W$6-1)*0.6)*$W$2*$W$4*(1+FO_Params!C37*FO_Params!$B$33)*(1+$I$8/100*FO_Params!D40),0)</f>
        <v>344773</v>
      </c>
      <c r="J30" s="23">
        <f>ROUND((IF($A$8&lt;=1,FO_Params!C15*1000,FO_Params!C15*POWER($A$8,LN(FO_Params!D15/FO_Params!C15)/LN(50))*1000)*FO_Params!G15+1.5*MAX(POWER(10,FO_Params!F15+FO_Params!E15*LOG10($A$8))*1000000-IF($A$8&lt;=1,FO_Params!C15*1000,FO_Params!C15*POWER($A$8,LN(FO_Params!D15/FO_Params!C15)/LN(50))*1000),0)/1.2*FO_Params!H15)*(1+($W$6-1)*0.6)*$W$2*$W$4*(1+FO_Params!D37*FO_Params!$B$33)*(1+$I$8/100*FO_Params!D40),0)</f>
        <v>402868</v>
      </c>
      <c r="K30" s="23">
        <f>ROUND((IF($A$8&lt;=1,FO_Params!C15*1000,FO_Params!C15*POWER($A$8,LN(FO_Params!D15/FO_Params!C15)/LN(50))*1000)*FO_Params!G15+1.5*MAX(POWER(10,FO_Params!F15+FO_Params!E15*LOG10($A$8))*1000000-IF($A$8&lt;=1,FO_Params!C15*1000,FO_Params!C15*POWER($A$8,LN(FO_Params!D15/FO_Params!C15)/LN(50))*1000),0)/1.2*FO_Params!H15)*(1+($W$6-1)*0.6)*$W$2*$W$4*(1+FO_Params!E37*FO_Params!$B$33)*(1+$I$8/100*FO_Params!D40),0)</f>
        <v>455273</v>
      </c>
      <c r="L30" s="22">
        <f>ROUND((IF($A$8&lt;=1,FO_Params!C15*1000,FO_Params!C15*POWER($A$8,LN(FO_Params!D15/FO_Params!C15)/LN(50))*1000)*FO_Params!G15+MAX(POWER(10,FO_Params!F15+FO_Params!E15*LOG10($A$8))*1000000-IF($A$8&lt;=1,FO_Params!C15*1000,FO_Params!C15*POWER($A$8,LN(FO_Params!D15/FO_Params!C15)/LN(50))*1000),0)/1.2*FO_Params!H15)*(1+($W$6-1)*0.6)*$W$2*$W$4*(1+FO_Params!A37*FO_Params!$B$33)*(1+$I$8/100*FO_Params!D40),0)</f>
        <v>211723</v>
      </c>
      <c r="M30" s="23">
        <f>ROUND((IF($A$8&lt;=1,FO_Params!C15*1000,FO_Params!C15*POWER($A$8,LN(FO_Params!D15/FO_Params!C15)/LN(50))*1000)*FO_Params!G15+MAX(POWER(10,FO_Params!F15+FO_Params!E15*LOG10($A$8))*1000000-IF($A$8&lt;=1,FO_Params!C15*1000,FO_Params!C15*POWER($A$8,LN(FO_Params!D15/FO_Params!C15)/LN(50))*1000),0)/1.2*FO_Params!H15)*(1+($W$6-1)*0.6)*$W$2*$W$4*(1+FO_Params!B37*FO_Params!$B$33)*(1+$I$8/100*FO_Params!D40),0)</f>
        <v>259084</v>
      </c>
      <c r="N30" s="20">
        <f>ROUND((IF($A$8&lt;=1,FO_Params!C15*1000,FO_Params!C15*POWER($A$8,LN(FO_Params!D15/FO_Params!C15)/LN(50))*1000)*FO_Params!G15+MAX(POWER(10,FO_Params!F15+FO_Params!E15*LOG10($A$8))*1000000-IF($A$8&lt;=1,FO_Params!C15*1000,FO_Params!C15*POWER($A$8,LN(FO_Params!D15/FO_Params!C15)/LN(50))*1000),0)/1.2*FO_Params!H15)*(1+($W$6-1)*0.6)*$W$2*$W$4*(1+FO_Params!C37*FO_Params!$B$33)*(1+$I$8/100*FO_Params!D40),0)</f>
        <v>311586</v>
      </c>
      <c r="O30" s="23">
        <f>ROUND((IF($A$8&lt;=1,FO_Params!C15*1000,FO_Params!C15*POWER($A$8,LN(FO_Params!D15/FO_Params!C15)/LN(50))*1000)*FO_Params!G15+MAX(POWER(10,FO_Params!F15+FO_Params!E15*LOG10($A$8))*1000000-IF($A$8&lt;=1,FO_Params!C15*1000,FO_Params!C15*POWER($A$8,LN(FO_Params!D15/FO_Params!C15)/LN(50))*1000),0)/1.2*FO_Params!H15)*(1+($W$6-1)*0.6)*$W$2*$W$4*(1+FO_Params!D37*FO_Params!$B$33)*(1+$I$8/100*FO_Params!D40),0)</f>
        <v>364088</v>
      </c>
      <c r="P30" s="23">
        <f>ROUND((IF($A$8&lt;=1,FO_Params!C15*1000,FO_Params!C15*POWER($A$8,LN(FO_Params!D15/FO_Params!C15)/LN(50))*1000)*FO_Params!G15+MAX(POWER(10,FO_Params!F15+FO_Params!E15*LOG10($A$8))*1000000-IF($A$8&lt;=1,FO_Params!C15*1000,FO_Params!C15*POWER($A$8,LN(FO_Params!D15/FO_Params!C15)/LN(50))*1000),0)/1.2*FO_Params!H15)*(1+($W$6-1)*0.6)*$W$2*$W$4*(1+FO_Params!E37*FO_Params!$B$33)*(1+$I$8/100*FO_Params!D40),0)</f>
        <v>411449</v>
      </c>
      <c r="Q30" s="22">
        <f>ROUND((IF($A$8&lt;=1,FO_Params!C15*1000,FO_Params!C15*POWER($A$8,LN(FO_Params!D15/FO_Params!C15)/LN(50))*1000)*FO_Params!G15+2*MAX(POWER(10,FO_Params!F15+FO_Params!E15*LOG10($A$8))*1000000-IF($A$8&lt;=1,FO_Params!C15*1000,FO_Params!C15*POWER($A$8,LN(FO_Params!D15/FO_Params!C15)/LN(50))*1000),0)/1.2*FO_Params!H15)*(1+($W$6-1)*0.6)*$W$2*$W$4*(1+FO_Params!A37*FO_Params!$B$33)*(1+$I$8/100*FO_Params!D40),0)</f>
        <v>256824</v>
      </c>
      <c r="R30" s="23">
        <f>ROUND((IF($A$8&lt;=1,FO_Params!C15*1000,FO_Params!C15*POWER($A$8,LN(FO_Params!D15/FO_Params!C15)/LN(50))*1000)*FO_Params!G15+2*MAX(POWER(10,FO_Params!F15+FO_Params!E15*LOG10($A$8))*1000000-IF($A$8&lt;=1,FO_Params!C15*1000,FO_Params!C15*POWER($A$8,LN(FO_Params!D15/FO_Params!C15)/LN(50))*1000),0)/1.2*FO_Params!H15)*(1+($W$6-1)*0.6)*$W$2*$W$4*(1+FO_Params!B37*FO_Params!$B$33)*(1+$I$8/100*FO_Params!D40),0)</f>
        <v>314274</v>
      </c>
      <c r="S30" s="20">
        <f>ROUND((IF($A$8&lt;=1,FO_Params!C15*1000,FO_Params!C15*POWER($A$8,LN(FO_Params!D15/FO_Params!C15)/LN(50))*1000)*FO_Params!G15+2*MAX(POWER(10,FO_Params!F15+FO_Params!E15*LOG10($A$8))*1000000-IF($A$8&lt;=1,FO_Params!C15*1000,FO_Params!C15*POWER($A$8,LN(FO_Params!D15/FO_Params!C15)/LN(50))*1000),0)/1.2*FO_Params!H15)*(1+($W$6-1)*0.6)*$W$2*$W$4*(1+FO_Params!C37*FO_Params!$B$33)*(1+$I$8/100*FO_Params!D40),0)</f>
        <v>377961</v>
      </c>
      <c r="T30" s="23">
        <f>ROUND((IF($A$8&lt;=1,FO_Params!C15*1000,FO_Params!C15*POWER($A$8,LN(FO_Params!D15/FO_Params!C15)/LN(50))*1000)*FO_Params!G15+2*MAX(POWER(10,FO_Params!F15+FO_Params!E15*LOG10($A$8))*1000000-IF($A$8&lt;=1,FO_Params!C15*1000,FO_Params!C15*POWER($A$8,LN(FO_Params!D15/FO_Params!C15)/LN(50))*1000),0)/1.2*FO_Params!H15)*(1+($W$6-1)*0.6)*$W$2*$W$4*(1+FO_Params!D37*FO_Params!$B$33)*(1+$I$8/100*FO_Params!D40),0)</f>
        <v>441647</v>
      </c>
      <c r="U30" s="23">
        <f>ROUND((IF($A$8&lt;=1,FO_Params!C15*1000,FO_Params!C15*POWER($A$8,LN(FO_Params!D15/FO_Params!C15)/LN(50))*1000)*FO_Params!G15+2*MAX(POWER(10,FO_Params!F15+FO_Params!E15*LOG10($A$8))*1000000-IF($A$8&lt;=1,FO_Params!C15*1000,FO_Params!C15*POWER($A$8,LN(FO_Params!D15/FO_Params!C15)/LN(50))*1000),0)/1.2*FO_Params!H15)*(1+($W$6-1)*0.6)*$W$2*$W$4*(1+FO_Params!E37*FO_Params!$B$33)*(1+$I$8/100*FO_Params!D40),0)</f>
        <v>499097</v>
      </c>
      <c r="V30" s="4"/>
      <c r="W30" s="4"/>
    </row>
    <row r="31" spans="1:23" ht="18" customHeight="1" x14ac:dyDescent="0.3">
      <c r="A31" s="17" t="s">
        <v>68</v>
      </c>
      <c r="B31" s="18">
        <f>ROUND(IF($A$8&lt;=1,FO_Params!C16*1000,FO_Params!C16*POWER($A$8,LN(FO_Params!D16/FO_Params!C16)/LN(50))*1000)*FO_Params!G16*(1+($W$6-1)*0.7)*$W$2*$W$4*(1+FO_Params!A37*FO_Params!$B$33),0)</f>
        <v>212992</v>
      </c>
      <c r="C31" s="19">
        <f>ROUND(IF($A$8&lt;=1,FO_Params!C16*1000,FO_Params!C16*POWER($A$8,LN(FO_Params!D16/FO_Params!C16)/LN(50))*1000)*FO_Params!G16*(1+($W$6-1)*0.7)*$W$2*$W$4*(1+FO_Params!B37*FO_Params!$B$33),0)</f>
        <v>260637</v>
      </c>
      <c r="D31" s="20">
        <f>ROUND(IF($A$8&lt;=1,FO_Params!C16*1000,FO_Params!C16*POWER($A$8,LN(FO_Params!D16/FO_Params!C16)/LN(50))*1000)*FO_Params!G16*(1+($W$6-1)*0.7)*$W$2*$W$4*(1+FO_Params!C37*FO_Params!$B$33),0)</f>
        <v>313454</v>
      </c>
      <c r="E31" s="19">
        <f>ROUND(IF($A$8&lt;=1,FO_Params!C16*1000,FO_Params!C16*POWER($A$8,LN(FO_Params!D16/FO_Params!C16)/LN(50))*1000)*FO_Params!G16*(1+($W$6-1)*0.7)*$W$2*$W$4*(1+FO_Params!D37*FO_Params!$B$33),0)</f>
        <v>366271</v>
      </c>
      <c r="F31" s="19">
        <f>ROUND(IF($A$8&lt;=1,FO_Params!C16*1000,FO_Params!C16*POWER($A$8,LN(FO_Params!D16/FO_Params!C16)/LN(50))*1000)*FO_Params!G16*(1+($W$6-1)*0.7)*$W$2*$W$4*(1+FO_Params!E37*FO_Params!$B$33),0)</f>
        <v>413916</v>
      </c>
      <c r="G31" s="18">
        <f>ROUND((IF($A$8&lt;=1,FO_Params!C16*1000,FO_Params!C16*POWER($A$8,LN(FO_Params!D16/FO_Params!C16)/LN(50))*1000)*FO_Params!G16+1.5*MAX(POWER(10,FO_Params!F16+FO_Params!E16*LOG10($A$8))*1000000-IF($A$8&lt;=1,FO_Params!C16*1000,FO_Params!C16*POWER($A$8,LN(FO_Params!D16/FO_Params!C16)/LN(50))*1000),0)/1.2*FO_Params!H16)*(1+($W$6-1)*0.7)*$W$2*$W$4*(1+FO_Params!A37*FO_Params!$B$33)*(1+$I$8/100*FO_Params!E40),0)</f>
        <v>308007</v>
      </c>
      <c r="H31" s="19">
        <f>ROUND((IF($A$8&lt;=1,FO_Params!C16*1000,FO_Params!C16*POWER($A$8,LN(FO_Params!D16/FO_Params!C16)/LN(50))*1000)*FO_Params!G16+1.5*MAX(POWER(10,FO_Params!F16+FO_Params!E16*LOG10($A$8))*1000000-IF($A$8&lt;=1,FO_Params!C16*1000,FO_Params!C16*POWER($A$8,LN(FO_Params!D16/FO_Params!C16)/LN(50))*1000),0)/1.2*FO_Params!H16)*(1+($W$6-1)*0.7)*$W$2*$W$4*(1+FO_Params!B37*FO_Params!$B$33)*(1+$I$8/100*FO_Params!E40),0)</f>
        <v>376906</v>
      </c>
      <c r="I31" s="20">
        <f>ROUND((IF($A$8&lt;=1,FO_Params!C16*1000,FO_Params!C16*POWER($A$8,LN(FO_Params!D16/FO_Params!C16)/LN(50))*1000)*FO_Params!G16+1.5*MAX(POWER(10,FO_Params!F16+FO_Params!E16*LOG10($A$8))*1000000-IF($A$8&lt;=1,FO_Params!C16*1000,FO_Params!C16*POWER($A$8,LN(FO_Params!D16/FO_Params!C16)/LN(50))*1000),0)/1.2*FO_Params!H16)*(1+($W$6-1)*0.7)*$W$2*$W$4*(1+FO_Params!C37*FO_Params!$B$33)*(1+$I$8/100*FO_Params!E40),0)</f>
        <v>453284</v>
      </c>
      <c r="J31" s="19">
        <f>ROUND((IF($A$8&lt;=1,FO_Params!C16*1000,FO_Params!C16*POWER($A$8,LN(FO_Params!D16/FO_Params!C16)/LN(50))*1000)*FO_Params!G16+1.5*MAX(POWER(10,FO_Params!F16+FO_Params!E16*LOG10($A$8))*1000000-IF($A$8&lt;=1,FO_Params!C16*1000,FO_Params!C16*POWER($A$8,LN(FO_Params!D16/FO_Params!C16)/LN(50))*1000),0)/1.2*FO_Params!H16)*(1+($W$6-1)*0.7)*$W$2*$W$4*(1+FO_Params!D37*FO_Params!$B$33)*(1+$I$8/100*FO_Params!E40),0)</f>
        <v>529663</v>
      </c>
      <c r="K31" s="19">
        <f>ROUND((IF($A$8&lt;=1,FO_Params!C16*1000,FO_Params!C16*POWER($A$8,LN(FO_Params!D16/FO_Params!C16)/LN(50))*1000)*FO_Params!G16+1.5*MAX(POWER(10,FO_Params!F16+FO_Params!E16*LOG10($A$8))*1000000-IF($A$8&lt;=1,FO_Params!C16*1000,FO_Params!C16*POWER($A$8,LN(FO_Params!D16/FO_Params!C16)/LN(50))*1000),0)/1.2*FO_Params!H16)*(1+($W$6-1)*0.7)*$W$2*$W$4*(1+FO_Params!E37*FO_Params!$B$33)*(1+$I$8/100*FO_Params!E40),0)</f>
        <v>598562</v>
      </c>
      <c r="L31" s="18">
        <f>ROUND((IF($A$8&lt;=1,FO_Params!C16*1000,FO_Params!C16*POWER($A$8,LN(FO_Params!D16/FO_Params!C16)/LN(50))*1000)*FO_Params!G16+MAX(POWER(10,FO_Params!F16+FO_Params!E16*LOG10($A$8))*1000000-IF($A$8&lt;=1,FO_Params!C16*1000,FO_Params!C16*POWER($A$8,LN(FO_Params!D16/FO_Params!C16)/LN(50))*1000),0)/1.2*FO_Params!H16)*(1+($W$6-1)*0.7)*$W$2*$W$4*(1+FO_Params!A37*FO_Params!$B$33)*(1+$I$8/100*FO_Params!E40),0)</f>
        <v>276335</v>
      </c>
      <c r="M31" s="19">
        <f>ROUND((IF($A$8&lt;=1,FO_Params!C16*1000,FO_Params!C16*POWER($A$8,LN(FO_Params!D16/FO_Params!C16)/LN(50))*1000)*FO_Params!G16+MAX(POWER(10,FO_Params!F16+FO_Params!E16*LOG10($A$8))*1000000-IF($A$8&lt;=1,FO_Params!C16*1000,FO_Params!C16*POWER($A$8,LN(FO_Params!D16/FO_Params!C16)/LN(50))*1000),0)/1.2*FO_Params!H16)*(1+($W$6-1)*0.7)*$W$2*$W$4*(1+FO_Params!B37*FO_Params!$B$33)*(1+$I$8/100*FO_Params!E40),0)</f>
        <v>338150</v>
      </c>
      <c r="N31" s="20">
        <f>ROUND((IF($A$8&lt;=1,FO_Params!C16*1000,FO_Params!C16*POWER($A$8,LN(FO_Params!D16/FO_Params!C16)/LN(50))*1000)*FO_Params!G16+MAX(POWER(10,FO_Params!F16+FO_Params!E16*LOG10($A$8))*1000000-IF($A$8&lt;=1,FO_Params!C16*1000,FO_Params!C16*POWER($A$8,LN(FO_Params!D16/FO_Params!C16)/LN(50))*1000),0)/1.2*FO_Params!H16)*(1+($W$6-1)*0.7)*$W$2*$W$4*(1+FO_Params!C37*FO_Params!$B$33)*(1+$I$8/100*FO_Params!E40),0)</f>
        <v>406674</v>
      </c>
      <c r="O31" s="19">
        <f>ROUND((IF($A$8&lt;=1,FO_Params!C16*1000,FO_Params!C16*POWER($A$8,LN(FO_Params!D16/FO_Params!C16)/LN(50))*1000)*FO_Params!G16+MAX(POWER(10,FO_Params!F16+FO_Params!E16*LOG10($A$8))*1000000-IF($A$8&lt;=1,FO_Params!C16*1000,FO_Params!C16*POWER($A$8,LN(FO_Params!D16/FO_Params!C16)/LN(50))*1000),0)/1.2*FO_Params!H16)*(1+($W$6-1)*0.7)*$W$2*$W$4*(1+FO_Params!D37*FO_Params!$B$33)*(1+$I$8/100*FO_Params!E40),0)</f>
        <v>475199</v>
      </c>
      <c r="P31" s="19">
        <f>ROUND((IF($A$8&lt;=1,FO_Params!C16*1000,FO_Params!C16*POWER($A$8,LN(FO_Params!D16/FO_Params!C16)/LN(50))*1000)*FO_Params!G16+MAX(POWER(10,FO_Params!F16+FO_Params!E16*LOG10($A$8))*1000000-IF($A$8&lt;=1,FO_Params!C16*1000,FO_Params!C16*POWER($A$8,LN(FO_Params!D16/FO_Params!C16)/LN(50))*1000),0)/1.2*FO_Params!H16)*(1+($W$6-1)*0.7)*$W$2*$W$4*(1+FO_Params!E37*FO_Params!$B$33)*(1+$I$8/100*FO_Params!E40),0)</f>
        <v>537013</v>
      </c>
      <c r="Q31" s="18">
        <f>ROUND((IF($A$8&lt;=1,FO_Params!C16*1000,FO_Params!C16*POWER($A$8,LN(FO_Params!D16/FO_Params!C16)/LN(50))*1000)*FO_Params!G16+2*MAX(POWER(10,FO_Params!F16+FO_Params!E16*LOG10($A$8))*1000000-IF($A$8&lt;=1,FO_Params!C16*1000,FO_Params!C16*POWER($A$8,LN(FO_Params!D16/FO_Params!C16)/LN(50))*1000),0)/1.2*FO_Params!H16)*(1+($W$6-1)*0.7)*$W$2*$W$4*(1+FO_Params!A37*FO_Params!$B$33)*(1+$I$8/100*FO_Params!E40),0)</f>
        <v>339678</v>
      </c>
      <c r="R31" s="19">
        <f>ROUND((IF($A$8&lt;=1,FO_Params!C16*1000,FO_Params!C16*POWER($A$8,LN(FO_Params!D16/FO_Params!C16)/LN(50))*1000)*FO_Params!G16+2*MAX(POWER(10,FO_Params!F16+FO_Params!E16*LOG10($A$8))*1000000-IF($A$8&lt;=1,FO_Params!C16*1000,FO_Params!C16*POWER($A$8,LN(FO_Params!D16/FO_Params!C16)/LN(50))*1000),0)/1.2*FO_Params!H16)*(1+($W$6-1)*0.7)*$W$2*$W$4*(1+FO_Params!B37*FO_Params!$B$33)*(1+$I$8/100*FO_Params!E40),0)</f>
        <v>415662</v>
      </c>
      <c r="S31" s="20">
        <f>ROUND((IF($A$8&lt;=1,FO_Params!C16*1000,FO_Params!C16*POWER($A$8,LN(FO_Params!D16/FO_Params!C16)/LN(50))*1000)*FO_Params!G16+2*MAX(POWER(10,FO_Params!F16+FO_Params!E16*LOG10($A$8))*1000000-IF($A$8&lt;=1,FO_Params!C16*1000,FO_Params!C16*POWER($A$8,LN(FO_Params!D16/FO_Params!C16)/LN(50))*1000),0)/1.2*FO_Params!H16)*(1+($W$6-1)*0.7)*$W$2*$W$4*(1+FO_Params!C37*FO_Params!$B$33)*(1+$I$8/100*FO_Params!E40),0)</f>
        <v>499894</v>
      </c>
      <c r="T31" s="19">
        <f>ROUND((IF($A$8&lt;=1,FO_Params!C16*1000,FO_Params!C16*POWER($A$8,LN(FO_Params!D16/FO_Params!C16)/LN(50))*1000)*FO_Params!G16+2*MAX(POWER(10,FO_Params!F16+FO_Params!E16*LOG10($A$8))*1000000-IF($A$8&lt;=1,FO_Params!C16*1000,FO_Params!C16*POWER($A$8,LN(FO_Params!D16/FO_Params!C16)/LN(50))*1000),0)/1.2*FO_Params!H16)*(1+($W$6-1)*0.7)*$W$2*$W$4*(1+FO_Params!D37*FO_Params!$B$33)*(1+$I$8/100*FO_Params!E40),0)</f>
        <v>584127</v>
      </c>
      <c r="U31" s="19">
        <f>ROUND((IF($A$8&lt;=1,FO_Params!C16*1000,FO_Params!C16*POWER($A$8,LN(FO_Params!D16/FO_Params!C16)/LN(50))*1000)*FO_Params!G16+2*MAX(POWER(10,FO_Params!F16+FO_Params!E16*LOG10($A$8))*1000000-IF($A$8&lt;=1,FO_Params!C16*1000,FO_Params!C16*POWER($A$8,LN(FO_Params!D16/FO_Params!C16)/LN(50))*1000),0)/1.2*FO_Params!H16)*(1+($W$6-1)*0.7)*$W$2*$W$4*(1+FO_Params!E37*FO_Params!$B$33)*(1+$I$8/100*FO_Params!E40),0)</f>
        <v>660110</v>
      </c>
      <c r="V31" s="4"/>
      <c r="W31" s="4"/>
    </row>
    <row r="32" spans="1:23" ht="18" customHeight="1" x14ac:dyDescent="0.3">
      <c r="A32" s="21" t="s">
        <v>69</v>
      </c>
      <c r="B32" s="22">
        <f>ROUND(IF($A$8&lt;=1,FO_Params!C17*1000,FO_Params!C17*POWER($A$8,LN(FO_Params!D17/FO_Params!C17)/LN(50))*1000)*FO_Params!G17*(1+($W$6-1)*0.8)*$W$2*$W$4*(1+FO_Params!A37*FO_Params!$B$33),0)</f>
        <v>350442</v>
      </c>
      <c r="C32" s="23">
        <f>ROUND(IF($A$8&lt;=1,FO_Params!C17*1000,FO_Params!C17*POWER($A$8,LN(FO_Params!D17/FO_Params!C17)/LN(50))*1000)*FO_Params!G17*(1+($W$6-1)*0.8)*$W$2*$W$4*(1+FO_Params!B37*FO_Params!$B$33),0)</f>
        <v>428834</v>
      </c>
      <c r="D32" s="20">
        <f>ROUND(IF($A$8&lt;=1,FO_Params!C17*1000,FO_Params!C17*POWER($A$8,LN(FO_Params!D17/FO_Params!C17)/LN(50))*1000)*FO_Params!G17*(1+($W$6-1)*0.8)*$W$2*$W$4*(1+FO_Params!C37*FO_Params!$B$33),0)</f>
        <v>515735</v>
      </c>
      <c r="E32" s="23">
        <f>ROUND(IF($A$8&lt;=1,FO_Params!C17*1000,FO_Params!C17*POWER($A$8,LN(FO_Params!D17/FO_Params!C17)/LN(50))*1000)*FO_Params!G17*(1+($W$6-1)*0.8)*$W$2*$W$4*(1+FO_Params!D37*FO_Params!$B$33),0)</f>
        <v>602637</v>
      </c>
      <c r="F32" s="23">
        <f>ROUND(IF($A$8&lt;=1,FO_Params!C17*1000,FO_Params!C17*POWER($A$8,LN(FO_Params!D17/FO_Params!C17)/LN(50))*1000)*FO_Params!G17*(1+($W$6-1)*0.8)*$W$2*$W$4*(1+FO_Params!E37*FO_Params!$B$33),0)</f>
        <v>681028</v>
      </c>
      <c r="G32" s="22">
        <f>ROUND((IF($A$8&lt;=1,FO_Params!C17*1000,FO_Params!C17*POWER($A$8,LN(FO_Params!D17/FO_Params!C17)/LN(50))*1000)*FO_Params!G17+1.5*MAX(POWER(10,FO_Params!F17+FO_Params!E17*LOG10($A$8))*1000000-IF($A$8&lt;=1,FO_Params!C17*1000,FO_Params!C17*POWER($A$8,LN(FO_Params!D17/FO_Params!C17)/LN(50))*1000),0)/1.2*FO_Params!H17)*(1+($W$6-1)*0.8)*$W$2*$W$4*(1+FO_Params!A37*FO_Params!$B$33)*(1+$I$8/100*FO_Params!F40),0)</f>
        <v>619993</v>
      </c>
      <c r="H32" s="23">
        <f>ROUND((IF($A$8&lt;=1,FO_Params!C17*1000,FO_Params!C17*POWER($A$8,LN(FO_Params!D17/FO_Params!C17)/LN(50))*1000)*FO_Params!G17+1.5*MAX(POWER(10,FO_Params!F17+FO_Params!E17*LOG10($A$8))*1000000-IF($A$8&lt;=1,FO_Params!C17*1000,FO_Params!C17*POWER($A$8,LN(FO_Params!D17/FO_Params!C17)/LN(50))*1000),0)/1.2*FO_Params!H17)*(1+($W$6-1)*0.8)*$W$2*$W$4*(1+FO_Params!B37*FO_Params!$B$33)*(1+$I$8/100*FO_Params!F40),0)</f>
        <v>758682</v>
      </c>
      <c r="I32" s="20">
        <f>ROUND((IF($A$8&lt;=1,FO_Params!C17*1000,FO_Params!C17*POWER($A$8,LN(FO_Params!D17/FO_Params!C17)/LN(50))*1000)*FO_Params!G17+1.5*MAX(POWER(10,FO_Params!F17+FO_Params!E17*LOG10($A$8))*1000000-IF($A$8&lt;=1,FO_Params!C17*1000,FO_Params!C17*POWER($A$8,LN(FO_Params!D17/FO_Params!C17)/LN(50))*1000),0)/1.2*FO_Params!H17)*(1+($W$6-1)*0.8)*$W$2*$W$4*(1+FO_Params!C37*FO_Params!$B$33)*(1+$I$8/100*FO_Params!F40),0)</f>
        <v>912426</v>
      </c>
      <c r="J32" s="23">
        <f>ROUND((IF($A$8&lt;=1,FO_Params!C17*1000,FO_Params!C17*POWER($A$8,LN(FO_Params!D17/FO_Params!C17)/LN(50))*1000)*FO_Params!G17+1.5*MAX(POWER(10,FO_Params!F17+FO_Params!E17*LOG10($A$8))*1000000-IF($A$8&lt;=1,FO_Params!C17*1000,FO_Params!C17*POWER($A$8,LN(FO_Params!D17/FO_Params!C17)/LN(50))*1000),0)/1.2*FO_Params!H17)*(1+($W$6-1)*0.8)*$W$2*$W$4*(1+FO_Params!D37*FO_Params!$B$33)*(1+$I$8/100*FO_Params!F40),0)</f>
        <v>1066169</v>
      </c>
      <c r="K32" s="23">
        <f>ROUND((IF($A$8&lt;=1,FO_Params!C17*1000,FO_Params!C17*POWER($A$8,LN(FO_Params!D17/FO_Params!C17)/LN(50))*1000)*FO_Params!G17+1.5*MAX(POWER(10,FO_Params!F17+FO_Params!E17*LOG10($A$8))*1000000-IF($A$8&lt;=1,FO_Params!C17*1000,FO_Params!C17*POWER($A$8,LN(FO_Params!D17/FO_Params!C17)/LN(50))*1000),0)/1.2*FO_Params!H17)*(1+($W$6-1)*0.8)*$W$2*$W$4*(1+FO_Params!E37*FO_Params!$B$33)*(1+$I$8/100*FO_Params!F40),0)</f>
        <v>1204858</v>
      </c>
      <c r="L32" s="22">
        <f>ROUND((IF($A$8&lt;=1,FO_Params!C17*1000,FO_Params!C17*POWER($A$8,LN(FO_Params!D17/FO_Params!C17)/LN(50))*1000)*FO_Params!G17+MAX(POWER(10,FO_Params!F17+FO_Params!E17*LOG10($A$8))*1000000-IF($A$8&lt;=1,FO_Params!C17*1000,FO_Params!C17*POWER($A$8,LN(FO_Params!D17/FO_Params!C17)/LN(50))*1000),0)/1.2*FO_Params!H17)*(1+($W$6-1)*0.8)*$W$2*$W$4*(1+FO_Params!A37*FO_Params!$B$33)*(1+$I$8/100*FO_Params!F40),0)</f>
        <v>530143</v>
      </c>
      <c r="M32" s="23">
        <f>ROUND((IF($A$8&lt;=1,FO_Params!C17*1000,FO_Params!C17*POWER($A$8,LN(FO_Params!D17/FO_Params!C17)/LN(50))*1000)*FO_Params!G17+MAX(POWER(10,FO_Params!F17+FO_Params!E17*LOG10($A$8))*1000000-IF($A$8&lt;=1,FO_Params!C17*1000,FO_Params!C17*POWER($A$8,LN(FO_Params!D17/FO_Params!C17)/LN(50))*1000),0)/1.2*FO_Params!H17)*(1+($W$6-1)*0.8)*$W$2*$W$4*(1+FO_Params!B37*FO_Params!$B$33)*(1+$I$8/100*FO_Params!F40),0)</f>
        <v>648733</v>
      </c>
      <c r="N32" s="20">
        <f>ROUND((IF($A$8&lt;=1,FO_Params!C17*1000,FO_Params!C17*POWER($A$8,LN(FO_Params!D17/FO_Params!C17)/LN(50))*1000)*FO_Params!G17+MAX(POWER(10,FO_Params!F17+FO_Params!E17*LOG10($A$8))*1000000-IF($A$8&lt;=1,FO_Params!C17*1000,FO_Params!C17*POWER($A$8,LN(FO_Params!D17/FO_Params!C17)/LN(50))*1000),0)/1.2*FO_Params!H17)*(1+($W$6-1)*0.8)*$W$2*$W$4*(1+FO_Params!C37*FO_Params!$B$33)*(1+$I$8/100*FO_Params!F40),0)</f>
        <v>780196</v>
      </c>
      <c r="O32" s="23">
        <f>ROUND((IF($A$8&lt;=1,FO_Params!C17*1000,FO_Params!C17*POWER($A$8,LN(FO_Params!D17/FO_Params!C17)/LN(50))*1000)*FO_Params!G17+MAX(POWER(10,FO_Params!F17+FO_Params!E17*LOG10($A$8))*1000000-IF($A$8&lt;=1,FO_Params!C17*1000,FO_Params!C17*POWER($A$8,LN(FO_Params!D17/FO_Params!C17)/LN(50))*1000),0)/1.2*FO_Params!H17)*(1+($W$6-1)*0.8)*$W$2*$W$4*(1+FO_Params!D37*FO_Params!$B$33)*(1+$I$8/100*FO_Params!F40),0)</f>
        <v>911659</v>
      </c>
      <c r="P32" s="23">
        <f>ROUND((IF($A$8&lt;=1,FO_Params!C17*1000,FO_Params!C17*POWER($A$8,LN(FO_Params!D17/FO_Params!C17)/LN(50))*1000)*FO_Params!G17+MAX(POWER(10,FO_Params!F17+FO_Params!E17*LOG10($A$8))*1000000-IF($A$8&lt;=1,FO_Params!C17*1000,FO_Params!C17*POWER($A$8,LN(FO_Params!D17/FO_Params!C17)/LN(50))*1000),0)/1.2*FO_Params!H17)*(1+($W$6-1)*0.8)*$W$2*$W$4*(1+FO_Params!E37*FO_Params!$B$33)*(1+$I$8/100*FO_Params!F40),0)</f>
        <v>1030248</v>
      </c>
      <c r="Q32" s="22">
        <f>ROUND((IF($A$8&lt;=1,FO_Params!C17*1000,FO_Params!C17*POWER($A$8,LN(FO_Params!D17/FO_Params!C17)/LN(50))*1000)*FO_Params!G17+2*MAX(POWER(10,FO_Params!F17+FO_Params!E17*LOG10($A$8))*1000000-IF($A$8&lt;=1,FO_Params!C17*1000,FO_Params!C17*POWER($A$8,LN(FO_Params!D17/FO_Params!C17)/LN(50))*1000),0)/1.2*FO_Params!H17)*(1+($W$6-1)*0.8)*$W$2*$W$4*(1+FO_Params!A37*FO_Params!$B$33)*(1+$I$8/100*FO_Params!F40),0)</f>
        <v>709844</v>
      </c>
      <c r="R32" s="23">
        <f>ROUND((IF($A$8&lt;=1,FO_Params!C17*1000,FO_Params!C17*POWER($A$8,LN(FO_Params!D17/FO_Params!C17)/LN(50))*1000)*FO_Params!G17+2*MAX(POWER(10,FO_Params!F17+FO_Params!E17*LOG10($A$8))*1000000-IF($A$8&lt;=1,FO_Params!C17*1000,FO_Params!C17*POWER($A$8,LN(FO_Params!D17/FO_Params!C17)/LN(50))*1000),0)/1.2*FO_Params!H17)*(1+($W$6-1)*0.8)*$W$2*$W$4*(1+FO_Params!B37*FO_Params!$B$33)*(1+$I$8/100*FO_Params!F40),0)</f>
        <v>868631</v>
      </c>
      <c r="S32" s="20">
        <f>ROUND((IF($A$8&lt;=1,FO_Params!C17*1000,FO_Params!C17*POWER($A$8,LN(FO_Params!D17/FO_Params!C17)/LN(50))*1000)*FO_Params!G17+2*MAX(POWER(10,FO_Params!F17+FO_Params!E17*LOG10($A$8))*1000000-IF($A$8&lt;=1,FO_Params!C17*1000,FO_Params!C17*POWER($A$8,LN(FO_Params!D17/FO_Params!C17)/LN(50))*1000),0)/1.2*FO_Params!H17)*(1+($W$6-1)*0.8)*$W$2*$W$4*(1+FO_Params!C37*FO_Params!$B$33)*(1+$I$8/100*FO_Params!F40),0)</f>
        <v>1044656</v>
      </c>
      <c r="T32" s="23">
        <f>ROUND((IF($A$8&lt;=1,FO_Params!C17*1000,FO_Params!C17*POWER($A$8,LN(FO_Params!D17/FO_Params!C17)/LN(50))*1000)*FO_Params!G17+2*MAX(POWER(10,FO_Params!F17+FO_Params!E17*LOG10($A$8))*1000000-IF($A$8&lt;=1,FO_Params!C17*1000,FO_Params!C17*POWER($A$8,LN(FO_Params!D17/FO_Params!C17)/LN(50))*1000),0)/1.2*FO_Params!H17)*(1+($W$6-1)*0.8)*$W$2*$W$4*(1+FO_Params!D37*FO_Params!$B$33)*(1+$I$8/100*FO_Params!F40),0)</f>
        <v>1220680</v>
      </c>
      <c r="U32" s="23">
        <f>ROUND((IF($A$8&lt;=1,FO_Params!C17*1000,FO_Params!C17*POWER($A$8,LN(FO_Params!D17/FO_Params!C17)/LN(50))*1000)*FO_Params!G17+2*MAX(POWER(10,FO_Params!F17+FO_Params!E17*LOG10($A$8))*1000000-IF($A$8&lt;=1,FO_Params!C17*1000,FO_Params!C17*POWER($A$8,LN(FO_Params!D17/FO_Params!C17)/LN(50))*1000),0)/1.2*FO_Params!H17)*(1+($W$6-1)*0.8)*$W$2*$W$4*(1+FO_Params!E37*FO_Params!$B$33)*(1+$I$8/100*FO_Params!F40),0)</f>
        <v>1379468</v>
      </c>
      <c r="V32" s="4"/>
      <c r="W32" s="4"/>
    </row>
    <row r="33" spans="1:23" ht="18" customHeight="1" x14ac:dyDescent="0.3">
      <c r="A33" s="29" t="s">
        <v>54</v>
      </c>
      <c r="B33" s="45">
        <f>ROUND(IF($A$8&lt;=1,FO_Params!C18*1000,FO_Params!C18*POWER($A$8,LN(FO_Params!D18/FO_Params!C18)/LN(50))*1000)*FO_Params!G18*(1+($W$6-1)*0.9)*$W$2*$W$4*(1+FO_Params!A37*FO_Params!$B$33),0)</f>
        <v>369489</v>
      </c>
      <c r="C33" s="46">
        <f>ROUND(IF($A$8&lt;=1,FO_Params!C18*1000,FO_Params!C18*POWER($A$8,LN(FO_Params!D18/FO_Params!C18)/LN(50))*1000)*FO_Params!G18*(1+($W$6-1)*0.9)*$W$2*$W$4*(1+FO_Params!B37*FO_Params!$B$33),0)</f>
        <v>452141</v>
      </c>
      <c r="D33" s="27">
        <f>ROUND(IF($A$8&lt;=1,FO_Params!C18*1000,FO_Params!C18*POWER($A$8,LN(FO_Params!D18/FO_Params!C18)/LN(50))*1000)*FO_Params!G18*(1+($W$6-1)*0.9)*$W$2*$W$4*(1+FO_Params!C37*FO_Params!$B$33),0)</f>
        <v>543766</v>
      </c>
      <c r="E33" s="46">
        <f>ROUND(IF($A$8&lt;=1,FO_Params!C18*1000,FO_Params!C18*POWER($A$8,LN(FO_Params!D18/FO_Params!C18)/LN(50))*1000)*FO_Params!G18*(1+($W$6-1)*0.9)*$W$2*$W$4*(1+FO_Params!D37*FO_Params!$B$33),0)</f>
        <v>635390</v>
      </c>
      <c r="F33" s="46">
        <f>ROUND(IF($A$8&lt;=1,FO_Params!C18*1000,FO_Params!C18*POWER($A$8,LN(FO_Params!D18/FO_Params!C18)/LN(50))*1000)*FO_Params!G18*(1+($W$6-1)*0.9)*$W$2*$W$4*(1+FO_Params!E37*FO_Params!$B$33),0)</f>
        <v>718043</v>
      </c>
      <c r="G33" s="45">
        <f>ROUND((IF($A$8&lt;=1,FO_Params!C18*1000,FO_Params!C18*POWER($A$8,LN(FO_Params!D18/FO_Params!C18)/LN(50))*1000)*FO_Params!G18+1.5*MAX(POWER(10,FO_Params!F18+FO_Params!E18*LOG10($A$8))*1000000-IF($A$8&lt;=1,FO_Params!C18*1000,FO_Params!C18*POWER($A$8,LN(FO_Params!D18/FO_Params!C18)/LN(50))*1000),0)/1.2*FO_Params!H18)*(1+($W$6-1)*0.9)*$W$2*$W$4*(1+FO_Params!A37*FO_Params!$B$33)*(1+$I$8/100*FO_Params!G40),0)</f>
        <v>666500</v>
      </c>
      <c r="H33" s="46">
        <f>ROUND((IF($A$8&lt;=1,FO_Params!C18*1000,FO_Params!C18*POWER($A$8,LN(FO_Params!D18/FO_Params!C18)/LN(50))*1000)*FO_Params!G18+1.5*MAX(POWER(10,FO_Params!F18+FO_Params!E18*LOG10($A$8))*1000000-IF($A$8&lt;=1,FO_Params!C18*1000,FO_Params!C18*POWER($A$8,LN(FO_Params!D18/FO_Params!C18)/LN(50))*1000),0)/1.2*FO_Params!H18)*(1+($W$6-1)*0.9)*$W$2*$W$4*(1+FO_Params!B37*FO_Params!$B$33)*(1+$I$8/100*FO_Params!G40),0)</f>
        <v>815592</v>
      </c>
      <c r="I33" s="27">
        <f>ROUND((IF($A$8&lt;=1,FO_Params!C18*1000,FO_Params!C18*POWER($A$8,LN(FO_Params!D18/FO_Params!C18)/LN(50))*1000)*FO_Params!G18+1.5*MAX(POWER(10,FO_Params!F18+FO_Params!E18*LOG10($A$8))*1000000-IF($A$8&lt;=1,FO_Params!C18*1000,FO_Params!C18*POWER($A$8,LN(FO_Params!D18/FO_Params!C18)/LN(50))*1000),0)/1.2*FO_Params!H18)*(1+($W$6-1)*0.9)*$W$2*$W$4*(1+FO_Params!C37*FO_Params!$B$33)*(1+$I$8/100*FO_Params!G40),0)</f>
        <v>980869</v>
      </c>
      <c r="J33" s="46">
        <f>ROUND((IF($A$8&lt;=1,FO_Params!C18*1000,FO_Params!C18*POWER($A$8,LN(FO_Params!D18/FO_Params!C18)/LN(50))*1000)*FO_Params!G18+1.5*MAX(POWER(10,FO_Params!F18+FO_Params!E18*LOG10($A$8))*1000000-IF($A$8&lt;=1,FO_Params!C18*1000,FO_Params!C18*POWER($A$8,LN(FO_Params!D18/FO_Params!C18)/LN(50))*1000),0)/1.2*FO_Params!H18)*(1+($W$6-1)*0.9)*$W$2*$W$4*(1+FO_Params!D37*FO_Params!$B$33)*(1+$I$8/100*FO_Params!G40),0)</f>
        <v>1146145</v>
      </c>
      <c r="K33" s="46">
        <f>ROUND((IF($A$8&lt;=1,FO_Params!C18*1000,FO_Params!C18*POWER($A$8,LN(FO_Params!D18/FO_Params!C18)/LN(50))*1000)*FO_Params!G18+1.5*MAX(POWER(10,FO_Params!F18+FO_Params!E18*LOG10($A$8))*1000000-IF($A$8&lt;=1,FO_Params!C18*1000,FO_Params!C18*POWER($A$8,LN(FO_Params!D18/FO_Params!C18)/LN(50))*1000),0)/1.2*FO_Params!H18)*(1+($W$6-1)*0.9)*$W$2*$W$4*(1+FO_Params!E37*FO_Params!$B$33)*(1+$I$8/100*FO_Params!G40),0)</f>
        <v>1295237</v>
      </c>
      <c r="L33" s="45">
        <f>ROUND((IF($A$8&lt;=1,FO_Params!C18*1000,FO_Params!C18*POWER($A$8,LN(FO_Params!D18/FO_Params!C18)/LN(50))*1000)*FO_Params!G18+MAX(POWER(10,FO_Params!F18+FO_Params!E18*LOG10($A$8))*1000000-IF($A$8&lt;=1,FO_Params!C18*1000,FO_Params!C18*POWER($A$8,LN(FO_Params!D18/FO_Params!C18)/LN(50))*1000),0)/1.2*FO_Params!H18)*(1+($W$6-1)*0.9)*$W$2*$W$4*(1+FO_Params!A37*FO_Params!$B$33)*(1+$I$8/100*FO_Params!G40),0)</f>
        <v>567496</v>
      </c>
      <c r="M33" s="46">
        <f>ROUND((IF($A$8&lt;=1,FO_Params!C18*1000,FO_Params!C18*POWER($A$8,LN(FO_Params!D18/FO_Params!C18)/LN(50))*1000)*FO_Params!G18+MAX(POWER(10,FO_Params!F18+FO_Params!E18*LOG10($A$8))*1000000-IF($A$8&lt;=1,FO_Params!C18*1000,FO_Params!C18*POWER($A$8,LN(FO_Params!D18/FO_Params!C18)/LN(50))*1000),0)/1.2*FO_Params!H18)*(1+($W$6-1)*0.9)*$W$2*$W$4*(1+FO_Params!B37*FO_Params!$B$33)*(1+$I$8/100*FO_Params!G40),0)</f>
        <v>694442</v>
      </c>
      <c r="N33" s="27">
        <f>ROUND((IF($A$8&lt;=1,FO_Params!C18*1000,FO_Params!C18*POWER($A$8,LN(FO_Params!D18/FO_Params!C18)/LN(50))*1000)*FO_Params!G18+MAX(POWER(10,FO_Params!F18+FO_Params!E18*LOG10($A$8))*1000000-IF($A$8&lt;=1,FO_Params!C18*1000,FO_Params!C18*POWER($A$8,LN(FO_Params!D18/FO_Params!C18)/LN(50))*1000),0)/1.2*FO_Params!H18)*(1+($W$6-1)*0.9)*$W$2*$W$4*(1+FO_Params!C37*FO_Params!$B$33)*(1+$I$8/100*FO_Params!G40),0)</f>
        <v>835168</v>
      </c>
      <c r="O33" s="46">
        <f>ROUND((IF($A$8&lt;=1,FO_Params!C18*1000,FO_Params!C18*POWER($A$8,LN(FO_Params!D18/FO_Params!C18)/LN(50))*1000)*FO_Params!G18+MAX(POWER(10,FO_Params!F18+FO_Params!E18*LOG10($A$8))*1000000-IF($A$8&lt;=1,FO_Params!C18*1000,FO_Params!C18*POWER($A$8,LN(FO_Params!D18/FO_Params!C18)/LN(50))*1000),0)/1.2*FO_Params!H18)*(1+($W$6-1)*0.9)*$W$2*$W$4*(1+FO_Params!D37*FO_Params!$B$33)*(1+$I$8/100*FO_Params!G40),0)</f>
        <v>975893</v>
      </c>
      <c r="P33" s="46">
        <f>ROUND((IF($A$8&lt;=1,FO_Params!C18*1000,FO_Params!C18*POWER($A$8,LN(FO_Params!D18/FO_Params!C18)/LN(50))*1000)*FO_Params!G18+MAX(POWER(10,FO_Params!F18+FO_Params!E18*LOG10($A$8))*1000000-IF($A$8&lt;=1,FO_Params!C18*1000,FO_Params!C18*POWER($A$8,LN(FO_Params!D18/FO_Params!C18)/LN(50))*1000),0)/1.2*FO_Params!H18)*(1+($W$6-1)*0.9)*$W$2*$W$4*(1+FO_Params!E37*FO_Params!$B$33)*(1+$I$8/100*FO_Params!G40),0)</f>
        <v>1102839</v>
      </c>
      <c r="Q33" s="45">
        <f>ROUND((IF($A$8&lt;=1,FO_Params!C18*1000,FO_Params!C18*POWER($A$8,LN(FO_Params!D18/FO_Params!C18)/LN(50))*1000)*FO_Params!G18+2*MAX(POWER(10,FO_Params!F18+FO_Params!E18*LOG10($A$8))*1000000-IF($A$8&lt;=1,FO_Params!C18*1000,FO_Params!C18*POWER($A$8,LN(FO_Params!D18/FO_Params!C18)/LN(50))*1000),0)/1.2*FO_Params!H18)*(1+($W$6-1)*0.9)*$W$2*$W$4*(1+FO_Params!A37*FO_Params!$B$33)*(1+$I$8/100*FO_Params!G40),0)</f>
        <v>765504</v>
      </c>
      <c r="R33" s="46">
        <f>ROUND((IF($A$8&lt;=1,FO_Params!C18*1000,FO_Params!C18*POWER($A$8,LN(FO_Params!D18/FO_Params!C18)/LN(50))*1000)*FO_Params!G18+2*MAX(POWER(10,FO_Params!F18+FO_Params!E18*LOG10($A$8))*1000000-IF($A$8&lt;=1,FO_Params!C18*1000,FO_Params!C18*POWER($A$8,LN(FO_Params!D18/FO_Params!C18)/LN(50))*1000),0)/1.2*FO_Params!H18)*(1+($W$6-1)*0.9)*$W$2*$W$4*(1+FO_Params!B37*FO_Params!$B$33)*(1+$I$8/100*FO_Params!G40),0)</f>
        <v>936743</v>
      </c>
      <c r="S33" s="27">
        <f>ROUND((IF($A$8&lt;=1,FO_Params!C18*1000,FO_Params!C18*POWER($A$8,LN(FO_Params!D18/FO_Params!C18)/LN(50))*1000)*FO_Params!G18+2*MAX(POWER(10,FO_Params!F18+FO_Params!E18*LOG10($A$8))*1000000-IF($A$8&lt;=1,FO_Params!C18*1000,FO_Params!C18*POWER($A$8,LN(FO_Params!D18/FO_Params!C18)/LN(50))*1000),0)/1.2*FO_Params!H18)*(1+($W$6-1)*0.9)*$W$2*$W$4*(1+FO_Params!C37*FO_Params!$B$33)*(1+$I$8/100*FO_Params!G40),0)</f>
        <v>1126570</v>
      </c>
      <c r="T33" s="46">
        <f>ROUND((IF($A$8&lt;=1,FO_Params!C18*1000,FO_Params!C18*POWER($A$8,LN(FO_Params!D18/FO_Params!C18)/LN(50))*1000)*FO_Params!G18+2*MAX(POWER(10,FO_Params!F18+FO_Params!E18*LOG10($A$8))*1000000-IF($A$8&lt;=1,FO_Params!C18*1000,FO_Params!C18*POWER($A$8,LN(FO_Params!D18/FO_Params!C18)/LN(50))*1000),0)/1.2*FO_Params!H18)*(1+($W$6-1)*0.9)*$W$2*$W$4*(1+FO_Params!D37*FO_Params!$B$33)*(1+$I$8/100*FO_Params!G40),0)</f>
        <v>1316397</v>
      </c>
      <c r="U33" s="46">
        <f>ROUND((IF($A$8&lt;=1,FO_Params!C18*1000,FO_Params!C18*POWER($A$8,LN(FO_Params!D18/FO_Params!C18)/LN(50))*1000)*FO_Params!G18+2*MAX(POWER(10,FO_Params!F18+FO_Params!E18*LOG10($A$8))*1000000-IF($A$8&lt;=1,FO_Params!C18*1000,FO_Params!C18*POWER($A$8,LN(FO_Params!D18/FO_Params!C18)/LN(50))*1000),0)/1.2*FO_Params!H18)*(1+($W$6-1)*0.9)*$W$2*$W$4*(1+FO_Params!E37*FO_Params!$B$33)*(1+$I$8/100*FO_Params!G40),0)</f>
        <v>1487635</v>
      </c>
      <c r="V33" s="4"/>
      <c r="W33" s="4"/>
    </row>
    <row r="34" spans="1:23" ht="7.9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6.05" customHeight="1" x14ac:dyDescent="0.3">
      <c r="A35" s="106" t="s">
        <v>34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4"/>
      <c r="W35" s="4"/>
    </row>
  </sheetData>
  <mergeCells count="17">
    <mergeCell ref="D7:F7"/>
    <mergeCell ref="D8:F8"/>
    <mergeCell ref="A1:U1"/>
    <mergeCell ref="A35:U35"/>
    <mergeCell ref="B12:F12"/>
    <mergeCell ref="L12:P12"/>
    <mergeCell ref="Q25:U25"/>
    <mergeCell ref="A24:U24"/>
    <mergeCell ref="A2:U2"/>
    <mergeCell ref="Q12:U12"/>
    <mergeCell ref="G12:K12"/>
    <mergeCell ref="B25:F25"/>
    <mergeCell ref="L25:P25"/>
    <mergeCell ref="A11:U11"/>
    <mergeCell ref="G25:K25"/>
    <mergeCell ref="A5:U5"/>
    <mergeCell ref="D9:F9"/>
  </mergeCells>
  <dataValidations count="4">
    <dataValidation type="list" sqref="D8" xr:uid="{00000000-0002-0000-0300-000000000000}">
      <formula1>"National Average,New York City,San Francisco,Boston,Washington DC,Dallas/Atlanta"</formula1>
    </dataValidation>
    <dataValidation type="list" error="Complexity must be 1-5" sqref="G8" xr:uid="{00000000-0002-0000-0300-000001000000}">
      <formula1>"1,2,3,4,5"</formula1>
    </dataValidation>
    <dataValidation type="whole" allowBlank="1" showInputMessage="1" showErrorMessage="1" sqref="A8" xr:uid="{00000000-0002-0000-0300-000002000000}">
      <formula1>1</formula1>
      <formula2>10</formula2>
    </dataValidation>
    <dataValidation type="list" errorTitle="Invalid Pool Adjustment" error="Select a value between -30 and +30" sqref="I8" xr:uid="{00000000-0002-0000-0300-000003000000}">
      <formula1>"-30,-25,-20,-15,-10,-5,-4,-3,-2,-1,0,1,2,3,4,5,10,15,20,25,30"</formula1>
    </dataValidation>
  </dataValidations>
  <hyperlinks>
    <hyperlink ref="A1" r:id="rId1" xr:uid="{00000000-0004-0000-0300-000000000000}"/>
    <hyperlink ref="A35" r:id="rId2" xr:uid="{00000000-0004-0000-0300-000001000000}"/>
  </hyperlinks>
  <pageMargins left="0.75" right="0.75" top="1" bottom="1" header="0.5" footer="0.5"/>
  <ignoredErrors>
    <ignoredError sqref="A1:U60" numberStoredAsText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W37"/>
  <sheetViews>
    <sheetView showGridLines="0" workbookViewId="0">
      <selection activeCell="D8" sqref="D8:F8"/>
    </sheetView>
  </sheetViews>
  <sheetFormatPr defaultRowHeight="14.4" x14ac:dyDescent="0.3"/>
  <cols>
    <col min="1" max="1" width="22" customWidth="1"/>
    <col min="2" max="21" width="13" customWidth="1"/>
    <col min="23" max="23" width="13" hidden="1" customWidth="1"/>
  </cols>
  <sheetData>
    <row r="1" spans="1:23" ht="28.05" customHeight="1" x14ac:dyDescent="0.3">
      <c r="A1" s="112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50"/>
      <c r="R1" s="50"/>
      <c r="S1" s="50"/>
      <c r="T1" s="50"/>
      <c r="U1" s="50"/>
      <c r="V1" s="4"/>
      <c r="W1" s="4" t="s">
        <v>35</v>
      </c>
    </row>
    <row r="2" spans="1:23" ht="22.05" customHeight="1" x14ac:dyDescent="0.3">
      <c r="A2" s="115" t="s">
        <v>88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50"/>
      <c r="R2" s="50"/>
      <c r="S2" s="50"/>
      <c r="T2" s="50"/>
      <c r="U2" s="50"/>
      <c r="V2" s="4"/>
      <c r="W2" s="4">
        <f>VLOOKUP(D8,AM_Params!A3:B8,2,FALSE)</f>
        <v>1</v>
      </c>
    </row>
    <row r="3" spans="1:23" ht="3" customHeight="1" x14ac:dyDescent="0.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1"/>
      <c r="R3" s="51"/>
      <c r="S3" s="51"/>
      <c r="T3" s="51"/>
      <c r="U3" s="51"/>
      <c r="V3" s="4"/>
      <c r="W3" s="4" t="s">
        <v>3</v>
      </c>
    </row>
    <row r="4" spans="1:23" ht="6" customHeight="1" x14ac:dyDescent="0.3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51"/>
      <c r="R4" s="51"/>
      <c r="S4" s="51"/>
      <c r="T4" s="51"/>
      <c r="U4" s="52"/>
      <c r="V4" s="4"/>
      <c r="W4" s="4">
        <f>AM_Params!B32</f>
        <v>1.019803902718557</v>
      </c>
    </row>
    <row r="5" spans="1:23" ht="28.05" customHeight="1" x14ac:dyDescent="0.3">
      <c r="A5" s="117" t="s">
        <v>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50"/>
      <c r="R5" s="50"/>
      <c r="S5" s="50"/>
      <c r="T5" s="50"/>
      <c r="U5" s="50"/>
      <c r="V5" s="4"/>
      <c r="W5" s="4" t="s">
        <v>40</v>
      </c>
    </row>
    <row r="6" spans="1:23" ht="6" customHeight="1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51"/>
      <c r="R6" s="51"/>
      <c r="S6" s="51"/>
      <c r="T6" s="51"/>
      <c r="U6" s="51"/>
      <c r="V6" s="4"/>
      <c r="W6" s="49">
        <f>VLOOKUP(G8,AM_Params!A24:B28,2,FALSE)</f>
        <v>1</v>
      </c>
    </row>
    <row r="7" spans="1:23" ht="18" customHeight="1" thickBot="1" x14ac:dyDescent="0.35">
      <c r="A7" s="9" t="s">
        <v>37</v>
      </c>
      <c r="B7" s="28"/>
      <c r="C7" s="28"/>
      <c r="D7" s="105" t="s">
        <v>38</v>
      </c>
      <c r="E7" s="91"/>
      <c r="F7" s="91"/>
      <c r="G7" s="9" t="s">
        <v>39</v>
      </c>
      <c r="H7" s="28"/>
      <c r="I7" s="77" t="s">
        <v>6</v>
      </c>
      <c r="J7" s="28"/>
      <c r="K7" s="28"/>
      <c r="L7" s="28"/>
      <c r="M7" s="28"/>
      <c r="N7" s="28"/>
      <c r="O7" s="28"/>
      <c r="P7" s="28"/>
      <c r="Q7" s="51"/>
      <c r="R7" s="51"/>
      <c r="S7" s="51"/>
      <c r="T7" s="51"/>
      <c r="U7" s="51"/>
      <c r="V7" s="4"/>
      <c r="W7" s="4"/>
    </row>
    <row r="8" spans="1:23" ht="18" customHeight="1" thickBot="1" x14ac:dyDescent="0.35">
      <c r="A8" s="44">
        <v>250</v>
      </c>
      <c r="B8" s="28"/>
      <c r="C8" s="28"/>
      <c r="D8" s="94" t="s">
        <v>58</v>
      </c>
      <c r="E8" s="95"/>
      <c r="F8" s="96"/>
      <c r="G8" s="44">
        <v>3</v>
      </c>
      <c r="H8" s="28"/>
      <c r="I8" s="78">
        <v>0</v>
      </c>
      <c r="J8" s="28"/>
      <c r="K8" s="28"/>
      <c r="L8" s="28"/>
      <c r="M8" s="28"/>
      <c r="N8" s="28"/>
      <c r="O8" s="28"/>
      <c r="P8" s="28"/>
      <c r="Q8" s="51"/>
      <c r="R8" s="51"/>
      <c r="S8" s="51"/>
      <c r="T8" s="51"/>
      <c r="U8" s="51"/>
      <c r="V8" s="4"/>
      <c r="W8" s="4"/>
    </row>
    <row r="9" spans="1:23" ht="13.95" customHeight="1" x14ac:dyDescent="0.3">
      <c r="A9" s="35" t="s">
        <v>89</v>
      </c>
      <c r="B9" s="28"/>
      <c r="C9" s="28"/>
      <c r="D9" s="114"/>
      <c r="E9" s="91"/>
      <c r="F9" s="91"/>
      <c r="G9" s="35" t="s">
        <v>7</v>
      </c>
      <c r="H9" s="28"/>
      <c r="I9" s="79" t="s">
        <v>8</v>
      </c>
      <c r="J9" s="28"/>
      <c r="K9" s="28"/>
      <c r="L9" s="28"/>
      <c r="M9" s="28"/>
      <c r="N9" s="28"/>
      <c r="O9" s="28"/>
      <c r="P9" s="28"/>
      <c r="Q9" s="51"/>
      <c r="R9" s="51"/>
      <c r="S9" s="51"/>
      <c r="T9" s="51"/>
      <c r="U9" s="51"/>
      <c r="V9" s="4"/>
      <c r="W9" s="4"/>
    </row>
    <row r="10" spans="1:23" ht="6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1"/>
      <c r="R10" s="51"/>
      <c r="S10" s="51"/>
      <c r="T10" s="51"/>
      <c r="U10" s="51"/>
      <c r="V10" s="4"/>
      <c r="W10" s="4"/>
    </row>
    <row r="11" spans="1:23" ht="22.05" customHeight="1" x14ac:dyDescent="0.3">
      <c r="A11" s="116" t="str">
        <f>"Investment Professionals ("&amp;TEXT(A8,"$#,##0")&amp;"B AUM, C"&amp;G8&amp;")"</f>
        <v>Investment Professionals ($250B AUM, C3)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50"/>
      <c r="R11" s="50"/>
      <c r="S11" s="50"/>
      <c r="T11" s="50"/>
      <c r="U11" s="50"/>
      <c r="V11" s="4"/>
      <c r="W11" s="4"/>
    </row>
    <row r="12" spans="1:23" ht="19.95" customHeight="1" x14ac:dyDescent="0.3">
      <c r="A12" s="13"/>
      <c r="B12" s="97" t="s">
        <v>9</v>
      </c>
      <c r="C12" s="98"/>
      <c r="D12" s="98"/>
      <c r="E12" s="98"/>
      <c r="F12" s="98"/>
      <c r="G12" s="102" t="s">
        <v>10</v>
      </c>
      <c r="H12" s="98"/>
      <c r="I12" s="98"/>
      <c r="J12" s="98"/>
      <c r="K12" s="98"/>
      <c r="L12" s="99" t="s">
        <v>11</v>
      </c>
      <c r="M12" s="98"/>
      <c r="N12" s="98"/>
      <c r="O12" s="98"/>
      <c r="P12" s="98"/>
      <c r="Q12" s="53"/>
      <c r="R12" s="53"/>
      <c r="S12" s="53"/>
      <c r="T12" s="53"/>
      <c r="U12" s="53"/>
      <c r="V12" s="4"/>
      <c r="W12" s="4"/>
    </row>
    <row r="13" spans="1:23" ht="19.95" customHeight="1" x14ac:dyDescent="0.3">
      <c r="A13" s="14" t="s">
        <v>12</v>
      </c>
      <c r="B13" s="15" t="s">
        <v>13</v>
      </c>
      <c r="C13" s="16" t="s">
        <v>14</v>
      </c>
      <c r="D13" s="16" t="s">
        <v>15</v>
      </c>
      <c r="E13" s="16" t="s">
        <v>16</v>
      </c>
      <c r="F13" s="16" t="s">
        <v>17</v>
      </c>
      <c r="G13" s="15" t="s">
        <v>13</v>
      </c>
      <c r="H13" s="16" t="s">
        <v>14</v>
      </c>
      <c r="I13" s="16" t="s">
        <v>15</v>
      </c>
      <c r="J13" s="16" t="s">
        <v>16</v>
      </c>
      <c r="K13" s="16" t="s">
        <v>17</v>
      </c>
      <c r="L13" s="15" t="s">
        <v>13</v>
      </c>
      <c r="M13" s="16" t="s">
        <v>14</v>
      </c>
      <c r="N13" s="16" t="s">
        <v>15</v>
      </c>
      <c r="O13" s="16" t="s">
        <v>16</v>
      </c>
      <c r="P13" s="16" t="s">
        <v>17</v>
      </c>
      <c r="Q13" s="54"/>
      <c r="R13" s="54"/>
      <c r="S13" s="54"/>
      <c r="T13" s="54"/>
      <c r="U13" s="54"/>
      <c r="V13" s="4"/>
      <c r="W13" s="4"/>
    </row>
    <row r="14" spans="1:23" ht="18" customHeight="1" x14ac:dyDescent="0.3">
      <c r="A14" s="17" t="s">
        <v>18</v>
      </c>
      <c r="B14" s="18">
        <f>ROUND(POWER(10,AM_Params!D12+AM_Params!C12*LOG10($A$8))*1000*(1+($W$6-1)*0.3)*$W$2*$W$4*(1+AM_Params!A37*AM_Params!$B$33),0)</f>
        <v>78091</v>
      </c>
      <c r="C14" s="19">
        <f>ROUND(POWER(10,AM_Params!D12+AM_Params!C12*LOG10($A$8))*1000*(1+($W$6-1)*0.3)*$W$2*$W$4*(1+AM_Params!B37*AM_Params!$B$33),0)</f>
        <v>95560</v>
      </c>
      <c r="D14" s="20">
        <f>ROUND(POWER(10,AM_Params!D12+AM_Params!C12*LOG10($A$8))*1000*(1+($W$6-1)*0.3)*$W$2*$W$4*(1+AM_Params!C37*AM_Params!$B$33),0)</f>
        <v>114925</v>
      </c>
      <c r="E14" s="19">
        <f>ROUND(POWER(10,AM_Params!D12+AM_Params!C12*LOG10($A$8))*1000*(1+($W$6-1)*0.3)*$W$2*$W$4*(1+AM_Params!D37*AM_Params!$B$33),0)</f>
        <v>134290</v>
      </c>
      <c r="F14" s="19">
        <f>ROUND(POWER(10,AM_Params!D12+AM_Params!C12*LOG10($A$8))*1000*(1+($W$6-1)*0.3)*$W$2*$W$4*(1+AM_Params!E37*AM_Params!$B$33),0)</f>
        <v>151758</v>
      </c>
      <c r="G14" s="18">
        <f>ROUND(MAX(POWER(10,AM_Params!F12+AM_Params!E12*LOG10($A$8))*1000,POWER(10,AM_Params!D12+AM_Params!C12*LOG10($A$8))*1000*1.05)*(1+($W$6-1)*0.3)*$W$2*$W$4*(1+AM_Params!A37*AM_Params!$B$33)*(1+$I$8/100*AM_Params!A40),0)</f>
        <v>105075</v>
      </c>
      <c r="H14" s="19">
        <f>ROUND(MAX(POWER(10,AM_Params!F12+AM_Params!E12*LOG10($A$8))*1000,POWER(10,AM_Params!D12+AM_Params!C12*LOG10($A$8))*1000*1.05)*(1+($W$6-1)*0.3)*$W$2*$W$4*(1+AM_Params!B37*AM_Params!$B$33)*(1+$I$8/100*AM_Params!A40),0)</f>
        <v>128580</v>
      </c>
      <c r="I14" s="20">
        <f>ROUND(MAX(POWER(10,AM_Params!F12+AM_Params!E12*LOG10($A$8))*1000,POWER(10,AM_Params!D12+AM_Params!C12*LOG10($A$8))*1000*1.05)*(1+($W$6-1)*0.3)*$W$2*$W$4*(1+AM_Params!C37*AM_Params!$B$33)*(1+$I$8/100*AM_Params!A40),0)</f>
        <v>154636</v>
      </c>
      <c r="J14" s="19">
        <f>ROUND(MAX(POWER(10,AM_Params!F12+AM_Params!E12*LOG10($A$8))*1000,POWER(10,AM_Params!D12+AM_Params!C12*LOG10($A$8))*1000*1.05)*(1+($W$6-1)*0.3)*$W$2*$W$4*(1+AM_Params!D37*AM_Params!$B$33)*(1+$I$8/100*AM_Params!A40),0)</f>
        <v>180692</v>
      </c>
      <c r="K14" s="19">
        <f>ROUND(MAX(POWER(10,AM_Params!F12+AM_Params!E12*LOG10($A$8))*1000,POWER(10,AM_Params!D12+AM_Params!C12*LOG10($A$8))*1000*1.05)*(1+($W$6-1)*0.3)*$W$2*$W$4*(1+AM_Params!E37*AM_Params!$B$33)*(1+$I$8/100*AM_Params!A40),0)</f>
        <v>204197</v>
      </c>
      <c r="L14" s="18">
        <f>ROUND(MAX(POWER(10,AM_Params!H12+AM_Params!G12*LOG10($A$8))*1000,MAX(POWER(10,AM_Params!F12+AM_Params!E12*LOG10($A$8))*1000,POWER(10,AM_Params!D12+AM_Params!C12*LOG10($A$8))*1000*1.05)*1.05)*(1+($W$6-1)*0.3)*$W$2*$W$4*(1+AM_Params!A37*AM_Params!$B$33)*(1+$I$8/100*AM_Params!A40),0)</f>
        <v>111003</v>
      </c>
      <c r="M14" s="19">
        <f>ROUND(MAX(POWER(10,AM_Params!H12+AM_Params!G12*LOG10($A$8))*1000,MAX(POWER(10,AM_Params!F12+AM_Params!E12*LOG10($A$8))*1000,POWER(10,AM_Params!D12+AM_Params!C12*LOG10($A$8))*1000*1.05)*1.05)*(1+($W$6-1)*0.3)*$W$2*$W$4*(1+AM_Params!B37*AM_Params!$B$33)*(1+$I$8/100*AM_Params!A40),0)</f>
        <v>135834</v>
      </c>
      <c r="N14" s="20">
        <f>ROUND(MAX(POWER(10,AM_Params!H12+AM_Params!G12*LOG10($A$8))*1000,MAX(POWER(10,AM_Params!F12+AM_Params!E12*LOG10($A$8))*1000,POWER(10,AM_Params!D12+AM_Params!C12*LOG10($A$8))*1000*1.05)*1.05)*(1+($W$6-1)*0.3)*$W$2*$W$4*(1+AM_Params!C37*AM_Params!$B$33)*(1+$I$8/100*AM_Params!A40),0)</f>
        <v>163360</v>
      </c>
      <c r="O14" s="19">
        <f>ROUND(MAX(POWER(10,AM_Params!H12+AM_Params!G12*LOG10($A$8))*1000,MAX(POWER(10,AM_Params!F12+AM_Params!E12*LOG10($A$8))*1000,POWER(10,AM_Params!D12+AM_Params!C12*LOG10($A$8))*1000*1.05)*1.05)*(1+($W$6-1)*0.3)*$W$2*$W$4*(1+AM_Params!D37*AM_Params!$B$33)*(1+$I$8/100*AM_Params!A40),0)</f>
        <v>190886</v>
      </c>
      <c r="P14" s="19">
        <f>ROUND(MAX(POWER(10,AM_Params!H12+AM_Params!G12*LOG10($A$8))*1000,MAX(POWER(10,AM_Params!F12+AM_Params!E12*LOG10($A$8))*1000,POWER(10,AM_Params!D12+AM_Params!C12*LOG10($A$8))*1000*1.05)*1.05)*(1+($W$6-1)*0.3)*$W$2*$W$4*(1+AM_Params!E37*AM_Params!$B$33)*(1+$I$8/100*AM_Params!A40),0)</f>
        <v>215717</v>
      </c>
      <c r="Q14" s="55"/>
      <c r="R14" s="55"/>
      <c r="S14" s="55"/>
      <c r="T14" s="55"/>
      <c r="U14" s="55"/>
      <c r="V14" s="4"/>
      <c r="W14" s="4"/>
    </row>
    <row r="15" spans="1:23" ht="18" customHeight="1" x14ac:dyDescent="0.3">
      <c r="A15" s="21" t="s">
        <v>19</v>
      </c>
      <c r="B15" s="22">
        <f>ROUND(POWER(10,AM_Params!D13+AM_Params!C13*LOG10($A$8))*1000*(1+($W$6-1)*0.4)*$W$2*$W$4*(1+AM_Params!A37*AM_Params!$B$33),0)</f>
        <v>112352</v>
      </c>
      <c r="C15" s="23">
        <f>ROUND(POWER(10,AM_Params!D13+AM_Params!C13*LOG10($A$8))*1000*(1+($W$6-1)*0.4)*$W$2*$W$4*(1+AM_Params!B37*AM_Params!$B$33),0)</f>
        <v>137485</v>
      </c>
      <c r="D15" s="20">
        <f>ROUND(POWER(10,AM_Params!D13+AM_Params!C13*LOG10($A$8))*1000*(1+($W$6-1)*0.4)*$W$2*$W$4*(1+AM_Params!C37*AM_Params!$B$33),0)</f>
        <v>165346</v>
      </c>
      <c r="E15" s="23">
        <f>ROUND(POWER(10,AM_Params!D13+AM_Params!C13*LOG10($A$8))*1000*(1+($W$6-1)*0.4)*$W$2*$W$4*(1+AM_Params!D37*AM_Params!$B$33),0)</f>
        <v>193207</v>
      </c>
      <c r="F15" s="23">
        <f>ROUND(POWER(10,AM_Params!D13+AM_Params!C13*LOG10($A$8))*1000*(1+($W$6-1)*0.4)*$W$2*$W$4*(1+AM_Params!E37*AM_Params!$B$33),0)</f>
        <v>218339</v>
      </c>
      <c r="G15" s="22">
        <f>ROUND(MAX(POWER(10,AM_Params!F13+AM_Params!E13*LOG10($A$8))*1000,POWER(10,AM_Params!D13+AM_Params!C13*LOG10($A$8))*1000*1.05)*(1+($W$6-1)*0.4)*$W$2*$W$4*(1+AM_Params!A37*AM_Params!$B$33)*(1+$I$8/100*AM_Params!B40),0)</f>
        <v>154326</v>
      </c>
      <c r="H15" s="23">
        <f>ROUND(MAX(POWER(10,AM_Params!F13+AM_Params!E13*LOG10($A$8))*1000,POWER(10,AM_Params!D13+AM_Params!C13*LOG10($A$8))*1000*1.05)*(1+($W$6-1)*0.4)*$W$2*$W$4*(1+AM_Params!B37*AM_Params!$B$33)*(1+$I$8/100*AM_Params!B40),0)</f>
        <v>188847</v>
      </c>
      <c r="I15" s="20">
        <f>ROUND(MAX(POWER(10,AM_Params!F13+AM_Params!E13*LOG10($A$8))*1000,POWER(10,AM_Params!D13+AM_Params!C13*LOG10($A$8))*1000*1.05)*(1+($W$6-1)*0.4)*$W$2*$W$4*(1+AM_Params!C37*AM_Params!$B$33)*(1+$I$8/100*AM_Params!B40),0)</f>
        <v>227117</v>
      </c>
      <c r="J15" s="23">
        <f>ROUND(MAX(POWER(10,AM_Params!F13+AM_Params!E13*LOG10($A$8))*1000,POWER(10,AM_Params!D13+AM_Params!C13*LOG10($A$8))*1000*1.05)*(1+($W$6-1)*0.4)*$W$2*$W$4*(1+AM_Params!D37*AM_Params!$B$33)*(1+$I$8/100*AM_Params!B40),0)</f>
        <v>265386</v>
      </c>
      <c r="K15" s="23">
        <f>ROUND(MAX(POWER(10,AM_Params!F13+AM_Params!E13*LOG10($A$8))*1000,POWER(10,AM_Params!D13+AM_Params!C13*LOG10($A$8))*1000*1.05)*(1+($W$6-1)*0.4)*$W$2*$W$4*(1+AM_Params!E37*AM_Params!$B$33)*(1+$I$8/100*AM_Params!B40),0)</f>
        <v>299907</v>
      </c>
      <c r="L15" s="22">
        <f>ROUND(MAX(POWER(10,AM_Params!H13+AM_Params!G13*LOG10($A$8))*1000,MAX(POWER(10,AM_Params!F13+AM_Params!E13*LOG10($A$8))*1000,POWER(10,AM_Params!D13+AM_Params!C13*LOG10($A$8))*1000*1.05)*1.05)*(1+($W$6-1)*0.4)*$W$2*$W$4*(1+AM_Params!A37*AM_Params!$B$33)*(1+$I$8/100*AM_Params!B40),0)</f>
        <v>162650</v>
      </c>
      <c r="M15" s="23">
        <f>ROUND(MAX(POWER(10,AM_Params!H13+AM_Params!G13*LOG10($A$8))*1000,MAX(POWER(10,AM_Params!F13+AM_Params!E13*LOG10($A$8))*1000,POWER(10,AM_Params!D13+AM_Params!C13*LOG10($A$8))*1000*1.05)*1.05)*(1+($W$6-1)*0.4)*$W$2*$W$4*(1+AM_Params!B37*AM_Params!$B$33)*(1+$I$8/100*AM_Params!B40),0)</f>
        <v>199033</v>
      </c>
      <c r="N15" s="20">
        <f>ROUND(MAX(POWER(10,AM_Params!H13+AM_Params!G13*LOG10($A$8))*1000,MAX(POWER(10,AM_Params!F13+AM_Params!E13*LOG10($A$8))*1000,POWER(10,AM_Params!D13+AM_Params!C13*LOG10($A$8))*1000*1.05)*1.05)*(1+($W$6-1)*0.4)*$W$2*$W$4*(1+AM_Params!C37*AM_Params!$B$33)*(1+$I$8/100*AM_Params!B40),0)</f>
        <v>239367</v>
      </c>
      <c r="O15" s="23">
        <f>ROUND(MAX(POWER(10,AM_Params!H13+AM_Params!G13*LOG10($A$8))*1000,MAX(POWER(10,AM_Params!F13+AM_Params!E13*LOG10($A$8))*1000,POWER(10,AM_Params!D13+AM_Params!C13*LOG10($A$8))*1000*1.05)*1.05)*(1+($W$6-1)*0.4)*$W$2*$W$4*(1+AM_Params!D37*AM_Params!$B$33)*(1+$I$8/100*AM_Params!B40),0)</f>
        <v>279700</v>
      </c>
      <c r="P15" s="23">
        <f>ROUND(MAX(POWER(10,AM_Params!H13+AM_Params!G13*LOG10($A$8))*1000,MAX(POWER(10,AM_Params!F13+AM_Params!E13*LOG10($A$8))*1000,POWER(10,AM_Params!D13+AM_Params!C13*LOG10($A$8))*1000*1.05)*1.05)*(1+($W$6-1)*0.4)*$W$2*$W$4*(1+AM_Params!E37*AM_Params!$B$33)*(1+$I$8/100*AM_Params!B40),0)</f>
        <v>316084</v>
      </c>
      <c r="Q15" s="55"/>
      <c r="R15" s="55"/>
      <c r="S15" s="55"/>
      <c r="T15" s="55"/>
      <c r="U15" s="55"/>
      <c r="V15" s="4"/>
      <c r="W15" s="4"/>
    </row>
    <row r="16" spans="1:23" ht="18" customHeight="1" x14ac:dyDescent="0.3">
      <c r="A16" s="17" t="s">
        <v>20</v>
      </c>
      <c r="B16" s="18">
        <f>ROUND(POWER(10,AM_Params!D14+AM_Params!C14*LOG10($A$8))*1000*(1+($W$6-1)*0.5)*$W$2*$W$4*(1+AM_Params!A37*AM_Params!$B$33),0)</f>
        <v>155798</v>
      </c>
      <c r="C16" s="19">
        <f>ROUND(POWER(10,AM_Params!D14+AM_Params!C14*LOG10($A$8))*1000*(1+($W$6-1)*0.5)*$W$2*$W$4*(1+AM_Params!B37*AM_Params!$B$33),0)</f>
        <v>190649</v>
      </c>
      <c r="D16" s="20">
        <f>ROUND(POWER(10,AM_Params!D14+AM_Params!C14*LOG10($A$8))*1000*(1+($W$6-1)*0.5)*$W$2*$W$4*(1+AM_Params!C37*AM_Params!$B$33),0)</f>
        <v>229283</v>
      </c>
      <c r="E16" s="19">
        <f>ROUND(POWER(10,AM_Params!D14+AM_Params!C14*LOG10($A$8))*1000*(1+($W$6-1)*0.5)*$W$2*$W$4*(1+AM_Params!D37*AM_Params!$B$33),0)</f>
        <v>267918</v>
      </c>
      <c r="F16" s="19">
        <f>ROUND(POWER(10,AM_Params!D14+AM_Params!C14*LOG10($A$8))*1000*(1+($W$6-1)*0.5)*$W$2*$W$4*(1+AM_Params!E37*AM_Params!$B$33),0)</f>
        <v>302769</v>
      </c>
      <c r="G16" s="18">
        <f>ROUND(MAX(POWER(10,AM_Params!F14+AM_Params!E14*LOG10($A$8))*1000,POWER(10,AM_Params!D14+AM_Params!C14*LOG10($A$8))*1000*1.05)*(1+($W$6-1)*0.5)*$W$2*$W$4*(1+AM_Params!A37*AM_Params!$B$33)*(1+$I$8/100*AM_Params!C40),0)</f>
        <v>247969</v>
      </c>
      <c r="H16" s="19">
        <f>ROUND(MAX(POWER(10,AM_Params!F14+AM_Params!E14*LOG10($A$8))*1000,POWER(10,AM_Params!D14+AM_Params!C14*LOG10($A$8))*1000*1.05)*(1+($W$6-1)*0.5)*$W$2*$W$4*(1+AM_Params!B37*AM_Params!$B$33)*(1+$I$8/100*AM_Params!C40),0)</f>
        <v>303438</v>
      </c>
      <c r="I16" s="20">
        <f>ROUND(MAX(POWER(10,AM_Params!F14+AM_Params!E14*LOG10($A$8))*1000,POWER(10,AM_Params!D14+AM_Params!C14*LOG10($A$8))*1000*1.05)*(1+($W$6-1)*0.5)*$W$2*$W$4*(1+AM_Params!C37*AM_Params!$B$33)*(1+$I$8/100*AM_Params!C40),0)</f>
        <v>364928</v>
      </c>
      <c r="J16" s="19">
        <f>ROUND(MAX(POWER(10,AM_Params!F14+AM_Params!E14*LOG10($A$8))*1000,POWER(10,AM_Params!D14+AM_Params!C14*LOG10($A$8))*1000*1.05)*(1+($W$6-1)*0.5)*$W$2*$W$4*(1+AM_Params!D37*AM_Params!$B$33)*(1+$I$8/100*AM_Params!C40),0)</f>
        <v>426419</v>
      </c>
      <c r="K16" s="19">
        <f>ROUND(MAX(POWER(10,AM_Params!F14+AM_Params!E14*LOG10($A$8))*1000,POWER(10,AM_Params!D14+AM_Params!C14*LOG10($A$8))*1000*1.05)*(1+($W$6-1)*0.5)*$W$2*$W$4*(1+AM_Params!E37*AM_Params!$B$33)*(1+$I$8/100*AM_Params!C40),0)</f>
        <v>481888</v>
      </c>
      <c r="L16" s="18">
        <f>ROUND(MAX(POWER(10,AM_Params!H14+AM_Params!G14*LOG10($A$8))*1000,MAX(POWER(10,AM_Params!F14+AM_Params!E14*LOG10($A$8))*1000,POWER(10,AM_Params!D14+AM_Params!C14*LOG10($A$8))*1000*1.05)*1.05)*(1+($W$6-1)*0.5)*$W$2*$W$4*(1+AM_Params!A37*AM_Params!$B$33)*(1+$I$8/100*AM_Params!C40),0)</f>
        <v>261331</v>
      </c>
      <c r="M16" s="19">
        <f>ROUND(MAX(POWER(10,AM_Params!H14+AM_Params!G14*LOG10($A$8))*1000,MAX(POWER(10,AM_Params!F14+AM_Params!E14*LOG10($A$8))*1000,POWER(10,AM_Params!D14+AM_Params!C14*LOG10($A$8))*1000*1.05)*1.05)*(1+($W$6-1)*0.5)*$W$2*$W$4*(1+AM_Params!B37*AM_Params!$B$33)*(1+$I$8/100*AM_Params!C40),0)</f>
        <v>319789</v>
      </c>
      <c r="N16" s="20">
        <f>ROUND(MAX(POWER(10,AM_Params!H14+AM_Params!G14*LOG10($A$8))*1000,MAX(POWER(10,AM_Params!F14+AM_Params!E14*LOG10($A$8))*1000,POWER(10,AM_Params!D14+AM_Params!C14*LOG10($A$8))*1000*1.05)*1.05)*(1+($W$6-1)*0.5)*$W$2*$W$4*(1+AM_Params!C37*AM_Params!$B$33)*(1+$I$8/100*AM_Params!C40),0)</f>
        <v>384593</v>
      </c>
      <c r="O16" s="19">
        <f>ROUND(MAX(POWER(10,AM_Params!H14+AM_Params!G14*LOG10($A$8))*1000,MAX(POWER(10,AM_Params!F14+AM_Params!E14*LOG10($A$8))*1000,POWER(10,AM_Params!D14+AM_Params!C14*LOG10($A$8))*1000*1.05)*1.05)*(1+($W$6-1)*0.5)*$W$2*$W$4*(1+AM_Params!D37*AM_Params!$B$33)*(1+$I$8/100*AM_Params!C40),0)</f>
        <v>449397</v>
      </c>
      <c r="P16" s="19">
        <f>ROUND(MAX(POWER(10,AM_Params!H14+AM_Params!G14*LOG10($A$8))*1000,MAX(POWER(10,AM_Params!F14+AM_Params!E14*LOG10($A$8))*1000,POWER(10,AM_Params!D14+AM_Params!C14*LOG10($A$8))*1000*1.05)*1.05)*(1+($W$6-1)*0.5)*$W$2*$W$4*(1+AM_Params!E37*AM_Params!$B$33)*(1+$I$8/100*AM_Params!C40),0)</f>
        <v>507855</v>
      </c>
      <c r="Q16" s="55"/>
      <c r="R16" s="55"/>
      <c r="S16" s="55"/>
      <c r="T16" s="55"/>
      <c r="U16" s="55"/>
      <c r="V16" s="4"/>
      <c r="W16" s="4"/>
    </row>
    <row r="17" spans="1:23" ht="18" customHeight="1" x14ac:dyDescent="0.3">
      <c r="A17" s="21" t="s">
        <v>47</v>
      </c>
      <c r="B17" s="22">
        <f>ROUND(POWER(10,AM_Params!D15+AM_Params!C15*LOG10($A$8))*1000*(1+($W$6-1)*0.6)*$W$2*$W$4*(1+AM_Params!A37*AM_Params!$B$33),0)</f>
        <v>187310</v>
      </c>
      <c r="C17" s="23">
        <f>ROUND(POWER(10,AM_Params!D15+AM_Params!C15*LOG10($A$8))*1000*(1+($W$6-1)*0.6)*$W$2*$W$4*(1+AM_Params!B37*AM_Params!$B$33),0)</f>
        <v>229211</v>
      </c>
      <c r="D17" s="20">
        <f>ROUND(POWER(10,AM_Params!D15+AM_Params!C15*LOG10($A$8))*1000*(1+($W$6-1)*0.6)*$W$2*$W$4*(1+AM_Params!C37*AM_Params!$B$33),0)</f>
        <v>275659</v>
      </c>
      <c r="E17" s="23">
        <f>ROUND(POWER(10,AM_Params!D15+AM_Params!C15*LOG10($A$8))*1000*(1+($W$6-1)*0.6)*$W$2*$W$4*(1+AM_Params!D37*AM_Params!$B$33),0)</f>
        <v>322108</v>
      </c>
      <c r="F17" s="23">
        <f>ROUND(POWER(10,AM_Params!D15+AM_Params!C15*LOG10($A$8))*1000*(1+($W$6-1)*0.6)*$W$2*$W$4*(1+AM_Params!E37*AM_Params!$B$33),0)</f>
        <v>364008</v>
      </c>
      <c r="G17" s="22">
        <f>ROUND(MAX(POWER(10,AM_Params!F15+AM_Params!E15*LOG10($A$8))*1000,POWER(10,AM_Params!D15+AM_Params!C15*LOG10($A$8))*1000*1.05)*(1+($W$6-1)*0.6)*$W$2*$W$4*(1+AM_Params!A37*AM_Params!$B$33)*(1+$I$8/100*AM_Params!D40),0)</f>
        <v>346207</v>
      </c>
      <c r="H17" s="23">
        <f>ROUND(MAX(POWER(10,AM_Params!F15+AM_Params!E15*LOG10($A$8))*1000,POWER(10,AM_Params!D15+AM_Params!C15*LOG10($A$8))*1000*1.05)*(1+($W$6-1)*0.6)*$W$2*$W$4*(1+AM_Params!B37*AM_Params!$B$33)*(1+$I$8/100*AM_Params!D40),0)</f>
        <v>423651</v>
      </c>
      <c r="I17" s="20">
        <f>ROUND(MAX(POWER(10,AM_Params!F15+AM_Params!E15*LOG10($A$8))*1000,POWER(10,AM_Params!D15+AM_Params!C15*LOG10($A$8))*1000*1.05)*(1+($W$6-1)*0.6)*$W$2*$W$4*(1+AM_Params!C37*AM_Params!$B$33)*(1+$I$8/100*AM_Params!D40),0)</f>
        <v>509502</v>
      </c>
      <c r="J17" s="23">
        <f>ROUND(MAX(POWER(10,AM_Params!F15+AM_Params!E15*LOG10($A$8))*1000,POWER(10,AM_Params!D15+AM_Params!C15*LOG10($A$8))*1000*1.05)*(1+($W$6-1)*0.6)*$W$2*$W$4*(1+AM_Params!D37*AM_Params!$B$33)*(1+$I$8/100*AM_Params!D40),0)</f>
        <v>595353</v>
      </c>
      <c r="K17" s="23">
        <f>ROUND(MAX(POWER(10,AM_Params!F15+AM_Params!E15*LOG10($A$8))*1000,POWER(10,AM_Params!D15+AM_Params!C15*LOG10($A$8))*1000*1.05)*(1+($W$6-1)*0.6)*$W$2*$W$4*(1+AM_Params!E37*AM_Params!$B$33)*(1+$I$8/100*AM_Params!D40),0)</f>
        <v>672797</v>
      </c>
      <c r="L17" s="22">
        <f>ROUND(MAX(POWER(10,AM_Params!H15+AM_Params!G15*LOG10($A$8))*1000,MAX(POWER(10,AM_Params!F15+AM_Params!E15*LOG10($A$8))*1000,POWER(10,AM_Params!D15+AM_Params!C15*LOG10($A$8))*1000*1.05)*1.05)*(1+($W$6-1)*0.6)*$W$2*$W$4*(1+AM_Params!A37*AM_Params!$B$33)*(1+$I$8/100*AM_Params!D40),0)</f>
        <v>380267</v>
      </c>
      <c r="M17" s="23">
        <f>ROUND(MAX(POWER(10,AM_Params!H15+AM_Params!G15*LOG10($A$8))*1000,MAX(POWER(10,AM_Params!F15+AM_Params!E15*LOG10($A$8))*1000,POWER(10,AM_Params!D15+AM_Params!C15*LOG10($A$8))*1000*1.05)*1.05)*(1+($W$6-1)*0.6)*$W$2*$W$4*(1+AM_Params!B37*AM_Params!$B$33)*(1+$I$8/100*AM_Params!D40),0)</f>
        <v>465330</v>
      </c>
      <c r="N17" s="20">
        <f>ROUND(MAX(POWER(10,AM_Params!H15+AM_Params!G15*LOG10($A$8))*1000,MAX(POWER(10,AM_Params!F15+AM_Params!E15*LOG10($A$8))*1000,POWER(10,AM_Params!D15+AM_Params!C15*LOG10($A$8))*1000*1.05)*1.05)*(1+($W$6-1)*0.6)*$W$2*$W$4*(1+AM_Params!C37*AM_Params!$B$33)*(1+$I$8/100*AM_Params!D40),0)</f>
        <v>559627</v>
      </c>
      <c r="O17" s="23">
        <f>ROUND(MAX(POWER(10,AM_Params!H15+AM_Params!G15*LOG10($A$8))*1000,MAX(POWER(10,AM_Params!F15+AM_Params!E15*LOG10($A$8))*1000,POWER(10,AM_Params!D15+AM_Params!C15*LOG10($A$8))*1000*1.05)*1.05)*(1+($W$6-1)*0.6)*$W$2*$W$4*(1+AM_Params!D37*AM_Params!$B$33)*(1+$I$8/100*AM_Params!D40),0)</f>
        <v>653924</v>
      </c>
      <c r="P17" s="23">
        <f>ROUND(MAX(POWER(10,AM_Params!H15+AM_Params!G15*LOG10($A$8))*1000,MAX(POWER(10,AM_Params!F15+AM_Params!E15*LOG10($A$8))*1000,POWER(10,AM_Params!D15+AM_Params!C15*LOG10($A$8))*1000*1.05)*1.05)*(1+($W$6-1)*0.6)*$W$2*$W$4*(1+AM_Params!E37*AM_Params!$B$33)*(1+$I$8/100*AM_Params!D40),0)</f>
        <v>738987</v>
      </c>
      <c r="Q17" s="55"/>
      <c r="R17" s="55"/>
      <c r="S17" s="55"/>
      <c r="T17" s="55"/>
      <c r="U17" s="55"/>
      <c r="V17" s="4"/>
      <c r="W17" s="4"/>
    </row>
    <row r="18" spans="1:23" ht="18" customHeight="1" x14ac:dyDescent="0.3">
      <c r="A18" s="17" t="s">
        <v>48</v>
      </c>
      <c r="B18" s="18">
        <f>ROUND(POWER(10,AM_Params!D16+AM_Params!C16*LOG10($A$8))*1000*(1+($W$6-1)*0.7)*$W$2*$W$4*(1+AM_Params!A37*AM_Params!$B$33),0)</f>
        <v>204919</v>
      </c>
      <c r="C18" s="19">
        <f>ROUND(POWER(10,AM_Params!D16+AM_Params!C16*LOG10($A$8))*1000*(1+($W$6-1)*0.7)*$W$2*$W$4*(1+AM_Params!B37*AM_Params!$B$33),0)</f>
        <v>250758</v>
      </c>
      <c r="D18" s="20">
        <f>ROUND(POWER(10,AM_Params!D16+AM_Params!C16*LOG10($A$8))*1000*(1+($W$6-1)*0.7)*$W$2*$W$4*(1+AM_Params!C37*AM_Params!$B$33),0)</f>
        <v>301573</v>
      </c>
      <c r="E18" s="19">
        <f>ROUND(POWER(10,AM_Params!D16+AM_Params!C16*LOG10($A$8))*1000*(1+($W$6-1)*0.7)*$W$2*$W$4*(1+AM_Params!D37*AM_Params!$B$33),0)</f>
        <v>352389</v>
      </c>
      <c r="F18" s="19">
        <f>ROUND(POWER(10,AM_Params!D16+AM_Params!C16*LOG10($A$8))*1000*(1+($W$6-1)*0.7)*$W$2*$W$4*(1+AM_Params!E37*AM_Params!$B$33),0)</f>
        <v>398228</v>
      </c>
      <c r="G18" s="18">
        <f>ROUND(MAX(POWER(10,AM_Params!F16+AM_Params!E16*LOG10($A$8))*1000,POWER(10,AM_Params!D16+AM_Params!C16*LOG10($A$8))*1000*1.05)*(1+($W$6-1)*0.7)*$W$2*$W$4*(1+AM_Params!A37*AM_Params!$B$33)*(1+$I$8/100*AM_Params!E40),0)</f>
        <v>503842</v>
      </c>
      <c r="H18" s="19">
        <f>ROUND(MAX(POWER(10,AM_Params!F16+AM_Params!E16*LOG10($A$8))*1000,POWER(10,AM_Params!D16+AM_Params!C16*LOG10($A$8))*1000*1.05)*(1+($W$6-1)*0.7)*$W$2*$W$4*(1+AM_Params!B37*AM_Params!$B$33)*(1+$I$8/100*AM_Params!E40),0)</f>
        <v>616548</v>
      </c>
      <c r="I18" s="20">
        <f>ROUND(MAX(POWER(10,AM_Params!F16+AM_Params!E16*LOG10($A$8))*1000,POWER(10,AM_Params!D16+AM_Params!C16*LOG10($A$8))*1000*1.05)*(1+($W$6-1)*0.7)*$W$2*$W$4*(1+AM_Params!C37*AM_Params!$B$33)*(1+$I$8/100*AM_Params!E40),0)</f>
        <v>741489</v>
      </c>
      <c r="J18" s="19">
        <f>ROUND(MAX(POWER(10,AM_Params!F16+AM_Params!E16*LOG10($A$8))*1000,POWER(10,AM_Params!D16+AM_Params!C16*LOG10($A$8))*1000*1.05)*(1+($W$6-1)*0.7)*$W$2*$W$4*(1+AM_Params!D37*AM_Params!$B$33)*(1+$I$8/100*AM_Params!E40),0)</f>
        <v>866430</v>
      </c>
      <c r="K18" s="19">
        <f>ROUND(MAX(POWER(10,AM_Params!F16+AM_Params!E16*LOG10($A$8))*1000,POWER(10,AM_Params!D16+AM_Params!C16*LOG10($A$8))*1000*1.05)*(1+($W$6-1)*0.7)*$W$2*$W$4*(1+AM_Params!E37*AM_Params!$B$33)*(1+$I$8/100*AM_Params!E40),0)</f>
        <v>979136</v>
      </c>
      <c r="L18" s="18">
        <f>ROUND(MAX(POWER(10,AM_Params!H16+AM_Params!G16*LOG10($A$8))*1000,MAX(POWER(10,AM_Params!F16+AM_Params!E16*LOG10($A$8))*1000,POWER(10,AM_Params!D16+AM_Params!C16*LOG10($A$8))*1000*1.05)*1.05)*(1+($W$6-1)*0.7)*$W$2*$W$4*(1+AM_Params!A37*AM_Params!$B$33)*(1+$I$8/100*AM_Params!E40),0)</f>
        <v>629485</v>
      </c>
      <c r="M18" s="19">
        <f>ROUND(MAX(POWER(10,AM_Params!H16+AM_Params!G16*LOG10($A$8))*1000,MAX(POWER(10,AM_Params!F16+AM_Params!E16*LOG10($A$8))*1000,POWER(10,AM_Params!D16+AM_Params!C16*LOG10($A$8))*1000*1.05)*1.05)*(1+($W$6-1)*0.7)*$W$2*$W$4*(1+AM_Params!B37*AM_Params!$B$33)*(1+$I$8/100*AM_Params!E40),0)</f>
        <v>770297</v>
      </c>
      <c r="N18" s="20">
        <f>ROUND(MAX(POWER(10,AM_Params!H16+AM_Params!G16*LOG10($A$8))*1000,MAX(POWER(10,AM_Params!F16+AM_Params!E16*LOG10($A$8))*1000,POWER(10,AM_Params!D16+AM_Params!C16*LOG10($A$8))*1000*1.05)*1.05)*(1+($W$6-1)*0.7)*$W$2*$W$4*(1+AM_Params!C37*AM_Params!$B$33)*(1+$I$8/100*AM_Params!E40),0)</f>
        <v>926394</v>
      </c>
      <c r="O18" s="19">
        <f>ROUND(MAX(POWER(10,AM_Params!H16+AM_Params!G16*LOG10($A$8))*1000,MAX(POWER(10,AM_Params!F16+AM_Params!E16*LOG10($A$8))*1000,POWER(10,AM_Params!D16+AM_Params!C16*LOG10($A$8))*1000*1.05)*1.05)*(1+($W$6-1)*0.7)*$W$2*$W$4*(1+AM_Params!D37*AM_Params!$B$33)*(1+$I$8/100*AM_Params!E40),0)</f>
        <v>1082491</v>
      </c>
      <c r="P18" s="19">
        <f>ROUND(MAX(POWER(10,AM_Params!H16+AM_Params!G16*LOG10($A$8))*1000,MAX(POWER(10,AM_Params!F16+AM_Params!E16*LOG10($A$8))*1000,POWER(10,AM_Params!D16+AM_Params!C16*LOG10($A$8))*1000*1.05)*1.05)*(1+($W$6-1)*0.7)*$W$2*$W$4*(1+AM_Params!E37*AM_Params!$B$33)*(1+$I$8/100*AM_Params!E40),0)</f>
        <v>1223303</v>
      </c>
      <c r="Q18" s="55"/>
      <c r="R18" s="55"/>
      <c r="S18" s="55"/>
      <c r="T18" s="55"/>
      <c r="U18" s="55"/>
      <c r="V18" s="4"/>
      <c r="W18" s="4"/>
    </row>
    <row r="19" spans="1:23" ht="18" customHeight="1" x14ac:dyDescent="0.3">
      <c r="A19" s="21" t="s">
        <v>23</v>
      </c>
      <c r="B19" s="22">
        <f>ROUND(POWER(10,AM_Params!D17+AM_Params!C17*LOG10($A$8))*1000*(1+($W$6-1)*0.8)*$W$2*$W$4*(1+AM_Params!A37*AM_Params!$B$33),0)</f>
        <v>287497</v>
      </c>
      <c r="C19" s="23">
        <f>ROUND(POWER(10,AM_Params!D17+AM_Params!C17*LOG10($A$8))*1000*(1+($W$6-1)*0.8)*$W$2*$W$4*(1+AM_Params!B37*AM_Params!$B$33),0)</f>
        <v>351809</v>
      </c>
      <c r="D19" s="20">
        <f>ROUND(POWER(10,AM_Params!D17+AM_Params!C17*LOG10($A$8))*1000*(1+($W$6-1)*0.8)*$W$2*$W$4*(1+AM_Params!C37*AM_Params!$B$33),0)</f>
        <v>423102</v>
      </c>
      <c r="E19" s="23">
        <f>ROUND(POWER(10,AM_Params!D17+AM_Params!C17*LOG10($A$8))*1000*(1+($W$6-1)*0.8)*$W$2*$W$4*(1+AM_Params!D37*AM_Params!$B$33),0)</f>
        <v>494394</v>
      </c>
      <c r="F19" s="23">
        <f>ROUND(POWER(10,AM_Params!D17+AM_Params!C17*LOG10($A$8))*1000*(1+($W$6-1)*0.8)*$W$2*$W$4*(1+AM_Params!E37*AM_Params!$B$33),0)</f>
        <v>558706</v>
      </c>
      <c r="G19" s="22">
        <f>ROUND(MAX(POWER(10,AM_Params!F17+AM_Params!E17*LOG10($A$8))*1000,POWER(10,AM_Params!D17+AM_Params!C17*LOG10($A$8))*1000*1.05)*(1+($W$6-1)*0.8)*$W$2*$W$4*(1+AM_Params!A37*AM_Params!$B$33)*(1+$I$8/100*AM_Params!F40),0)</f>
        <v>912629</v>
      </c>
      <c r="H19" s="23">
        <f>ROUND(MAX(POWER(10,AM_Params!F17+AM_Params!E17*LOG10($A$8))*1000,POWER(10,AM_Params!D17+AM_Params!C17*LOG10($A$8))*1000*1.05)*(1+($W$6-1)*0.8)*$W$2*$W$4*(1+AM_Params!B37*AM_Params!$B$33)*(1+$I$8/100*AM_Params!F40),0)</f>
        <v>1116778</v>
      </c>
      <c r="I19" s="20">
        <f>ROUND(MAX(POWER(10,AM_Params!F17+AM_Params!E17*LOG10($A$8))*1000,POWER(10,AM_Params!D17+AM_Params!C17*LOG10($A$8))*1000*1.05)*(1+($W$6-1)*0.8)*$W$2*$W$4*(1+AM_Params!C37*AM_Params!$B$33)*(1+$I$8/100*AM_Params!F40),0)</f>
        <v>1343089</v>
      </c>
      <c r="J19" s="23">
        <f>ROUND(MAX(POWER(10,AM_Params!F17+AM_Params!E17*LOG10($A$8))*1000,POWER(10,AM_Params!D17+AM_Params!C17*LOG10($A$8))*1000*1.05)*(1+($W$6-1)*0.8)*$W$2*$W$4*(1+AM_Params!D37*AM_Params!$B$33)*(1+$I$8/100*AM_Params!F40),0)</f>
        <v>1569399</v>
      </c>
      <c r="K19" s="23">
        <f>ROUND(MAX(POWER(10,AM_Params!F17+AM_Params!E17*LOG10($A$8))*1000,POWER(10,AM_Params!D17+AM_Params!C17*LOG10($A$8))*1000*1.05)*(1+($W$6-1)*0.8)*$W$2*$W$4*(1+AM_Params!E37*AM_Params!$B$33)*(1+$I$8/100*AM_Params!F40),0)</f>
        <v>1773549</v>
      </c>
      <c r="L19" s="22">
        <f>ROUND(MAX(POWER(10,AM_Params!H17+AM_Params!G17*LOG10($A$8))*1000,MAX(POWER(10,AM_Params!F17+AM_Params!E17*LOG10($A$8))*1000,POWER(10,AM_Params!D17+AM_Params!C17*LOG10($A$8))*1000*1.05)*1.05)*(1+($W$6-1)*0.8)*$W$2*$W$4*(1+AM_Params!A37*AM_Params!$B$33)*(1+$I$8/100*AM_Params!F40),0)</f>
        <v>1238578</v>
      </c>
      <c r="M19" s="23">
        <f>ROUND(MAX(POWER(10,AM_Params!H17+AM_Params!G17*LOG10($A$8))*1000,MAX(POWER(10,AM_Params!F17+AM_Params!E17*LOG10($A$8))*1000,POWER(10,AM_Params!D17+AM_Params!C17*LOG10($A$8))*1000*1.05)*1.05)*(1+($W$6-1)*0.8)*$W$2*$W$4*(1+AM_Params!B37*AM_Params!$B$33)*(1+$I$8/100*AM_Params!F40),0)</f>
        <v>1515640</v>
      </c>
      <c r="N19" s="20">
        <f>ROUND(MAX(POWER(10,AM_Params!H17+AM_Params!G17*LOG10($A$8))*1000,MAX(POWER(10,AM_Params!F17+AM_Params!E17*LOG10($A$8))*1000,POWER(10,AM_Params!D17+AM_Params!C17*LOG10($A$8))*1000*1.05)*1.05)*(1+($W$6-1)*0.8)*$W$2*$W$4*(1+AM_Params!C37*AM_Params!$B$33)*(1+$I$8/100*AM_Params!F40),0)</f>
        <v>1822778</v>
      </c>
      <c r="O19" s="23">
        <f>ROUND(MAX(POWER(10,AM_Params!H17+AM_Params!G17*LOG10($A$8))*1000,MAX(POWER(10,AM_Params!F17+AM_Params!E17*LOG10($A$8))*1000,POWER(10,AM_Params!D17+AM_Params!C17*LOG10($A$8))*1000*1.05)*1.05)*(1+($W$6-1)*0.8)*$W$2*$W$4*(1+AM_Params!D37*AM_Params!$B$33)*(1+$I$8/100*AM_Params!F40),0)</f>
        <v>2129917</v>
      </c>
      <c r="P19" s="23">
        <f>ROUND(MAX(POWER(10,AM_Params!H17+AM_Params!G17*LOG10($A$8))*1000,MAX(POWER(10,AM_Params!F17+AM_Params!E17*LOG10($A$8))*1000,POWER(10,AM_Params!D17+AM_Params!C17*LOG10($A$8))*1000*1.05)*1.05)*(1+($W$6-1)*0.8)*$W$2*$W$4*(1+AM_Params!E37*AM_Params!$B$33)*(1+$I$8/100*AM_Params!F40),0)</f>
        <v>2406979</v>
      </c>
      <c r="Q19" s="55"/>
      <c r="R19" s="55"/>
      <c r="S19" s="55"/>
      <c r="T19" s="55"/>
      <c r="U19" s="55"/>
      <c r="V19" s="4"/>
      <c r="W19" s="4"/>
    </row>
    <row r="20" spans="1:23" ht="18" customHeight="1" x14ac:dyDescent="0.3">
      <c r="A20" s="17" t="s">
        <v>90</v>
      </c>
      <c r="B20" s="18">
        <f>ROUND(POWER(10,AM_Params!D18+AM_Params!C18*LOG10($A$8))*1000*(1+($W$6-1)*0.9)*$W$2*$W$4*(1+AM_Params!A37*AM_Params!$B$33),0)</f>
        <v>347054</v>
      </c>
      <c r="C20" s="19">
        <f>ROUND(POWER(10,AM_Params!D18+AM_Params!C18*LOG10($A$8))*1000*(1+($W$6-1)*0.9)*$W$2*$W$4*(1+AM_Params!B37*AM_Params!$B$33),0)</f>
        <v>424688</v>
      </c>
      <c r="D20" s="20">
        <f>ROUND(POWER(10,AM_Params!D18+AM_Params!C18*LOG10($A$8))*1000*(1+($W$6-1)*0.9)*$W$2*$W$4*(1+AM_Params!C37*AM_Params!$B$33),0)</f>
        <v>510749</v>
      </c>
      <c r="E20" s="19">
        <f>ROUND(POWER(10,AM_Params!D18+AM_Params!C18*LOG10($A$8))*1000*(1+($W$6-1)*0.9)*$W$2*$W$4*(1+AM_Params!D37*AM_Params!$B$33),0)</f>
        <v>596810</v>
      </c>
      <c r="F20" s="19">
        <f>ROUND(POWER(10,AM_Params!D18+AM_Params!C18*LOG10($A$8))*1000*(1+($W$6-1)*0.9)*$W$2*$W$4*(1+AM_Params!E37*AM_Params!$B$33),0)</f>
        <v>674444</v>
      </c>
      <c r="G20" s="18">
        <f>ROUND(MAX(POWER(10,AM_Params!F18+AM_Params!E18*LOG10($A$8))*1000,POWER(10,AM_Params!D18+AM_Params!C18*LOG10($A$8))*1000*1.05)*(1+($W$6-1)*0.9)*$W$2*$W$4*(1+AM_Params!A37*AM_Params!$B$33)*(1+$I$8/100*AM_Params!G40),0)</f>
        <v>1164362</v>
      </c>
      <c r="H20" s="19">
        <f>ROUND(MAX(POWER(10,AM_Params!F18+AM_Params!E18*LOG10($A$8))*1000,POWER(10,AM_Params!D18+AM_Params!C18*LOG10($A$8))*1000*1.05)*(1+($W$6-1)*0.9)*$W$2*$W$4*(1+AM_Params!B37*AM_Params!$B$33)*(1+$I$8/100*AM_Params!G40),0)</f>
        <v>1424823</v>
      </c>
      <c r="I20" s="20">
        <f>ROUND(MAX(POWER(10,AM_Params!F18+AM_Params!E18*LOG10($A$8))*1000,POWER(10,AM_Params!D18+AM_Params!C18*LOG10($A$8))*1000*1.05)*(1+($W$6-1)*0.9)*$W$2*$W$4*(1+AM_Params!C37*AM_Params!$B$33)*(1+$I$8/100*AM_Params!G40),0)</f>
        <v>1713557</v>
      </c>
      <c r="J20" s="19">
        <f>ROUND(MAX(POWER(10,AM_Params!F18+AM_Params!E18*LOG10($A$8))*1000,POWER(10,AM_Params!D18+AM_Params!C18*LOG10($A$8))*1000*1.05)*(1+($W$6-1)*0.9)*$W$2*$W$4*(1+AM_Params!D37*AM_Params!$B$33)*(1+$I$8/100*AM_Params!G40),0)</f>
        <v>2002292</v>
      </c>
      <c r="K20" s="19">
        <f>ROUND(MAX(POWER(10,AM_Params!F18+AM_Params!E18*LOG10($A$8))*1000,POWER(10,AM_Params!D18+AM_Params!C18*LOG10($A$8))*1000*1.05)*(1+($W$6-1)*0.9)*$W$2*$W$4*(1+AM_Params!E37*AM_Params!$B$33)*(1+$I$8/100*AM_Params!G40),0)</f>
        <v>2262753</v>
      </c>
      <c r="L20" s="18">
        <f>ROUND(MAX(POWER(10,AM_Params!H18+AM_Params!G18*LOG10($A$8))*1000,MAX(POWER(10,AM_Params!F18+AM_Params!E18*LOG10($A$8))*1000,POWER(10,AM_Params!D18+AM_Params!C18*LOG10($A$8))*1000*1.05)*1.05)*(1+($W$6-1)*0.9)*$W$2*$W$4*(1+AM_Params!A37*AM_Params!$B$33)*(1+$I$8/100*AM_Params!G40),0)</f>
        <v>1647715</v>
      </c>
      <c r="M20" s="19">
        <f>ROUND(MAX(POWER(10,AM_Params!H18+AM_Params!G18*LOG10($A$8))*1000,MAX(POWER(10,AM_Params!F18+AM_Params!E18*LOG10($A$8))*1000,POWER(10,AM_Params!D18+AM_Params!C18*LOG10($A$8))*1000*1.05)*1.05)*(1+($W$6-1)*0.9)*$W$2*$W$4*(1+AM_Params!B37*AM_Params!$B$33)*(1+$I$8/100*AM_Params!G40),0)</f>
        <v>2016299</v>
      </c>
      <c r="N20" s="20">
        <f>ROUND(MAX(POWER(10,AM_Params!H18+AM_Params!G18*LOG10($A$8))*1000,MAX(POWER(10,AM_Params!F18+AM_Params!E18*LOG10($A$8))*1000,POWER(10,AM_Params!D18+AM_Params!C18*LOG10($A$8))*1000*1.05)*1.05)*(1+($W$6-1)*0.9)*$W$2*$W$4*(1+AM_Params!C37*AM_Params!$B$33)*(1+$I$8/100*AM_Params!G40),0)</f>
        <v>2424894</v>
      </c>
      <c r="O20" s="19">
        <f>ROUND(MAX(POWER(10,AM_Params!H18+AM_Params!G18*LOG10($A$8))*1000,MAX(POWER(10,AM_Params!F18+AM_Params!E18*LOG10($A$8))*1000,POWER(10,AM_Params!D18+AM_Params!C18*LOG10($A$8))*1000*1.05)*1.05)*(1+($W$6-1)*0.9)*$W$2*$W$4*(1+AM_Params!D37*AM_Params!$B$33)*(1+$I$8/100*AM_Params!G40),0)</f>
        <v>2833488</v>
      </c>
      <c r="P20" s="19">
        <f>ROUND(MAX(POWER(10,AM_Params!H18+AM_Params!G18*LOG10($A$8))*1000,MAX(POWER(10,AM_Params!F18+AM_Params!E18*LOG10($A$8))*1000,POWER(10,AM_Params!D18+AM_Params!C18*LOG10($A$8))*1000*1.05)*1.05)*(1+($W$6-1)*0.9)*$W$2*$W$4*(1+AM_Params!E37*AM_Params!$B$33)*(1+$I$8/100*AM_Params!G40),0)</f>
        <v>3202072</v>
      </c>
      <c r="Q20" s="55"/>
      <c r="R20" s="55"/>
      <c r="S20" s="55"/>
      <c r="T20" s="55"/>
      <c r="U20" s="55"/>
      <c r="V20" s="4"/>
      <c r="W20" s="4"/>
    </row>
    <row r="21" spans="1:23" ht="18" customHeight="1" x14ac:dyDescent="0.3">
      <c r="A21" s="24" t="s">
        <v>51</v>
      </c>
      <c r="B21" s="25">
        <f>ROUND(POWER(10,AM_Params!D19+AM_Params!C19*LOG10($A$8))*1000*(1+($W$6-1)*1)*$W$2*$W$4*(1+AM_Params!A37*AM_Params!$B$33),0)</f>
        <v>363196</v>
      </c>
      <c r="C21" s="26">
        <f>ROUND(POWER(10,AM_Params!D19+AM_Params!C19*LOG10($A$8))*1000*(1+($W$6-1)*1)*$W$2*$W$4*(1+AM_Params!B37*AM_Params!$B$33),0)</f>
        <v>444441</v>
      </c>
      <c r="D21" s="27">
        <f>ROUND(POWER(10,AM_Params!D19+AM_Params!C19*LOG10($A$8))*1000*(1+($W$6-1)*1)*$W$2*$W$4*(1+AM_Params!C37*AM_Params!$B$33),0)</f>
        <v>534505</v>
      </c>
      <c r="E21" s="26">
        <f>ROUND(POWER(10,AM_Params!D19+AM_Params!C19*LOG10($A$8))*1000*(1+($W$6-1)*1)*$W$2*$W$4*(1+AM_Params!D37*AM_Params!$B$33),0)</f>
        <v>624569</v>
      </c>
      <c r="F21" s="26">
        <f>ROUND(POWER(10,AM_Params!D19+AM_Params!C19*LOG10($A$8))*1000*(1+($W$6-1)*1)*$W$2*$W$4*(1+AM_Params!E37*AM_Params!$B$33),0)</f>
        <v>705814</v>
      </c>
      <c r="G21" s="25">
        <f>ROUND(MAX(POWER(10,AM_Params!F19+AM_Params!E19*LOG10($A$8))*1000,POWER(10,AM_Params!D19+AM_Params!C19*LOG10($A$8))*1000*1.05)*(1+($W$6-1)*1)*$W$2*$W$4*(1+AM_Params!A37*AM_Params!$B$33)*(1+$I$8/100*AM_Params!H40),0)</f>
        <v>1222419</v>
      </c>
      <c r="H21" s="26">
        <f>ROUND(MAX(POWER(10,AM_Params!F19+AM_Params!E19*LOG10($A$8))*1000,POWER(10,AM_Params!D19+AM_Params!C19*LOG10($A$8))*1000*1.05)*(1+($W$6-1)*1)*$W$2*$W$4*(1+AM_Params!B37*AM_Params!$B$33)*(1+$I$8/100*AM_Params!H40),0)</f>
        <v>1495867</v>
      </c>
      <c r="I21" s="27">
        <f>ROUND(MAX(POWER(10,AM_Params!F19+AM_Params!E19*LOG10($A$8))*1000,POWER(10,AM_Params!D19+AM_Params!C19*LOG10($A$8))*1000*1.05)*(1+($W$6-1)*1)*$W$2*$W$4*(1+AM_Params!C37*AM_Params!$B$33)*(1+$I$8/100*AM_Params!H40),0)</f>
        <v>1798998</v>
      </c>
      <c r="J21" s="26">
        <f>ROUND(MAX(POWER(10,AM_Params!F19+AM_Params!E19*LOG10($A$8))*1000,POWER(10,AM_Params!D19+AM_Params!C19*LOG10($A$8))*1000*1.05)*(1+($W$6-1)*1)*$W$2*$W$4*(1+AM_Params!D37*AM_Params!$B$33)*(1+$I$8/100*AM_Params!H40),0)</f>
        <v>2102129</v>
      </c>
      <c r="K21" s="26">
        <f>ROUND(MAX(POWER(10,AM_Params!F19+AM_Params!E19*LOG10($A$8))*1000,POWER(10,AM_Params!D19+AM_Params!C19*LOG10($A$8))*1000*1.05)*(1+($W$6-1)*1)*$W$2*$W$4*(1+AM_Params!E37*AM_Params!$B$33)*(1+$I$8/100*AM_Params!H40),0)</f>
        <v>2375577</v>
      </c>
      <c r="L21" s="25">
        <f>ROUND(MAX(POWER(10,AM_Params!H19+AM_Params!G19*LOG10($A$8))*1000,MAX(POWER(10,AM_Params!F19+AM_Params!E19*LOG10($A$8))*1000,POWER(10,AM_Params!D19+AM_Params!C19*LOG10($A$8))*1000*1.05)*1.05)*(1+($W$6-1)*1)*$W$2*$W$4*(1+AM_Params!A37*AM_Params!$B$33)*(1+$I$8/100*AM_Params!H40),0)</f>
        <v>2150175</v>
      </c>
      <c r="M21" s="26">
        <f>ROUND(MAX(POWER(10,AM_Params!H19+AM_Params!G19*LOG10($A$8))*1000,MAX(POWER(10,AM_Params!F19+AM_Params!E19*LOG10($A$8))*1000,POWER(10,AM_Params!D19+AM_Params!C19*LOG10($A$8))*1000*1.05)*1.05)*(1+($W$6-1)*1)*$W$2*$W$4*(1+AM_Params!B37*AM_Params!$B$33)*(1+$I$8/100*AM_Params!H40),0)</f>
        <v>2631157</v>
      </c>
      <c r="N21" s="27">
        <f>ROUND(MAX(POWER(10,AM_Params!H19+AM_Params!G19*LOG10($A$8))*1000,MAX(POWER(10,AM_Params!F19+AM_Params!E19*LOG10($A$8))*1000,POWER(10,AM_Params!D19+AM_Params!C19*LOG10($A$8))*1000*1.05)*1.05)*(1+($W$6-1)*1)*$W$2*$W$4*(1+AM_Params!C37*AM_Params!$B$33)*(1+$I$8/100*AM_Params!H40),0)</f>
        <v>3164349</v>
      </c>
      <c r="O21" s="26">
        <f>ROUND(MAX(POWER(10,AM_Params!H19+AM_Params!G19*LOG10($A$8))*1000,MAX(POWER(10,AM_Params!F19+AM_Params!E19*LOG10($A$8))*1000,POWER(10,AM_Params!D19+AM_Params!C19*LOG10($A$8))*1000*1.05)*1.05)*(1+($W$6-1)*1)*$W$2*$W$4*(1+AM_Params!D37*AM_Params!$B$33)*(1+$I$8/100*AM_Params!H40),0)</f>
        <v>3697542</v>
      </c>
      <c r="P21" s="26">
        <f>ROUND(MAX(POWER(10,AM_Params!H19+AM_Params!G19*LOG10($A$8))*1000,MAX(POWER(10,AM_Params!F19+AM_Params!E19*LOG10($A$8))*1000,POWER(10,AM_Params!D19+AM_Params!C19*LOG10($A$8))*1000*1.05)*1.05)*(1+($W$6-1)*1)*$W$2*$W$4*(1+AM_Params!E37*AM_Params!$B$33)*(1+$I$8/100*AM_Params!H40),0)</f>
        <v>4178523</v>
      </c>
      <c r="Q21" s="55"/>
      <c r="R21" s="55"/>
      <c r="S21" s="55"/>
      <c r="T21" s="55"/>
      <c r="U21" s="55"/>
      <c r="V21" s="4"/>
      <c r="W21" s="4"/>
    </row>
    <row r="22" spans="1:23" ht="18" customHeight="1" x14ac:dyDescent="0.3">
      <c r="A22" s="84" t="s">
        <v>74</v>
      </c>
      <c r="B22" s="85">
        <f>ROUND(POWER(10,AM_Params!D20+AM_Params!C20*LOG10($A$8))*1000*(1+($W$6-1)*1)*$W$2*$W$4*(1+AM_Params!A37*AM_Params!$B$33),0)</f>
        <v>342761</v>
      </c>
      <c r="C22" s="85">
        <f>ROUND(POWER(10,AM_Params!D20+AM_Params!C20*LOG10($A$8))*1000*(1+($W$6-1)*1)*$W$2*$W$4*(1+AM_Params!B37*AM_Params!$B$33),0)</f>
        <v>419434</v>
      </c>
      <c r="D22" s="86">
        <f>ROUND(POWER(10,AM_Params!D20+AM_Params!C20*LOG10($A$8))*1000*(1+($W$6-1)*1)*$W$2*$W$4*(1+AM_Params!C37*AM_Params!$B$33),0)</f>
        <v>504430</v>
      </c>
      <c r="E22" s="85">
        <f>ROUND(POWER(10,AM_Params!D20+AM_Params!C20*LOG10($A$8))*1000*(1+($W$6-1)*1)*$W$2*$W$4*(1+AM_Params!D37*AM_Params!$B$33),0)</f>
        <v>589427</v>
      </c>
      <c r="F22" s="85">
        <f>ROUND(POWER(10,AM_Params!D20+AM_Params!C20*LOG10($A$8))*1000*(1+($W$6-1)*1)*$W$2*$W$4*(1+AM_Params!E37*AM_Params!$B$33),0)</f>
        <v>666100</v>
      </c>
      <c r="G22" s="85">
        <f>ROUND(MAX(POWER(10,AM_Params!F20+AM_Params!E20*LOG10($A$8))*1000,POWER(10,AM_Params!D20+AM_Params!C20*LOG10($A$8))*1000*1.05)*(1+($W$6-1)*1)*$W$2*$W$4*(1+AM_Params!A37*AM_Params!$B$33)*(1+$I$8/100*AM_Params!H40),0)</f>
        <v>1175694</v>
      </c>
      <c r="H22" s="85">
        <f>ROUND(MAX(POWER(10,AM_Params!F20+AM_Params!E20*LOG10($A$8))*1000,POWER(10,AM_Params!D20+AM_Params!C20*LOG10($A$8))*1000*1.05)*(1+($W$6-1)*1)*$W$2*$W$4*(1+AM_Params!B37*AM_Params!$B$33)*(1+$I$8/100*AM_Params!H40),0)</f>
        <v>1438689</v>
      </c>
      <c r="I22" s="86">
        <f>ROUND(MAX(POWER(10,AM_Params!F20+AM_Params!E20*LOG10($A$8))*1000,POWER(10,AM_Params!D20+AM_Params!C20*LOG10($A$8))*1000*1.05)*(1+($W$6-1)*1)*$W$2*$W$4*(1+AM_Params!C37*AM_Params!$B$33)*(1+$I$8/100*AM_Params!H40),0)</f>
        <v>1730233</v>
      </c>
      <c r="J22" s="85">
        <f>ROUND(MAX(POWER(10,AM_Params!F20+AM_Params!E20*LOG10($A$8))*1000,POWER(10,AM_Params!D20+AM_Params!C20*LOG10($A$8))*1000*1.05)*(1+($W$6-1)*1)*$W$2*$W$4*(1+AM_Params!D37*AM_Params!$B$33)*(1+$I$8/100*AM_Params!H40),0)</f>
        <v>2021778</v>
      </c>
      <c r="K22" s="85">
        <f>ROUND(MAX(POWER(10,AM_Params!F20+AM_Params!E20*LOG10($A$8))*1000,POWER(10,AM_Params!D20+AM_Params!C20*LOG10($A$8))*1000*1.05)*(1+($W$6-1)*1)*$W$2*$W$4*(1+AM_Params!E37*AM_Params!$B$33)*(1+$I$8/100*AM_Params!H40),0)</f>
        <v>2284773</v>
      </c>
      <c r="L22" s="85">
        <f>ROUND(MAX(POWER(10,AM_Params!H20+AM_Params!G20*LOG10($A$8))*1000,MAX(POWER(10,AM_Params!F20+AM_Params!E20*LOG10($A$8))*1000,POWER(10,AM_Params!D20+AM_Params!C20*LOG10($A$8))*1000*1.05)*1.05)*(1+($W$6-1)*1)*$W$2*$W$4*(1+AM_Params!A37*AM_Params!$B$33)*(1+$I$8/100*AM_Params!H40),0)</f>
        <v>2764510</v>
      </c>
      <c r="M22" s="85">
        <f>ROUND(MAX(POWER(10,AM_Params!H20+AM_Params!G20*LOG10($A$8))*1000,MAX(POWER(10,AM_Params!F20+AM_Params!E20*LOG10($A$8))*1000,POWER(10,AM_Params!D20+AM_Params!C20*LOG10($A$8))*1000*1.05)*1.05)*(1+($W$6-1)*1)*$W$2*$W$4*(1+AM_Params!B37*AM_Params!$B$33)*(1+$I$8/100*AM_Params!H40),0)</f>
        <v>3382913</v>
      </c>
      <c r="N22" s="86">
        <f>ROUND(MAX(POWER(10,AM_Params!H20+AM_Params!G20*LOG10($A$8))*1000,MAX(POWER(10,AM_Params!F20+AM_Params!E20*LOG10($A$8))*1000,POWER(10,AM_Params!D20+AM_Params!C20*LOG10($A$8))*1000*1.05)*1.05)*(1+($W$6-1)*1)*$W$2*$W$4*(1+AM_Params!C37*AM_Params!$B$33)*(1+$I$8/100*AM_Params!H40),0)</f>
        <v>4068447</v>
      </c>
      <c r="O22" s="85">
        <f>ROUND(MAX(POWER(10,AM_Params!H20+AM_Params!G20*LOG10($A$8))*1000,MAX(POWER(10,AM_Params!F20+AM_Params!E20*LOG10($A$8))*1000,POWER(10,AM_Params!D20+AM_Params!C20*LOG10($A$8))*1000*1.05)*1.05)*(1+($W$6-1)*1)*$W$2*$W$4*(1+AM_Params!D37*AM_Params!$B$33)*(1+$I$8/100*AM_Params!H40),0)</f>
        <v>4753980</v>
      </c>
      <c r="P22" s="85">
        <f>ROUND(MAX(POWER(10,AM_Params!H20+AM_Params!G20*LOG10($A$8))*1000,MAX(POWER(10,AM_Params!F20+AM_Params!E20*LOG10($A$8))*1000,POWER(10,AM_Params!D20+AM_Params!C20*LOG10($A$8))*1000*1.05)*1.05)*(1+($W$6-1)*1)*$W$2*$W$4*(1+AM_Params!E37*AM_Params!$B$33)*(1+$I$8/100*AM_Params!H40),0)</f>
        <v>5372384</v>
      </c>
    </row>
    <row r="23" spans="1:23" ht="7.9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51"/>
      <c r="R23" s="51"/>
      <c r="S23" s="51"/>
      <c r="T23" s="51"/>
      <c r="U23" s="51"/>
      <c r="V23" s="4"/>
      <c r="W23" s="4"/>
    </row>
    <row r="24" spans="1:23" ht="22.05" customHeight="1" x14ac:dyDescent="0.3">
      <c r="A24" s="113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51"/>
      <c r="R24" s="51"/>
      <c r="S24" s="51"/>
      <c r="T24" s="51"/>
      <c r="U24" s="51"/>
      <c r="V24" s="4"/>
      <c r="W24" s="4"/>
    </row>
    <row r="25" spans="1:23" ht="19.95" customHeight="1" x14ac:dyDescent="0.3">
      <c r="A25" s="71" t="str">
        <f>"Investment Operations ("&amp;TEXT(A8,"$#,##0")&amp;"B AUM, C"&amp;G8&amp;")"</f>
        <v>Investment Operations ($250B AUM, C3)</v>
      </c>
      <c r="B25" s="113"/>
      <c r="C25" s="91"/>
      <c r="D25" s="91"/>
      <c r="E25" s="91"/>
      <c r="F25" s="91"/>
      <c r="G25" s="113"/>
      <c r="H25" s="91"/>
      <c r="I25" s="91"/>
      <c r="J25" s="91"/>
      <c r="K25" s="91"/>
      <c r="L25" s="113"/>
      <c r="M25" s="91"/>
      <c r="N25" s="91"/>
      <c r="O25" s="91"/>
      <c r="P25" s="91"/>
      <c r="Q25" s="50"/>
      <c r="R25" s="50"/>
      <c r="S25" s="50"/>
      <c r="T25" s="50"/>
      <c r="U25" s="50"/>
      <c r="V25" s="4"/>
      <c r="W25" s="4"/>
    </row>
    <row r="26" spans="1:23" ht="19.95" customHeight="1" x14ac:dyDescent="0.3">
      <c r="A26" s="13"/>
      <c r="B26" s="74" t="s">
        <v>9</v>
      </c>
      <c r="C26" s="73"/>
      <c r="D26" s="73"/>
      <c r="E26" s="73"/>
      <c r="F26" s="73"/>
      <c r="G26" s="76" t="s">
        <v>10</v>
      </c>
      <c r="H26" s="73"/>
      <c r="I26" s="73"/>
      <c r="J26" s="73"/>
      <c r="K26" s="73"/>
      <c r="L26" s="72" t="s">
        <v>11</v>
      </c>
      <c r="M26" s="73"/>
      <c r="N26" s="73"/>
      <c r="O26" s="73"/>
      <c r="P26" s="73"/>
      <c r="Q26" s="53"/>
      <c r="R26" s="53"/>
      <c r="S26" s="53"/>
      <c r="T26" s="53"/>
      <c r="U26" s="53"/>
      <c r="V26" s="4"/>
      <c r="W26" s="4"/>
    </row>
    <row r="27" spans="1:23" ht="18" customHeight="1" x14ac:dyDescent="0.3">
      <c r="A27" s="14" t="s">
        <v>12</v>
      </c>
      <c r="B27" s="15" t="s">
        <v>13</v>
      </c>
      <c r="C27" s="16" t="s">
        <v>14</v>
      </c>
      <c r="D27" s="16" t="s">
        <v>15</v>
      </c>
      <c r="E27" s="16" t="s">
        <v>16</v>
      </c>
      <c r="F27" s="16" t="s">
        <v>17</v>
      </c>
      <c r="G27" s="15" t="s">
        <v>13</v>
      </c>
      <c r="H27" s="16" t="s">
        <v>14</v>
      </c>
      <c r="I27" s="16" t="s">
        <v>15</v>
      </c>
      <c r="J27" s="16" t="s">
        <v>16</v>
      </c>
      <c r="K27" s="16" t="s">
        <v>17</v>
      </c>
      <c r="L27" s="15" t="s">
        <v>13</v>
      </c>
      <c r="M27" s="16" t="s">
        <v>14</v>
      </c>
      <c r="N27" s="16" t="s">
        <v>15</v>
      </c>
      <c r="O27" s="16" t="s">
        <v>16</v>
      </c>
      <c r="P27" s="16" t="s">
        <v>17</v>
      </c>
      <c r="Q27" s="54"/>
      <c r="R27" s="54"/>
      <c r="S27" s="54"/>
      <c r="T27" s="54"/>
      <c r="U27" s="54"/>
      <c r="V27" s="4"/>
      <c r="W27" s="4"/>
    </row>
    <row r="28" spans="1:23" ht="18" customHeight="1" x14ac:dyDescent="0.3">
      <c r="A28" s="17" t="s">
        <v>27</v>
      </c>
      <c r="B28" s="18">
        <f>ROUND(POWER(10,AM_Params!D12+AM_Params!C12*LOG10($A$8))*1000*AM_Params!I12*(1+($W$6-1)*0.3)*$W$2*$W$4*(1+AM_Params!A37*AM_Params!$B$33),0)</f>
        <v>62473</v>
      </c>
      <c r="C28" s="19">
        <f>ROUND(POWER(10,AM_Params!D12+AM_Params!C12*LOG10($A$8))*1000*AM_Params!I12*(1+($W$6-1)*0.3)*$W$2*$W$4*(1+AM_Params!B37*AM_Params!$B$33),0)</f>
        <v>76448</v>
      </c>
      <c r="D28" s="20">
        <f>ROUND(POWER(10,AM_Params!D12+AM_Params!C12*LOG10($A$8))*1000*AM_Params!I12*(1+($W$6-1)*0.3)*$W$2*$W$4*(1+AM_Params!C37*AM_Params!$B$33),0)</f>
        <v>91940</v>
      </c>
      <c r="E28" s="19">
        <f>ROUND(POWER(10,AM_Params!D12+AM_Params!C12*LOG10($A$8))*1000*AM_Params!I12*(1+($W$6-1)*0.3)*$W$2*$W$4*(1+AM_Params!D37*AM_Params!$B$33),0)</f>
        <v>107432</v>
      </c>
      <c r="F28" s="19">
        <f>ROUND(POWER(10,AM_Params!D12+AM_Params!C12*LOG10($A$8))*1000*AM_Params!I12*(1+($W$6-1)*0.3)*$W$2*$W$4*(1+AM_Params!E37*AM_Params!$B$33),0)</f>
        <v>121407</v>
      </c>
      <c r="G28" s="18">
        <f>ROUND((POWER(10,AM_Params!D12+AM_Params!C12*LOG10($A$8))*1000*AM_Params!I12+(MAX(POWER(10,AM_Params!F12+AM_Params!E12*LOG10($A$8))*1000,POWER(10,AM_Params!D12+AM_Params!C12*LOG10($A$8))*1000*1.05)-POWER(10,AM_Params!D12+AM_Params!C12*LOG10($A$8))*1000)*AM_Params!J12)*(1+($W$6-1)*0.3)*$W$2*$W$4*(1+AM_Params!A37*AM_Params!$B$33)*(1+$I$8/100*AM_Params!A40),0)</f>
        <v>70568</v>
      </c>
      <c r="H28" s="19">
        <f>ROUND((POWER(10,AM_Params!D12+AM_Params!C12*LOG10($A$8))*1000*AM_Params!I12+(MAX(POWER(10,AM_Params!F12+AM_Params!E12*LOG10($A$8))*1000,POWER(10,AM_Params!D12+AM_Params!C12*LOG10($A$8))*1000*1.05)-POWER(10,AM_Params!D12+AM_Params!C12*LOG10($A$8))*1000)*AM_Params!J12)*(1+($W$6-1)*0.3)*$W$2*$W$4*(1+AM_Params!B37*AM_Params!$B$33)*(1+$I$8/100*AM_Params!A40),0)</f>
        <v>86354</v>
      </c>
      <c r="I28" s="20">
        <f>ROUND((POWER(10,AM_Params!D12+AM_Params!C12*LOG10($A$8))*1000*AM_Params!I12+(MAX(POWER(10,AM_Params!F12+AM_Params!E12*LOG10($A$8))*1000,POWER(10,AM_Params!D12+AM_Params!C12*LOG10($A$8))*1000*1.05)-POWER(10,AM_Params!D12+AM_Params!C12*LOG10($A$8))*1000)*AM_Params!J12)*(1+($W$6-1)*0.3)*$W$2*$W$4*(1+AM_Params!C37*AM_Params!$B$33)*(1+$I$8/100*AM_Params!A40),0)</f>
        <v>103853</v>
      </c>
      <c r="J28" s="19">
        <f>ROUND((POWER(10,AM_Params!D12+AM_Params!C12*LOG10($A$8))*1000*AM_Params!I12+(MAX(POWER(10,AM_Params!F12+AM_Params!E12*LOG10($A$8))*1000,POWER(10,AM_Params!D12+AM_Params!C12*LOG10($A$8))*1000*1.05)-POWER(10,AM_Params!D12+AM_Params!C12*LOG10($A$8))*1000)*AM_Params!J12)*(1+($W$6-1)*0.3)*$W$2*$W$4*(1+AM_Params!D37*AM_Params!$B$33)*(1+$I$8/100*AM_Params!A40),0)</f>
        <v>121352</v>
      </c>
      <c r="K28" s="19">
        <f>ROUND((POWER(10,AM_Params!D12+AM_Params!C12*LOG10($A$8))*1000*AM_Params!I12+(MAX(POWER(10,AM_Params!F12+AM_Params!E12*LOG10($A$8))*1000,POWER(10,AM_Params!D12+AM_Params!C12*LOG10($A$8))*1000*1.05)-POWER(10,AM_Params!D12+AM_Params!C12*LOG10($A$8))*1000)*AM_Params!J12)*(1+($W$6-1)*0.3)*$W$2*$W$4*(1+AM_Params!E37*AM_Params!$B$33)*(1+$I$8/100*AM_Params!A40),0)</f>
        <v>137138</v>
      </c>
      <c r="L28" s="18">
        <f>ROUND((POWER(10,AM_Params!D12+AM_Params!C12*LOG10($A$8))*1000*AM_Params!I12+(MAX(POWER(10,AM_Params!F12+AM_Params!E12*LOG10($A$8))*1000,POWER(10,AM_Params!D12+AM_Params!C12*LOG10($A$8))*1000*1.05)-POWER(10,AM_Params!D12+AM_Params!C12*LOG10($A$8))*1000)*AM_Params!J12+(MAX(POWER(10,AM_Params!H12+AM_Params!G12*LOG10($A$8))*1000,MAX(POWER(10,AM_Params!F12+AM_Params!E12*LOG10($A$8))*1000,POWER(10,AM_Params!D12+AM_Params!C12*LOG10($A$8))*1000*1.05)*1.05)-MAX(POWER(10,AM_Params!F12+AM_Params!E12*LOG10($A$8))*1000,POWER(10,AM_Params!D12+AM_Params!C12*LOG10($A$8))*1000*1.05))*AM_Params!J12*0.6)*(1+($W$6-1)*0.3)*$W$2*$W$4*(1+AM_Params!A37*AM_Params!$B$33)*(1+$I$8/100*AM_Params!A40),0)</f>
        <v>71635</v>
      </c>
      <c r="M28" s="19">
        <f>ROUND((POWER(10,AM_Params!D12+AM_Params!C12*LOG10($A$8))*1000*AM_Params!I12+(MAX(POWER(10,AM_Params!F12+AM_Params!E12*LOG10($A$8))*1000,POWER(10,AM_Params!D12+AM_Params!C12*LOG10($A$8))*1000*1.05)-POWER(10,AM_Params!D12+AM_Params!C12*LOG10($A$8))*1000)*AM_Params!J12+(MAX(POWER(10,AM_Params!H12+AM_Params!G12*LOG10($A$8))*1000,MAX(POWER(10,AM_Params!F12+AM_Params!E12*LOG10($A$8))*1000,POWER(10,AM_Params!D12+AM_Params!C12*LOG10($A$8))*1000*1.05)*1.05)-MAX(POWER(10,AM_Params!F12+AM_Params!E12*LOG10($A$8))*1000,POWER(10,AM_Params!D12+AM_Params!C12*LOG10($A$8))*1000*1.05))*AM_Params!J12*0.6)*(1+($W$6-1)*0.3)*$W$2*$W$4*(1+AM_Params!B37*AM_Params!$B$33)*(1+$I$8/100*AM_Params!A40),0)</f>
        <v>87660</v>
      </c>
      <c r="N28" s="20">
        <f>ROUND((POWER(10,AM_Params!D12+AM_Params!C12*LOG10($A$8))*1000*AM_Params!I12+(MAX(POWER(10,AM_Params!F12+AM_Params!E12*LOG10($A$8))*1000,POWER(10,AM_Params!D12+AM_Params!C12*LOG10($A$8))*1000*1.05)-POWER(10,AM_Params!D12+AM_Params!C12*LOG10($A$8))*1000)*AM_Params!J12+(MAX(POWER(10,AM_Params!H12+AM_Params!G12*LOG10($A$8))*1000,MAX(POWER(10,AM_Params!F12+AM_Params!E12*LOG10($A$8))*1000,POWER(10,AM_Params!D12+AM_Params!C12*LOG10($A$8))*1000*1.05)*1.05)-MAX(POWER(10,AM_Params!F12+AM_Params!E12*LOG10($A$8))*1000,POWER(10,AM_Params!D12+AM_Params!C12*LOG10($A$8))*1000*1.05))*AM_Params!J12*0.6)*(1+($W$6-1)*0.3)*$W$2*$W$4*(1+AM_Params!C37*AM_Params!$B$33)*(1+$I$8/100*AM_Params!A40),0)</f>
        <v>105424</v>
      </c>
      <c r="O28" s="19">
        <f>ROUND((POWER(10,AM_Params!D12+AM_Params!C12*LOG10($A$8))*1000*AM_Params!I12+(MAX(POWER(10,AM_Params!F12+AM_Params!E12*LOG10($A$8))*1000,POWER(10,AM_Params!D12+AM_Params!C12*LOG10($A$8))*1000*1.05)-POWER(10,AM_Params!D12+AM_Params!C12*LOG10($A$8))*1000)*AM_Params!J12+(MAX(POWER(10,AM_Params!H12+AM_Params!G12*LOG10($A$8))*1000,MAX(POWER(10,AM_Params!F12+AM_Params!E12*LOG10($A$8))*1000,POWER(10,AM_Params!D12+AM_Params!C12*LOG10($A$8))*1000*1.05)*1.05)-MAX(POWER(10,AM_Params!F12+AM_Params!E12*LOG10($A$8))*1000,POWER(10,AM_Params!D12+AM_Params!C12*LOG10($A$8))*1000*1.05))*AM_Params!J12*0.6)*(1+($W$6-1)*0.3)*$W$2*$W$4*(1+AM_Params!D37*AM_Params!$B$33)*(1+$I$8/100*AM_Params!A40),0)</f>
        <v>123187</v>
      </c>
      <c r="P28" s="19">
        <f>ROUND((POWER(10,AM_Params!D12+AM_Params!C12*LOG10($A$8))*1000*AM_Params!I12+(MAX(POWER(10,AM_Params!F12+AM_Params!E12*LOG10($A$8))*1000,POWER(10,AM_Params!D12+AM_Params!C12*LOG10($A$8))*1000*1.05)-POWER(10,AM_Params!D12+AM_Params!C12*LOG10($A$8))*1000)*AM_Params!J12+(MAX(POWER(10,AM_Params!H12+AM_Params!G12*LOG10($A$8))*1000,MAX(POWER(10,AM_Params!F12+AM_Params!E12*LOG10($A$8))*1000,POWER(10,AM_Params!D12+AM_Params!C12*LOG10($A$8))*1000*1.05)*1.05)-MAX(POWER(10,AM_Params!F12+AM_Params!E12*LOG10($A$8))*1000,POWER(10,AM_Params!D12+AM_Params!C12*LOG10($A$8))*1000*1.05))*AM_Params!J12*0.6)*(1+($W$6-1)*0.3)*$W$2*$W$4*(1+AM_Params!E37*AM_Params!$B$33)*(1+$I$8/100*AM_Params!A40),0)</f>
        <v>139212</v>
      </c>
      <c r="Q28" s="55"/>
      <c r="R28" s="55"/>
      <c r="S28" s="55"/>
      <c r="T28" s="55"/>
      <c r="U28" s="55"/>
      <c r="V28" s="4"/>
      <c r="W28" s="4"/>
    </row>
    <row r="29" spans="1:23" ht="18" customHeight="1" x14ac:dyDescent="0.3">
      <c r="A29" s="21" t="s">
        <v>28</v>
      </c>
      <c r="B29" s="22">
        <f>ROUND(POWER(10,AM_Params!D13+AM_Params!C13*LOG10($A$8))*1000*AM_Params!I13*(1+($W$6-1)*0.4)*$W$2*$W$4*(1+AM_Params!A37*AM_Params!$B$33),0)</f>
        <v>95500</v>
      </c>
      <c r="C29" s="23">
        <f>ROUND(POWER(10,AM_Params!D13+AM_Params!C13*LOG10($A$8))*1000*AM_Params!I13*(1+($W$6-1)*0.4)*$W$2*$W$4*(1+AM_Params!B37*AM_Params!$B$33),0)</f>
        <v>116862</v>
      </c>
      <c r="D29" s="20">
        <f>ROUND(POWER(10,AM_Params!D13+AM_Params!C13*LOG10($A$8))*1000*AM_Params!I13*(1+($W$6-1)*0.4)*$W$2*$W$4*(1+AM_Params!C37*AM_Params!$B$33),0)</f>
        <v>140544</v>
      </c>
      <c r="E29" s="23">
        <f>ROUND(POWER(10,AM_Params!D13+AM_Params!C13*LOG10($A$8))*1000*AM_Params!I13*(1+($W$6-1)*0.4)*$W$2*$W$4*(1+AM_Params!D37*AM_Params!$B$33),0)</f>
        <v>164226</v>
      </c>
      <c r="F29" s="23">
        <f>ROUND(POWER(10,AM_Params!D13+AM_Params!C13*LOG10($A$8))*1000*AM_Params!I13*(1+($W$6-1)*0.4)*$W$2*$W$4*(1+AM_Params!E37*AM_Params!$B$33),0)</f>
        <v>185588</v>
      </c>
      <c r="G29" s="22">
        <f>ROUND((POWER(10,AM_Params!D13+AM_Params!C13*LOG10($A$8))*1000*AM_Params!I13+(MAX(POWER(10,AM_Params!F13+AM_Params!E13*LOG10($A$8))*1000,POWER(10,AM_Params!D13+AM_Params!C13*LOG10($A$8))*1000*1.05)-POWER(10,AM_Params!D13+AM_Params!C13*LOG10($A$8))*1000)*AM_Params!J13)*(1+($W$6-1)*0.4)*$W$2*$W$4*(1+AM_Params!A37*AM_Params!$B$33)*(1+$I$8/100*AM_Params!B40),0)</f>
        <v>116486</v>
      </c>
      <c r="H29" s="23">
        <f>ROUND((POWER(10,AM_Params!D13+AM_Params!C13*LOG10($A$8))*1000*AM_Params!I13+(MAX(POWER(10,AM_Params!F13+AM_Params!E13*LOG10($A$8))*1000,POWER(10,AM_Params!D13+AM_Params!C13*LOG10($A$8))*1000*1.05)-POWER(10,AM_Params!D13+AM_Params!C13*LOG10($A$8))*1000)*AM_Params!J13)*(1+($W$6-1)*0.4)*$W$2*$W$4*(1+AM_Params!B37*AM_Params!$B$33)*(1+$I$8/100*AM_Params!B40),0)</f>
        <v>142543</v>
      </c>
      <c r="I29" s="20">
        <f>ROUND((POWER(10,AM_Params!D13+AM_Params!C13*LOG10($A$8))*1000*AM_Params!I13+(MAX(POWER(10,AM_Params!F13+AM_Params!E13*LOG10($A$8))*1000,POWER(10,AM_Params!D13+AM_Params!C13*LOG10($A$8))*1000*1.05)-POWER(10,AM_Params!D13+AM_Params!C13*LOG10($A$8))*1000)*AM_Params!J13)*(1+($W$6-1)*0.4)*$W$2*$W$4*(1+AM_Params!C37*AM_Params!$B$33)*(1+$I$8/100*AM_Params!B40),0)</f>
        <v>171429</v>
      </c>
      <c r="J29" s="23">
        <f>ROUND((POWER(10,AM_Params!D13+AM_Params!C13*LOG10($A$8))*1000*AM_Params!I13+(MAX(POWER(10,AM_Params!F13+AM_Params!E13*LOG10($A$8))*1000,POWER(10,AM_Params!D13+AM_Params!C13*LOG10($A$8))*1000*1.05)-POWER(10,AM_Params!D13+AM_Params!C13*LOG10($A$8))*1000)*AM_Params!J13)*(1+($W$6-1)*0.4)*$W$2*$W$4*(1+AM_Params!D37*AM_Params!$B$33)*(1+$I$8/100*AM_Params!B40),0)</f>
        <v>200315</v>
      </c>
      <c r="K29" s="23">
        <f>ROUND((POWER(10,AM_Params!D13+AM_Params!C13*LOG10($A$8))*1000*AM_Params!I13+(MAX(POWER(10,AM_Params!F13+AM_Params!E13*LOG10($A$8))*1000,POWER(10,AM_Params!D13+AM_Params!C13*LOG10($A$8))*1000*1.05)-POWER(10,AM_Params!D13+AM_Params!C13*LOG10($A$8))*1000)*AM_Params!J13)*(1+($W$6-1)*0.4)*$W$2*$W$4*(1+AM_Params!E37*AM_Params!$B$33)*(1+$I$8/100*AM_Params!B40),0)</f>
        <v>226372</v>
      </c>
      <c r="L29" s="22">
        <f>ROUND((POWER(10,AM_Params!D13+AM_Params!C13*LOG10($A$8))*1000*AM_Params!I13+(MAX(POWER(10,AM_Params!F13+AM_Params!E13*LOG10($A$8))*1000,POWER(10,AM_Params!D13+AM_Params!C13*LOG10($A$8))*1000*1.05)-POWER(10,AM_Params!D13+AM_Params!C13*LOG10($A$8))*1000)*AM_Params!J13+(MAX(POWER(10,AM_Params!H13+AM_Params!G13*LOG10($A$8))*1000,MAX(POWER(10,AM_Params!F13+AM_Params!E13*LOG10($A$8))*1000,POWER(10,AM_Params!D13+AM_Params!C13*LOG10($A$8))*1000*1.05)*1.05)-MAX(POWER(10,AM_Params!F13+AM_Params!E13*LOG10($A$8))*1000,POWER(10,AM_Params!D13+AM_Params!C13*LOG10($A$8))*1000*1.05))*AM_Params!J13*0.6)*(1+($W$6-1)*0.4)*$W$2*$W$4*(1+AM_Params!A37*AM_Params!$B$33)*(1+$I$8/100*AM_Params!B40),0)</f>
        <v>118983</v>
      </c>
      <c r="M29" s="23">
        <f>ROUND((POWER(10,AM_Params!D13+AM_Params!C13*LOG10($A$8))*1000*AM_Params!I13+(MAX(POWER(10,AM_Params!F13+AM_Params!E13*LOG10($A$8))*1000,POWER(10,AM_Params!D13+AM_Params!C13*LOG10($A$8))*1000*1.05)-POWER(10,AM_Params!D13+AM_Params!C13*LOG10($A$8))*1000)*AM_Params!J13+(MAX(POWER(10,AM_Params!H13+AM_Params!G13*LOG10($A$8))*1000,MAX(POWER(10,AM_Params!F13+AM_Params!E13*LOG10($A$8))*1000,POWER(10,AM_Params!D13+AM_Params!C13*LOG10($A$8))*1000*1.05)*1.05)-MAX(POWER(10,AM_Params!F13+AM_Params!E13*LOG10($A$8))*1000,POWER(10,AM_Params!D13+AM_Params!C13*LOG10($A$8))*1000*1.05))*AM_Params!J13*0.6)*(1+($W$6-1)*0.4)*$W$2*$W$4*(1+AM_Params!B37*AM_Params!$B$33)*(1+$I$8/100*AM_Params!B40),0)</f>
        <v>145599</v>
      </c>
      <c r="N29" s="20">
        <f>ROUND((POWER(10,AM_Params!D13+AM_Params!C13*LOG10($A$8))*1000*AM_Params!I13+(MAX(POWER(10,AM_Params!F13+AM_Params!E13*LOG10($A$8))*1000,POWER(10,AM_Params!D13+AM_Params!C13*LOG10($A$8))*1000*1.05)-POWER(10,AM_Params!D13+AM_Params!C13*LOG10($A$8))*1000)*AM_Params!J13+(MAX(POWER(10,AM_Params!H13+AM_Params!G13*LOG10($A$8))*1000,MAX(POWER(10,AM_Params!F13+AM_Params!E13*LOG10($A$8))*1000,POWER(10,AM_Params!D13+AM_Params!C13*LOG10($A$8))*1000*1.05)*1.05)-MAX(POWER(10,AM_Params!F13+AM_Params!E13*LOG10($A$8))*1000,POWER(10,AM_Params!D13+AM_Params!C13*LOG10($A$8))*1000*1.05))*AM_Params!J13*0.6)*(1+($W$6-1)*0.4)*$W$2*$W$4*(1+AM_Params!C37*AM_Params!$B$33)*(1+$I$8/100*AM_Params!B40),0)</f>
        <v>175104</v>
      </c>
      <c r="O29" s="23">
        <f>ROUND((POWER(10,AM_Params!D13+AM_Params!C13*LOG10($A$8))*1000*AM_Params!I13+(MAX(POWER(10,AM_Params!F13+AM_Params!E13*LOG10($A$8))*1000,POWER(10,AM_Params!D13+AM_Params!C13*LOG10($A$8))*1000*1.05)-POWER(10,AM_Params!D13+AM_Params!C13*LOG10($A$8))*1000)*AM_Params!J13+(MAX(POWER(10,AM_Params!H13+AM_Params!G13*LOG10($A$8))*1000,MAX(POWER(10,AM_Params!F13+AM_Params!E13*LOG10($A$8))*1000,POWER(10,AM_Params!D13+AM_Params!C13*LOG10($A$8))*1000*1.05)*1.05)-MAX(POWER(10,AM_Params!F13+AM_Params!E13*LOG10($A$8))*1000,POWER(10,AM_Params!D13+AM_Params!C13*LOG10($A$8))*1000*1.05))*AM_Params!J13*0.6)*(1+($W$6-1)*0.4)*$W$2*$W$4*(1+AM_Params!D37*AM_Params!$B$33)*(1+$I$8/100*AM_Params!B40),0)</f>
        <v>204609</v>
      </c>
      <c r="P29" s="23">
        <f>ROUND((POWER(10,AM_Params!D13+AM_Params!C13*LOG10($A$8))*1000*AM_Params!I13+(MAX(POWER(10,AM_Params!F13+AM_Params!E13*LOG10($A$8))*1000,POWER(10,AM_Params!D13+AM_Params!C13*LOG10($A$8))*1000*1.05)-POWER(10,AM_Params!D13+AM_Params!C13*LOG10($A$8))*1000)*AM_Params!J13+(MAX(POWER(10,AM_Params!H13+AM_Params!G13*LOG10($A$8))*1000,MAX(POWER(10,AM_Params!F13+AM_Params!E13*LOG10($A$8))*1000,POWER(10,AM_Params!D13+AM_Params!C13*LOG10($A$8))*1000*1.05)*1.05)-MAX(POWER(10,AM_Params!F13+AM_Params!E13*LOG10($A$8))*1000,POWER(10,AM_Params!D13+AM_Params!C13*LOG10($A$8))*1000*1.05))*AM_Params!J13*0.6)*(1+($W$6-1)*0.4)*$W$2*$W$4*(1+AM_Params!E37*AM_Params!$B$33)*(1+$I$8/100*AM_Params!B40),0)</f>
        <v>231225</v>
      </c>
      <c r="Q29" s="55"/>
      <c r="R29" s="55"/>
      <c r="S29" s="55"/>
      <c r="T29" s="55"/>
      <c r="U29" s="55"/>
      <c r="V29" s="4"/>
      <c r="W29" s="4"/>
    </row>
    <row r="30" spans="1:23" ht="18" customHeight="1" x14ac:dyDescent="0.3">
      <c r="A30" s="17" t="s">
        <v>29</v>
      </c>
      <c r="B30" s="18">
        <f>ROUND(POWER(10,AM_Params!D14+AM_Params!C14*LOG10($A$8))*1000*AM_Params!I14*(1+($W$6-1)*0.5)*$W$2*$W$4*(1+AM_Params!A37*AM_Params!$B$33),0)</f>
        <v>132428</v>
      </c>
      <c r="C30" s="19">
        <f>ROUND(POWER(10,AM_Params!D14+AM_Params!C14*LOG10($A$8))*1000*AM_Params!I14*(1+($W$6-1)*0.5)*$W$2*$W$4*(1+AM_Params!B37*AM_Params!$B$33),0)</f>
        <v>162052</v>
      </c>
      <c r="D30" s="20">
        <f>ROUND(POWER(10,AM_Params!D14+AM_Params!C14*LOG10($A$8))*1000*AM_Params!I14*(1+($W$6-1)*0.5)*$W$2*$W$4*(1+AM_Params!C37*AM_Params!$B$33),0)</f>
        <v>194891</v>
      </c>
      <c r="E30" s="19">
        <f>ROUND(POWER(10,AM_Params!D14+AM_Params!C14*LOG10($A$8))*1000*AM_Params!I14*(1+($W$6-1)*0.5)*$W$2*$W$4*(1+AM_Params!D37*AM_Params!$B$33),0)</f>
        <v>227730</v>
      </c>
      <c r="F30" s="19">
        <f>ROUND(POWER(10,AM_Params!D14+AM_Params!C14*LOG10($A$8))*1000*AM_Params!I14*(1+($W$6-1)*0.5)*$W$2*$W$4*(1+AM_Params!E37*AM_Params!$B$33),0)</f>
        <v>257353</v>
      </c>
      <c r="G30" s="18">
        <f>ROUND((POWER(10,AM_Params!D14+AM_Params!C14*LOG10($A$8))*1000*AM_Params!I14+(MAX(POWER(10,AM_Params!F14+AM_Params!E14*LOG10($A$8))*1000,POWER(10,AM_Params!D14+AM_Params!C14*LOG10($A$8))*1000*1.05)-POWER(10,AM_Params!D14+AM_Params!C14*LOG10($A$8))*1000)*AM_Params!J14)*(1+($W$6-1)*0.5)*$W$2*$W$4*(1+AM_Params!A37*AM_Params!$B$33)*(1+$I$8/100*AM_Params!C40),0)</f>
        <v>183122</v>
      </c>
      <c r="H30" s="19">
        <f>ROUND((POWER(10,AM_Params!D14+AM_Params!C14*LOG10($A$8))*1000*AM_Params!I14+(MAX(POWER(10,AM_Params!F14+AM_Params!E14*LOG10($A$8))*1000,POWER(10,AM_Params!D14+AM_Params!C14*LOG10($A$8))*1000*1.05)-POWER(10,AM_Params!D14+AM_Params!C14*LOG10($A$8))*1000)*AM_Params!J14)*(1+($W$6-1)*0.5)*$W$2*$W$4*(1+AM_Params!B37*AM_Params!$B$33)*(1+$I$8/100*AM_Params!C40),0)</f>
        <v>224086</v>
      </c>
      <c r="I30" s="20">
        <f>ROUND((POWER(10,AM_Params!D14+AM_Params!C14*LOG10($A$8))*1000*AM_Params!I14+(MAX(POWER(10,AM_Params!F14+AM_Params!E14*LOG10($A$8))*1000,POWER(10,AM_Params!D14+AM_Params!C14*LOG10($A$8))*1000*1.05)-POWER(10,AM_Params!D14+AM_Params!C14*LOG10($A$8))*1000)*AM_Params!J14)*(1+($W$6-1)*0.5)*$W$2*$W$4*(1+AM_Params!C37*AM_Params!$B$33)*(1+$I$8/100*AM_Params!C40),0)</f>
        <v>269496</v>
      </c>
      <c r="J30" s="19">
        <f>ROUND((POWER(10,AM_Params!D14+AM_Params!C14*LOG10($A$8))*1000*AM_Params!I14+(MAX(POWER(10,AM_Params!F14+AM_Params!E14*LOG10($A$8))*1000,POWER(10,AM_Params!D14+AM_Params!C14*LOG10($A$8))*1000*1.05)-POWER(10,AM_Params!D14+AM_Params!C14*LOG10($A$8))*1000)*AM_Params!J14)*(1+($W$6-1)*0.5)*$W$2*$W$4*(1+AM_Params!D37*AM_Params!$B$33)*(1+$I$8/100*AM_Params!C40),0)</f>
        <v>314906</v>
      </c>
      <c r="K30" s="19">
        <f>ROUND((POWER(10,AM_Params!D14+AM_Params!C14*LOG10($A$8))*1000*AM_Params!I14+(MAX(POWER(10,AM_Params!F14+AM_Params!E14*LOG10($A$8))*1000,POWER(10,AM_Params!D14+AM_Params!C14*LOG10($A$8))*1000*1.05)-POWER(10,AM_Params!D14+AM_Params!C14*LOG10($A$8))*1000)*AM_Params!J14)*(1+($W$6-1)*0.5)*$W$2*$W$4*(1+AM_Params!E37*AM_Params!$B$33)*(1+$I$8/100*AM_Params!C40),0)</f>
        <v>355869</v>
      </c>
      <c r="L30" s="18">
        <f>ROUND((POWER(10,AM_Params!D14+AM_Params!C14*LOG10($A$8))*1000*AM_Params!I14+(MAX(POWER(10,AM_Params!F14+AM_Params!E14*LOG10($A$8))*1000,POWER(10,AM_Params!D14+AM_Params!C14*LOG10($A$8))*1000*1.05)-POWER(10,AM_Params!D14+AM_Params!C14*LOG10($A$8))*1000)*AM_Params!J14+(MAX(POWER(10,AM_Params!H14+AM_Params!G14*LOG10($A$8))*1000,MAX(POWER(10,AM_Params!F14+AM_Params!E14*LOG10($A$8))*1000,POWER(10,AM_Params!D14+AM_Params!C14*LOG10($A$8))*1000*1.05)*1.05)-MAX(POWER(10,AM_Params!F14+AM_Params!E14*LOG10($A$8))*1000,POWER(10,AM_Params!D14+AM_Params!C14*LOG10($A$8))*1000*1.05))*AM_Params!J14*0.6)*(1+($W$6-1)*0.5)*$W$2*$W$4*(1+AM_Params!A37*AM_Params!$B$33)*(1+$I$8/100*AM_Params!C40),0)</f>
        <v>187532</v>
      </c>
      <c r="M30" s="19">
        <f>ROUND((POWER(10,AM_Params!D14+AM_Params!C14*LOG10($A$8))*1000*AM_Params!I14+(MAX(POWER(10,AM_Params!F14+AM_Params!E14*LOG10($A$8))*1000,POWER(10,AM_Params!D14+AM_Params!C14*LOG10($A$8))*1000*1.05)-POWER(10,AM_Params!D14+AM_Params!C14*LOG10($A$8))*1000)*AM_Params!J14+(MAX(POWER(10,AM_Params!H14+AM_Params!G14*LOG10($A$8))*1000,MAX(POWER(10,AM_Params!F14+AM_Params!E14*LOG10($A$8))*1000,POWER(10,AM_Params!D14+AM_Params!C14*LOG10($A$8))*1000*1.05)*1.05)-MAX(POWER(10,AM_Params!F14+AM_Params!E14*LOG10($A$8))*1000,POWER(10,AM_Params!D14+AM_Params!C14*LOG10($A$8))*1000*1.05))*AM_Params!J14*0.6)*(1+($W$6-1)*0.5)*$W$2*$W$4*(1+AM_Params!B37*AM_Params!$B$33)*(1+$I$8/100*AM_Params!C40),0)</f>
        <v>229482</v>
      </c>
      <c r="N30" s="20">
        <f>ROUND((POWER(10,AM_Params!D14+AM_Params!C14*LOG10($A$8))*1000*AM_Params!I14+(MAX(POWER(10,AM_Params!F14+AM_Params!E14*LOG10($A$8))*1000,POWER(10,AM_Params!D14+AM_Params!C14*LOG10($A$8))*1000*1.05)-POWER(10,AM_Params!D14+AM_Params!C14*LOG10($A$8))*1000)*AM_Params!J14+(MAX(POWER(10,AM_Params!H14+AM_Params!G14*LOG10($A$8))*1000,MAX(POWER(10,AM_Params!F14+AM_Params!E14*LOG10($A$8))*1000,POWER(10,AM_Params!D14+AM_Params!C14*LOG10($A$8))*1000*1.05)*1.05)-MAX(POWER(10,AM_Params!F14+AM_Params!E14*LOG10($A$8))*1000,POWER(10,AM_Params!D14+AM_Params!C14*LOG10($A$8))*1000*1.05))*AM_Params!J14*0.6)*(1+($W$6-1)*0.5)*$W$2*$W$4*(1+AM_Params!C37*AM_Params!$B$33)*(1+$I$8/100*AM_Params!C40),0)</f>
        <v>275985</v>
      </c>
      <c r="O30" s="19">
        <f>ROUND((POWER(10,AM_Params!D14+AM_Params!C14*LOG10($A$8))*1000*AM_Params!I14+(MAX(POWER(10,AM_Params!F14+AM_Params!E14*LOG10($A$8))*1000,POWER(10,AM_Params!D14+AM_Params!C14*LOG10($A$8))*1000*1.05)-POWER(10,AM_Params!D14+AM_Params!C14*LOG10($A$8))*1000)*AM_Params!J14+(MAX(POWER(10,AM_Params!H14+AM_Params!G14*LOG10($A$8))*1000,MAX(POWER(10,AM_Params!F14+AM_Params!E14*LOG10($A$8))*1000,POWER(10,AM_Params!D14+AM_Params!C14*LOG10($A$8))*1000*1.05)*1.05)-MAX(POWER(10,AM_Params!F14+AM_Params!E14*LOG10($A$8))*1000,POWER(10,AM_Params!D14+AM_Params!C14*LOG10($A$8))*1000*1.05))*AM_Params!J14*0.6)*(1+($W$6-1)*0.5)*$W$2*$W$4*(1+AM_Params!D37*AM_Params!$B$33)*(1+$I$8/100*AM_Params!C40),0)</f>
        <v>322488</v>
      </c>
      <c r="P30" s="19">
        <f>ROUND((POWER(10,AM_Params!D14+AM_Params!C14*LOG10($A$8))*1000*AM_Params!I14+(MAX(POWER(10,AM_Params!F14+AM_Params!E14*LOG10($A$8))*1000,POWER(10,AM_Params!D14+AM_Params!C14*LOG10($A$8))*1000*1.05)-POWER(10,AM_Params!D14+AM_Params!C14*LOG10($A$8))*1000)*AM_Params!J14+(MAX(POWER(10,AM_Params!H14+AM_Params!G14*LOG10($A$8))*1000,MAX(POWER(10,AM_Params!F14+AM_Params!E14*LOG10($A$8))*1000,POWER(10,AM_Params!D14+AM_Params!C14*LOG10($A$8))*1000*1.05)*1.05)-MAX(POWER(10,AM_Params!F14+AM_Params!E14*LOG10($A$8))*1000,POWER(10,AM_Params!D14+AM_Params!C14*LOG10($A$8))*1000*1.05))*AM_Params!J14*0.6)*(1+($W$6-1)*0.5)*$W$2*$W$4*(1+AM_Params!E37*AM_Params!$B$33)*(1+$I$8/100*AM_Params!C40),0)</f>
        <v>364438</v>
      </c>
      <c r="Q30" s="55"/>
      <c r="R30" s="55"/>
      <c r="S30" s="55"/>
      <c r="T30" s="55"/>
      <c r="U30" s="55"/>
      <c r="V30" s="4"/>
      <c r="W30" s="4"/>
    </row>
    <row r="31" spans="1:23" ht="18" customHeight="1" x14ac:dyDescent="0.3">
      <c r="A31" s="21" t="s">
        <v>67</v>
      </c>
      <c r="B31" s="22">
        <f>ROUND(POWER(10,AM_Params!D15+AM_Params!C15*LOG10($A$8))*1000*AM_Params!I15*(1+($W$6-1)*0.6)*$W$2*$W$4*(1+AM_Params!A37*AM_Params!$B$33),0)</f>
        <v>164833</v>
      </c>
      <c r="C31" s="23">
        <f>ROUND(POWER(10,AM_Params!D15+AM_Params!C15*LOG10($A$8))*1000*AM_Params!I15*(1+($W$6-1)*0.6)*$W$2*$W$4*(1+AM_Params!B37*AM_Params!$B$33),0)</f>
        <v>201705</v>
      </c>
      <c r="D31" s="20">
        <f>ROUND(POWER(10,AM_Params!D15+AM_Params!C15*LOG10($A$8))*1000*AM_Params!I15*(1+($W$6-1)*0.6)*$W$2*$W$4*(1+AM_Params!C37*AM_Params!$B$33),0)</f>
        <v>242580</v>
      </c>
      <c r="E31" s="23">
        <f>ROUND(POWER(10,AM_Params!D15+AM_Params!C15*LOG10($A$8))*1000*AM_Params!I15*(1+($W$6-1)*0.6)*$W$2*$W$4*(1+AM_Params!D37*AM_Params!$B$33),0)</f>
        <v>283455</v>
      </c>
      <c r="F31" s="23">
        <f>ROUND(POWER(10,AM_Params!D15+AM_Params!C15*LOG10($A$8))*1000*AM_Params!I15*(1+($W$6-1)*0.6)*$W$2*$W$4*(1+AM_Params!E37*AM_Params!$B$33),0)</f>
        <v>320327</v>
      </c>
      <c r="G31" s="22">
        <f>ROUND((POWER(10,AM_Params!D15+AM_Params!C15*LOG10($A$8))*1000*AM_Params!I15+(MAX(POWER(10,AM_Params!F15+AM_Params!E15*LOG10($A$8))*1000,POWER(10,AM_Params!D15+AM_Params!C15*LOG10($A$8))*1000*1.05)-POWER(10,AM_Params!D15+AM_Params!C15*LOG10($A$8))*1000)*AM_Params!J15)*(1+($W$6-1)*0.6)*$W$2*$W$4*(1+AM_Params!A37*AM_Params!$B$33)*(1+$I$8/100*AM_Params!D40),0)</f>
        <v>260171</v>
      </c>
      <c r="H31" s="23">
        <f>ROUND((POWER(10,AM_Params!D15+AM_Params!C15*LOG10($A$8))*1000*AM_Params!I15+(MAX(POWER(10,AM_Params!F15+AM_Params!E15*LOG10($A$8))*1000,POWER(10,AM_Params!D15+AM_Params!C15*LOG10($A$8))*1000*1.05)-POWER(10,AM_Params!D15+AM_Params!C15*LOG10($A$8))*1000)*AM_Params!J15)*(1+($W$6-1)*0.6)*$W$2*$W$4*(1+AM_Params!B37*AM_Params!$B$33)*(1+$I$8/100*AM_Params!D40),0)</f>
        <v>318370</v>
      </c>
      <c r="I31" s="20">
        <f>ROUND((POWER(10,AM_Params!D15+AM_Params!C15*LOG10($A$8))*1000*AM_Params!I15+(MAX(POWER(10,AM_Params!F15+AM_Params!E15*LOG10($A$8))*1000,POWER(10,AM_Params!D15+AM_Params!C15*LOG10($A$8))*1000*1.05)-POWER(10,AM_Params!D15+AM_Params!C15*LOG10($A$8))*1000)*AM_Params!J15)*(1+($W$6-1)*0.6)*$W$2*$W$4*(1+AM_Params!C37*AM_Params!$B$33)*(1+$I$8/100*AM_Params!D40),0)</f>
        <v>382886</v>
      </c>
      <c r="J31" s="23">
        <f>ROUND((POWER(10,AM_Params!D15+AM_Params!C15*LOG10($A$8))*1000*AM_Params!I15+(MAX(POWER(10,AM_Params!F15+AM_Params!E15*LOG10($A$8))*1000,POWER(10,AM_Params!D15+AM_Params!C15*LOG10($A$8))*1000*1.05)-POWER(10,AM_Params!D15+AM_Params!C15*LOG10($A$8))*1000)*AM_Params!J15)*(1+($W$6-1)*0.6)*$W$2*$W$4*(1+AM_Params!D37*AM_Params!$B$33)*(1+$I$8/100*AM_Params!D40),0)</f>
        <v>447402</v>
      </c>
      <c r="K31" s="23">
        <f>ROUND((POWER(10,AM_Params!D15+AM_Params!C15*LOG10($A$8))*1000*AM_Params!I15+(MAX(POWER(10,AM_Params!F15+AM_Params!E15*LOG10($A$8))*1000,POWER(10,AM_Params!D15+AM_Params!C15*LOG10($A$8))*1000*1.05)-POWER(10,AM_Params!D15+AM_Params!C15*LOG10($A$8))*1000)*AM_Params!J15)*(1+($W$6-1)*0.6)*$W$2*$W$4*(1+AM_Params!E37*AM_Params!$B$33)*(1+$I$8/100*AM_Params!D40),0)</f>
        <v>505601</v>
      </c>
      <c r="L31" s="22">
        <f>ROUND((POWER(10,AM_Params!D15+AM_Params!C15*LOG10($A$8))*1000*AM_Params!I15+(MAX(POWER(10,AM_Params!F15+AM_Params!E15*LOG10($A$8))*1000,POWER(10,AM_Params!D15+AM_Params!C15*LOG10($A$8))*1000*1.05)-POWER(10,AM_Params!D15+AM_Params!C15*LOG10($A$8))*1000)*AM_Params!J15+(MAX(POWER(10,AM_Params!H15+AM_Params!G15*LOG10($A$8))*1000,MAX(POWER(10,AM_Params!F15+AM_Params!E15*LOG10($A$8))*1000,POWER(10,AM_Params!D15+AM_Params!C15*LOG10($A$8))*1000*1.05)*1.05)-MAX(POWER(10,AM_Params!F15+AM_Params!E15*LOG10($A$8))*1000,POWER(10,AM_Params!D15+AM_Params!C15*LOG10($A$8))*1000*1.05))*AM_Params!J15*0.6)*(1+($W$6-1)*0.6)*$W$2*$W$4*(1+AM_Params!A37*AM_Params!$B$33)*(1+$I$8/100*AM_Params!D40),0)</f>
        <v>272432</v>
      </c>
      <c r="M31" s="23">
        <f>ROUND((POWER(10,AM_Params!D15+AM_Params!C15*LOG10($A$8))*1000*AM_Params!I15+(MAX(POWER(10,AM_Params!F15+AM_Params!E15*LOG10($A$8))*1000,POWER(10,AM_Params!D15+AM_Params!C15*LOG10($A$8))*1000*1.05)-POWER(10,AM_Params!D15+AM_Params!C15*LOG10($A$8))*1000)*AM_Params!J15+(MAX(POWER(10,AM_Params!H15+AM_Params!G15*LOG10($A$8))*1000,MAX(POWER(10,AM_Params!F15+AM_Params!E15*LOG10($A$8))*1000,POWER(10,AM_Params!D15+AM_Params!C15*LOG10($A$8))*1000*1.05)*1.05)-MAX(POWER(10,AM_Params!F15+AM_Params!E15*LOG10($A$8))*1000,POWER(10,AM_Params!D15+AM_Params!C15*LOG10($A$8))*1000*1.05))*AM_Params!J15*0.6)*(1+($W$6-1)*0.6)*$W$2*$W$4*(1+AM_Params!B37*AM_Params!$B$33)*(1+$I$8/100*AM_Params!D40),0)</f>
        <v>333374</v>
      </c>
      <c r="N31" s="20">
        <f>ROUND((POWER(10,AM_Params!D15+AM_Params!C15*LOG10($A$8))*1000*AM_Params!I15+(MAX(POWER(10,AM_Params!F15+AM_Params!E15*LOG10($A$8))*1000,POWER(10,AM_Params!D15+AM_Params!C15*LOG10($A$8))*1000*1.05)-POWER(10,AM_Params!D15+AM_Params!C15*LOG10($A$8))*1000)*AM_Params!J15+(MAX(POWER(10,AM_Params!H15+AM_Params!G15*LOG10($A$8))*1000,MAX(POWER(10,AM_Params!F15+AM_Params!E15*LOG10($A$8))*1000,POWER(10,AM_Params!D15+AM_Params!C15*LOG10($A$8))*1000*1.05)*1.05)-MAX(POWER(10,AM_Params!F15+AM_Params!E15*LOG10($A$8))*1000,POWER(10,AM_Params!D15+AM_Params!C15*LOG10($A$8))*1000*1.05))*AM_Params!J15*0.6)*(1+($W$6-1)*0.6)*$W$2*$W$4*(1+AM_Params!C37*AM_Params!$B$33)*(1+$I$8/100*AM_Params!D40),0)</f>
        <v>400931</v>
      </c>
      <c r="O31" s="23">
        <f>ROUND((POWER(10,AM_Params!D15+AM_Params!C15*LOG10($A$8))*1000*AM_Params!I15+(MAX(POWER(10,AM_Params!F15+AM_Params!E15*LOG10($A$8))*1000,POWER(10,AM_Params!D15+AM_Params!C15*LOG10($A$8))*1000*1.05)-POWER(10,AM_Params!D15+AM_Params!C15*LOG10($A$8))*1000)*AM_Params!J15+(MAX(POWER(10,AM_Params!H15+AM_Params!G15*LOG10($A$8))*1000,MAX(POWER(10,AM_Params!F15+AM_Params!E15*LOG10($A$8))*1000,POWER(10,AM_Params!D15+AM_Params!C15*LOG10($A$8))*1000*1.05)*1.05)-MAX(POWER(10,AM_Params!F15+AM_Params!E15*LOG10($A$8))*1000,POWER(10,AM_Params!D15+AM_Params!C15*LOG10($A$8))*1000*1.05))*AM_Params!J15*0.6)*(1+($W$6-1)*0.6)*$W$2*$W$4*(1+AM_Params!D37*AM_Params!$B$33)*(1+$I$8/100*AM_Params!D40),0)</f>
        <v>468488</v>
      </c>
      <c r="P31" s="23">
        <f>ROUND((POWER(10,AM_Params!D15+AM_Params!C15*LOG10($A$8))*1000*AM_Params!I15+(MAX(POWER(10,AM_Params!F15+AM_Params!E15*LOG10($A$8))*1000,POWER(10,AM_Params!D15+AM_Params!C15*LOG10($A$8))*1000*1.05)-POWER(10,AM_Params!D15+AM_Params!C15*LOG10($A$8))*1000)*AM_Params!J15+(MAX(POWER(10,AM_Params!H15+AM_Params!G15*LOG10($A$8))*1000,MAX(POWER(10,AM_Params!F15+AM_Params!E15*LOG10($A$8))*1000,POWER(10,AM_Params!D15+AM_Params!C15*LOG10($A$8))*1000*1.05)*1.05)-MAX(POWER(10,AM_Params!F15+AM_Params!E15*LOG10($A$8))*1000,POWER(10,AM_Params!D15+AM_Params!C15*LOG10($A$8))*1000*1.05))*AM_Params!J15*0.6)*(1+($W$6-1)*0.6)*$W$2*$W$4*(1+AM_Params!E37*AM_Params!$B$33)*(1+$I$8/100*AM_Params!D40),0)</f>
        <v>529429</v>
      </c>
      <c r="Q31" s="55"/>
      <c r="R31" s="55"/>
      <c r="S31" s="55"/>
      <c r="T31" s="55"/>
      <c r="U31" s="55"/>
      <c r="V31" s="4"/>
      <c r="W31" s="4"/>
    </row>
    <row r="32" spans="1:23" ht="18" customHeight="1" x14ac:dyDescent="0.3">
      <c r="A32" s="17" t="s">
        <v>68</v>
      </c>
      <c r="B32" s="18">
        <f>ROUND(POWER(10,AM_Params!D16+AM_Params!C16*LOG10($A$8))*1000*AM_Params!I16*(1+($W$6-1)*0.7)*$W$2*$W$4*(1+AM_Params!A37*AM_Params!$B$33),0)</f>
        <v>184427</v>
      </c>
      <c r="C32" s="19">
        <f>ROUND(POWER(10,AM_Params!D16+AM_Params!C16*LOG10($A$8))*1000*AM_Params!I16*(1+($W$6-1)*0.7)*$W$2*$W$4*(1+AM_Params!B37*AM_Params!$B$33),0)</f>
        <v>225682</v>
      </c>
      <c r="D32" s="20">
        <f>ROUND(POWER(10,AM_Params!D16+AM_Params!C16*LOG10($A$8))*1000*AM_Params!I16*(1+($W$6-1)*0.7)*$W$2*$W$4*(1+AM_Params!C37*AM_Params!$B$33),0)</f>
        <v>271416</v>
      </c>
      <c r="E32" s="19">
        <f>ROUND(POWER(10,AM_Params!D16+AM_Params!C16*LOG10($A$8))*1000*AM_Params!I16*(1+($W$6-1)*0.7)*$W$2*$W$4*(1+AM_Params!D37*AM_Params!$B$33),0)</f>
        <v>317150</v>
      </c>
      <c r="F32" s="19">
        <f>ROUND(POWER(10,AM_Params!D16+AM_Params!C16*LOG10($A$8))*1000*AM_Params!I16*(1+($W$6-1)*0.7)*$W$2*$W$4*(1+AM_Params!E37*AM_Params!$B$33),0)</f>
        <v>358405</v>
      </c>
      <c r="G32" s="18">
        <f>ROUND((POWER(10,AM_Params!D16+AM_Params!C16*LOG10($A$8))*1000*AM_Params!I16+(MAX(POWER(10,AM_Params!F16+AM_Params!E16*LOG10($A$8))*1000,POWER(10,AM_Params!D16+AM_Params!C16*LOG10($A$8))*1000*1.05)-POWER(10,AM_Params!D16+AM_Params!C16*LOG10($A$8))*1000)*AM_Params!J16)*(1+($W$6-1)*0.7)*$W$2*$W$4*(1+AM_Params!A37*AM_Params!$B$33)*(1+$I$8/100*AM_Params!E40),0)</f>
        <v>333889</v>
      </c>
      <c r="H32" s="19">
        <f>ROUND((POWER(10,AM_Params!D16+AM_Params!C16*LOG10($A$8))*1000*AM_Params!I16+(MAX(POWER(10,AM_Params!F16+AM_Params!E16*LOG10($A$8))*1000,POWER(10,AM_Params!D16+AM_Params!C16*LOG10($A$8))*1000*1.05)-POWER(10,AM_Params!D16+AM_Params!C16*LOG10($A$8))*1000)*AM_Params!J16)*(1+($W$6-1)*0.7)*$W$2*$W$4*(1+AM_Params!B37*AM_Params!$B$33)*(1+$I$8/100*AM_Params!E40),0)</f>
        <v>408577</v>
      </c>
      <c r="I32" s="20">
        <f>ROUND((POWER(10,AM_Params!D16+AM_Params!C16*LOG10($A$8))*1000*AM_Params!I16+(MAX(POWER(10,AM_Params!F16+AM_Params!E16*LOG10($A$8))*1000,POWER(10,AM_Params!D16+AM_Params!C16*LOG10($A$8))*1000*1.05)-POWER(10,AM_Params!D16+AM_Params!C16*LOG10($A$8))*1000)*AM_Params!J16)*(1+($W$6-1)*0.7)*$W$2*$W$4*(1+AM_Params!C37*AM_Params!$B$33)*(1+$I$8/100*AM_Params!E40),0)</f>
        <v>491374</v>
      </c>
      <c r="J32" s="19">
        <f>ROUND((POWER(10,AM_Params!D16+AM_Params!C16*LOG10($A$8))*1000*AM_Params!I16+(MAX(POWER(10,AM_Params!F16+AM_Params!E16*LOG10($A$8))*1000,POWER(10,AM_Params!D16+AM_Params!C16*LOG10($A$8))*1000*1.05)-POWER(10,AM_Params!D16+AM_Params!C16*LOG10($A$8))*1000)*AM_Params!J16)*(1+($W$6-1)*0.7)*$W$2*$W$4*(1+AM_Params!D37*AM_Params!$B$33)*(1+$I$8/100*AM_Params!E40),0)</f>
        <v>574170</v>
      </c>
      <c r="K32" s="19">
        <f>ROUND((POWER(10,AM_Params!D16+AM_Params!C16*LOG10($A$8))*1000*AM_Params!I16+(MAX(POWER(10,AM_Params!F16+AM_Params!E16*LOG10($A$8))*1000,POWER(10,AM_Params!D16+AM_Params!C16*LOG10($A$8))*1000*1.05)-POWER(10,AM_Params!D16+AM_Params!C16*LOG10($A$8))*1000)*AM_Params!J16)*(1+($W$6-1)*0.7)*$W$2*$W$4*(1+AM_Params!E37*AM_Params!$B$33)*(1+$I$8/100*AM_Params!E40),0)</f>
        <v>648859</v>
      </c>
      <c r="L32" s="18">
        <f>ROUND((POWER(10,AM_Params!D16+AM_Params!C16*LOG10($A$8))*1000*AM_Params!I16+(MAX(POWER(10,AM_Params!F16+AM_Params!E16*LOG10($A$8))*1000,POWER(10,AM_Params!D16+AM_Params!C16*LOG10($A$8))*1000*1.05)-POWER(10,AM_Params!D16+AM_Params!C16*LOG10($A$8))*1000)*AM_Params!J16+(MAX(POWER(10,AM_Params!H16+AM_Params!G16*LOG10($A$8))*1000,MAX(POWER(10,AM_Params!F16+AM_Params!E16*LOG10($A$8))*1000,POWER(10,AM_Params!D16+AM_Params!C16*LOG10($A$8))*1000*1.05)*1.05)-MAX(POWER(10,AM_Params!F16+AM_Params!E16*LOG10($A$8))*1000,POWER(10,AM_Params!D16+AM_Params!C16*LOG10($A$8))*1000*1.05))*AM_Params!J16*0.6)*(1+($W$6-1)*0.7)*$W$2*$W$4*(1+AM_Params!A37*AM_Params!$B$33)*(1+$I$8/100*AM_Params!E40),0)</f>
        <v>371581</v>
      </c>
      <c r="M32" s="19">
        <f>ROUND((POWER(10,AM_Params!D16+AM_Params!C16*LOG10($A$8))*1000*AM_Params!I16+(MAX(POWER(10,AM_Params!F16+AM_Params!E16*LOG10($A$8))*1000,POWER(10,AM_Params!D16+AM_Params!C16*LOG10($A$8))*1000*1.05)-POWER(10,AM_Params!D16+AM_Params!C16*LOG10($A$8))*1000)*AM_Params!J16+(MAX(POWER(10,AM_Params!H16+AM_Params!G16*LOG10($A$8))*1000,MAX(POWER(10,AM_Params!F16+AM_Params!E16*LOG10($A$8))*1000,POWER(10,AM_Params!D16+AM_Params!C16*LOG10($A$8))*1000*1.05)*1.05)-MAX(POWER(10,AM_Params!F16+AM_Params!E16*LOG10($A$8))*1000,POWER(10,AM_Params!D16+AM_Params!C16*LOG10($A$8))*1000*1.05))*AM_Params!J16*0.6)*(1+($W$6-1)*0.7)*$W$2*$W$4*(1+AM_Params!B37*AM_Params!$B$33)*(1+$I$8/100*AM_Params!E40),0)</f>
        <v>454702</v>
      </c>
      <c r="N32" s="20">
        <f>ROUND((POWER(10,AM_Params!D16+AM_Params!C16*LOG10($A$8))*1000*AM_Params!I16+(MAX(POWER(10,AM_Params!F16+AM_Params!E16*LOG10($A$8))*1000,POWER(10,AM_Params!D16+AM_Params!C16*LOG10($A$8))*1000*1.05)-POWER(10,AM_Params!D16+AM_Params!C16*LOG10($A$8))*1000)*AM_Params!J16+(MAX(POWER(10,AM_Params!H16+AM_Params!G16*LOG10($A$8))*1000,MAX(POWER(10,AM_Params!F16+AM_Params!E16*LOG10($A$8))*1000,POWER(10,AM_Params!D16+AM_Params!C16*LOG10($A$8))*1000*1.05)*1.05)-MAX(POWER(10,AM_Params!F16+AM_Params!E16*LOG10($A$8))*1000,POWER(10,AM_Params!D16+AM_Params!C16*LOG10($A$8))*1000*1.05))*AM_Params!J16*0.6)*(1+($W$6-1)*0.7)*$W$2*$W$4*(1+AM_Params!C37*AM_Params!$B$33)*(1+$I$8/100*AM_Params!E40),0)</f>
        <v>546845</v>
      </c>
      <c r="O32" s="19">
        <f>ROUND((POWER(10,AM_Params!D16+AM_Params!C16*LOG10($A$8))*1000*AM_Params!I16+(MAX(POWER(10,AM_Params!F16+AM_Params!E16*LOG10($A$8))*1000,POWER(10,AM_Params!D16+AM_Params!C16*LOG10($A$8))*1000*1.05)-POWER(10,AM_Params!D16+AM_Params!C16*LOG10($A$8))*1000)*AM_Params!J16+(MAX(POWER(10,AM_Params!H16+AM_Params!G16*LOG10($A$8))*1000,MAX(POWER(10,AM_Params!F16+AM_Params!E16*LOG10($A$8))*1000,POWER(10,AM_Params!D16+AM_Params!C16*LOG10($A$8))*1000*1.05)*1.05)-MAX(POWER(10,AM_Params!F16+AM_Params!E16*LOG10($A$8))*1000,POWER(10,AM_Params!D16+AM_Params!C16*LOG10($A$8))*1000*1.05))*AM_Params!J16*0.6)*(1+($W$6-1)*0.7)*$W$2*$W$4*(1+AM_Params!D37*AM_Params!$B$33)*(1+$I$8/100*AM_Params!E40),0)</f>
        <v>638989</v>
      </c>
      <c r="P32" s="19">
        <f>ROUND((POWER(10,AM_Params!D16+AM_Params!C16*LOG10($A$8))*1000*AM_Params!I16+(MAX(POWER(10,AM_Params!F16+AM_Params!E16*LOG10($A$8))*1000,POWER(10,AM_Params!D16+AM_Params!C16*LOG10($A$8))*1000*1.05)-POWER(10,AM_Params!D16+AM_Params!C16*LOG10($A$8))*1000)*AM_Params!J16+(MAX(POWER(10,AM_Params!H16+AM_Params!G16*LOG10($A$8))*1000,MAX(POWER(10,AM_Params!F16+AM_Params!E16*LOG10($A$8))*1000,POWER(10,AM_Params!D16+AM_Params!C16*LOG10($A$8))*1000*1.05)*1.05)-MAX(POWER(10,AM_Params!F16+AM_Params!E16*LOG10($A$8))*1000,POWER(10,AM_Params!D16+AM_Params!C16*LOG10($A$8))*1000*1.05))*AM_Params!J16*0.6)*(1+($W$6-1)*0.7)*$W$2*$W$4*(1+AM_Params!E37*AM_Params!$B$33)*(1+$I$8/100*AM_Params!E40),0)</f>
        <v>722109</v>
      </c>
      <c r="Q32" s="55"/>
      <c r="R32" s="55"/>
      <c r="S32" s="55"/>
      <c r="T32" s="55"/>
      <c r="U32" s="55"/>
      <c r="V32" s="4"/>
      <c r="W32" s="4"/>
    </row>
    <row r="33" spans="1:23" ht="18" customHeight="1" x14ac:dyDescent="0.3">
      <c r="A33" s="21" t="s">
        <v>69</v>
      </c>
      <c r="B33" s="22">
        <f>ROUND(POWER(10,AM_Params!D17+AM_Params!C17*LOG10($A$8))*1000*AM_Params!I17*(1+($W$6-1)*0.8)*$W$2*$W$4*(1+AM_Params!A37*AM_Params!$B$33),0)</f>
        <v>273123</v>
      </c>
      <c r="C33" s="23">
        <f>ROUND(POWER(10,AM_Params!D17+AM_Params!C17*LOG10($A$8))*1000*AM_Params!I17*(1+($W$6-1)*0.8)*$W$2*$W$4*(1+AM_Params!B37*AM_Params!$B$33),0)</f>
        <v>334218</v>
      </c>
      <c r="D33" s="20">
        <f>ROUND(POWER(10,AM_Params!D17+AM_Params!C17*LOG10($A$8))*1000*AM_Params!I17*(1+($W$6-1)*0.8)*$W$2*$W$4*(1+AM_Params!C37*AM_Params!$B$33),0)</f>
        <v>401946</v>
      </c>
      <c r="E33" s="23">
        <f>ROUND(POWER(10,AM_Params!D17+AM_Params!C17*LOG10($A$8))*1000*AM_Params!I17*(1+($W$6-1)*0.8)*$W$2*$W$4*(1+AM_Params!D37*AM_Params!$B$33),0)</f>
        <v>469674</v>
      </c>
      <c r="F33" s="23">
        <f>ROUND(POWER(10,AM_Params!D17+AM_Params!C17*LOG10($A$8))*1000*AM_Params!I17*(1+($W$6-1)*0.8)*$W$2*$W$4*(1+AM_Params!E37*AM_Params!$B$33),0)</f>
        <v>530770</v>
      </c>
      <c r="G33" s="22">
        <f>ROUND((POWER(10,AM_Params!D17+AM_Params!C17*LOG10($A$8))*1000*AM_Params!I17+(MAX(POWER(10,AM_Params!F17+AM_Params!E17*LOG10($A$8))*1000,POWER(10,AM_Params!D17+AM_Params!C17*LOG10($A$8))*1000*1.05)-POWER(10,AM_Params!D17+AM_Params!C17*LOG10($A$8))*1000)*AM_Params!J17)*(1+($W$6-1)*0.8)*$W$2*$W$4*(1+AM_Params!A37*AM_Params!$B$33)*(1+$I$8/100*AM_Params!F40),0)</f>
        <v>616945</v>
      </c>
      <c r="H33" s="23">
        <f>ROUND((POWER(10,AM_Params!D17+AM_Params!C17*LOG10($A$8))*1000*AM_Params!I17+(MAX(POWER(10,AM_Params!F17+AM_Params!E17*LOG10($A$8))*1000,POWER(10,AM_Params!D17+AM_Params!C17*LOG10($A$8))*1000*1.05)-POWER(10,AM_Params!D17+AM_Params!C17*LOG10($A$8))*1000)*AM_Params!J17)*(1+($W$6-1)*0.8)*$W$2*$W$4*(1+AM_Params!B37*AM_Params!$B$33)*(1+$I$8/100*AM_Params!F40),0)</f>
        <v>754952</v>
      </c>
      <c r="I33" s="20">
        <f>ROUND((POWER(10,AM_Params!D17+AM_Params!C17*LOG10($A$8))*1000*AM_Params!I17+(MAX(POWER(10,AM_Params!F17+AM_Params!E17*LOG10($A$8))*1000,POWER(10,AM_Params!D17+AM_Params!C17*LOG10($A$8))*1000*1.05)-POWER(10,AM_Params!D17+AM_Params!C17*LOG10($A$8))*1000)*AM_Params!J17)*(1+($W$6-1)*0.8)*$W$2*$W$4*(1+AM_Params!C37*AM_Params!$B$33)*(1+$I$8/100*AM_Params!F40),0)</f>
        <v>907939</v>
      </c>
      <c r="J33" s="23">
        <f>ROUND((POWER(10,AM_Params!D17+AM_Params!C17*LOG10($A$8))*1000*AM_Params!I17+(MAX(POWER(10,AM_Params!F17+AM_Params!E17*LOG10($A$8))*1000,POWER(10,AM_Params!D17+AM_Params!C17*LOG10($A$8))*1000*1.05)-POWER(10,AM_Params!D17+AM_Params!C17*LOG10($A$8))*1000)*AM_Params!J17)*(1+($W$6-1)*0.8)*$W$2*$W$4*(1+AM_Params!D37*AM_Params!$B$33)*(1+$I$8/100*AM_Params!F40),0)</f>
        <v>1060927</v>
      </c>
      <c r="K33" s="23">
        <f>ROUND((POWER(10,AM_Params!D17+AM_Params!C17*LOG10($A$8))*1000*AM_Params!I17+(MAX(POWER(10,AM_Params!F17+AM_Params!E17*LOG10($A$8))*1000,POWER(10,AM_Params!D17+AM_Params!C17*LOG10($A$8))*1000*1.05)-POWER(10,AM_Params!D17+AM_Params!C17*LOG10($A$8))*1000)*AM_Params!J17)*(1+($W$6-1)*0.8)*$W$2*$W$4*(1+AM_Params!E37*AM_Params!$B$33)*(1+$I$8/100*AM_Params!F40),0)</f>
        <v>1198934</v>
      </c>
      <c r="L33" s="22">
        <f>ROUND((POWER(10,AM_Params!D17+AM_Params!C17*LOG10($A$8))*1000*AM_Params!I17+(MAX(POWER(10,AM_Params!F17+AM_Params!E17*LOG10($A$8))*1000,POWER(10,AM_Params!D17+AM_Params!C17*LOG10($A$8))*1000*1.05)-POWER(10,AM_Params!D17+AM_Params!C17*LOG10($A$8))*1000)*AM_Params!J17+(MAX(POWER(10,AM_Params!H17+AM_Params!G17*LOG10($A$8))*1000,MAX(POWER(10,AM_Params!F17+AM_Params!E17*LOG10($A$8))*1000,POWER(10,AM_Params!D17+AM_Params!C17*LOG10($A$8))*1000*1.05)*1.05)-MAX(POWER(10,AM_Params!F17+AM_Params!E17*LOG10($A$8))*1000,POWER(10,AM_Params!D17+AM_Params!C17*LOG10($A$8))*1000*1.05))*AM_Params!J17*0.6)*(1+($W$6-1)*0.8)*$W$2*$W$4*(1+AM_Params!A37*AM_Params!$B$33)*(1+$I$8/100*AM_Params!F40),0)</f>
        <v>724508</v>
      </c>
      <c r="M33" s="23">
        <f>ROUND((POWER(10,AM_Params!D17+AM_Params!C17*LOG10($A$8))*1000*AM_Params!I17+(MAX(POWER(10,AM_Params!F17+AM_Params!E17*LOG10($A$8))*1000,POWER(10,AM_Params!D17+AM_Params!C17*LOG10($A$8))*1000*1.05)-POWER(10,AM_Params!D17+AM_Params!C17*LOG10($A$8))*1000)*AM_Params!J17+(MAX(POWER(10,AM_Params!H17+AM_Params!G17*LOG10($A$8))*1000,MAX(POWER(10,AM_Params!F17+AM_Params!E17*LOG10($A$8))*1000,POWER(10,AM_Params!D17+AM_Params!C17*LOG10($A$8))*1000*1.05)*1.05)-MAX(POWER(10,AM_Params!F17+AM_Params!E17*LOG10($A$8))*1000,POWER(10,AM_Params!D17+AM_Params!C17*LOG10($A$8))*1000*1.05))*AM_Params!J17*0.6)*(1+($W$6-1)*0.8)*$W$2*$W$4*(1+AM_Params!B37*AM_Params!$B$33)*(1+$I$8/100*AM_Params!F40),0)</f>
        <v>886576</v>
      </c>
      <c r="N33" s="20">
        <f>ROUND((POWER(10,AM_Params!D17+AM_Params!C17*LOG10($A$8))*1000*AM_Params!I17+(MAX(POWER(10,AM_Params!F17+AM_Params!E17*LOG10($A$8))*1000,POWER(10,AM_Params!D17+AM_Params!C17*LOG10($A$8))*1000*1.05)-POWER(10,AM_Params!D17+AM_Params!C17*LOG10($A$8))*1000)*AM_Params!J17+(MAX(POWER(10,AM_Params!H17+AM_Params!G17*LOG10($A$8))*1000,MAX(POWER(10,AM_Params!F17+AM_Params!E17*LOG10($A$8))*1000,POWER(10,AM_Params!D17+AM_Params!C17*LOG10($A$8))*1000*1.05)*1.05)-MAX(POWER(10,AM_Params!F17+AM_Params!E17*LOG10($A$8))*1000,POWER(10,AM_Params!D17+AM_Params!C17*LOG10($A$8))*1000*1.05))*AM_Params!J17*0.6)*(1+($W$6-1)*0.8)*$W$2*$W$4*(1+AM_Params!C37*AM_Params!$B$33)*(1+$I$8/100*AM_Params!F40),0)</f>
        <v>1066237</v>
      </c>
      <c r="O33" s="23">
        <f>ROUND((POWER(10,AM_Params!D17+AM_Params!C17*LOG10($A$8))*1000*AM_Params!I17+(MAX(POWER(10,AM_Params!F17+AM_Params!E17*LOG10($A$8))*1000,POWER(10,AM_Params!D17+AM_Params!C17*LOG10($A$8))*1000*1.05)-POWER(10,AM_Params!D17+AM_Params!C17*LOG10($A$8))*1000)*AM_Params!J17+(MAX(POWER(10,AM_Params!H17+AM_Params!G17*LOG10($A$8))*1000,MAX(POWER(10,AM_Params!F17+AM_Params!E17*LOG10($A$8))*1000,POWER(10,AM_Params!D17+AM_Params!C17*LOG10($A$8))*1000*1.05)*1.05)-MAX(POWER(10,AM_Params!F17+AM_Params!E17*LOG10($A$8))*1000,POWER(10,AM_Params!D17+AM_Params!C17*LOG10($A$8))*1000*1.05))*AM_Params!J17*0.6)*(1+($W$6-1)*0.8)*$W$2*$W$4*(1+AM_Params!D37*AM_Params!$B$33)*(1+$I$8/100*AM_Params!F40),0)</f>
        <v>1245898</v>
      </c>
      <c r="P33" s="23">
        <f>ROUND((POWER(10,AM_Params!D17+AM_Params!C17*LOG10($A$8))*1000*AM_Params!I17+(MAX(POWER(10,AM_Params!F17+AM_Params!E17*LOG10($A$8))*1000,POWER(10,AM_Params!D17+AM_Params!C17*LOG10($A$8))*1000*1.05)-POWER(10,AM_Params!D17+AM_Params!C17*LOG10($A$8))*1000)*AM_Params!J17+(MAX(POWER(10,AM_Params!H17+AM_Params!G17*LOG10($A$8))*1000,MAX(POWER(10,AM_Params!F17+AM_Params!E17*LOG10($A$8))*1000,POWER(10,AM_Params!D17+AM_Params!C17*LOG10($A$8))*1000*1.05)*1.05)-MAX(POWER(10,AM_Params!F17+AM_Params!E17*LOG10($A$8))*1000,POWER(10,AM_Params!D17+AM_Params!C17*LOG10($A$8))*1000*1.05))*AM_Params!J17*0.6)*(1+($W$6-1)*0.8)*$W$2*$W$4*(1+AM_Params!E37*AM_Params!$B$33)*(1+$I$8/100*AM_Params!F40),0)</f>
        <v>1407966</v>
      </c>
      <c r="Q33" s="55"/>
      <c r="R33" s="55"/>
      <c r="S33" s="55"/>
      <c r="T33" s="55"/>
      <c r="U33" s="55"/>
      <c r="V33" s="4"/>
      <c r="W33" s="4"/>
    </row>
    <row r="34" spans="1:23" ht="18" customHeight="1" x14ac:dyDescent="0.3">
      <c r="A34" s="17" t="s">
        <v>91</v>
      </c>
      <c r="B34" s="18">
        <f>ROUND(POWER(10,AM_Params!D18+AM_Params!C18*LOG10($A$8))*1000*AM_Params!I18*(1+($W$6-1)*0.9)*$W$2*$W$4*(1+AM_Params!A37*AM_Params!$B$33),0)</f>
        <v>347054</v>
      </c>
      <c r="C34" s="19">
        <f>ROUND(POWER(10,AM_Params!D18+AM_Params!C18*LOG10($A$8))*1000*AM_Params!I18*(1+($W$6-1)*0.9)*$W$2*$W$4*(1+AM_Params!B37*AM_Params!$B$33),0)</f>
        <v>424688</v>
      </c>
      <c r="D34" s="20">
        <f>ROUND(POWER(10,AM_Params!D18+AM_Params!C18*LOG10($A$8))*1000*AM_Params!I18*(1+($W$6-1)*0.9)*$W$2*$W$4*(1+AM_Params!C37*AM_Params!$B$33),0)</f>
        <v>510749</v>
      </c>
      <c r="E34" s="19">
        <f>ROUND(POWER(10,AM_Params!D18+AM_Params!C18*LOG10($A$8))*1000*AM_Params!I18*(1+($W$6-1)*0.9)*$W$2*$W$4*(1+AM_Params!D37*AM_Params!$B$33),0)</f>
        <v>596810</v>
      </c>
      <c r="F34" s="19">
        <f>ROUND(POWER(10,AM_Params!D18+AM_Params!C18*LOG10($A$8))*1000*AM_Params!I18*(1+($W$6-1)*0.9)*$W$2*$W$4*(1+AM_Params!E37*AM_Params!$B$33),0)</f>
        <v>674444</v>
      </c>
      <c r="G34" s="18">
        <f>ROUND((POWER(10,AM_Params!D18+AM_Params!C18*LOG10($A$8))*1000*AM_Params!I18+(MAX(POWER(10,AM_Params!F18+AM_Params!E18*LOG10($A$8))*1000,POWER(10,AM_Params!D18+AM_Params!C18*LOG10($A$8))*1000*1.05)-POWER(10,AM_Params!D18+AM_Params!C18*LOG10($A$8))*1000)*AM_Params!J18)*(1+($W$6-1)*0.9)*$W$2*$W$4*(1+AM_Params!A37*AM_Params!$B$33)*(1+$I$8/100*AM_Params!G40),0)</f>
        <v>755708</v>
      </c>
      <c r="H34" s="19">
        <f>ROUND((POWER(10,AM_Params!D18+AM_Params!C18*LOG10($A$8))*1000*AM_Params!I18+(MAX(POWER(10,AM_Params!F18+AM_Params!E18*LOG10($A$8))*1000,POWER(10,AM_Params!D18+AM_Params!C18*LOG10($A$8))*1000*1.05)-POWER(10,AM_Params!D18+AM_Params!C18*LOG10($A$8))*1000)*AM_Params!J18)*(1+($W$6-1)*0.9)*$W$2*$W$4*(1+AM_Params!B37*AM_Params!$B$33)*(1+$I$8/100*AM_Params!G40),0)</f>
        <v>924755</v>
      </c>
      <c r="I34" s="20">
        <f>ROUND((POWER(10,AM_Params!D18+AM_Params!C18*LOG10($A$8))*1000*AM_Params!I18+(MAX(POWER(10,AM_Params!F18+AM_Params!E18*LOG10($A$8))*1000,POWER(10,AM_Params!D18+AM_Params!C18*LOG10($A$8))*1000*1.05)-POWER(10,AM_Params!D18+AM_Params!C18*LOG10($A$8))*1000)*AM_Params!J18)*(1+($W$6-1)*0.9)*$W$2*$W$4*(1+AM_Params!C37*AM_Params!$B$33)*(1+$I$8/100*AM_Params!G40),0)</f>
        <v>1112153</v>
      </c>
      <c r="J34" s="19">
        <f>ROUND((POWER(10,AM_Params!D18+AM_Params!C18*LOG10($A$8))*1000*AM_Params!I18+(MAX(POWER(10,AM_Params!F18+AM_Params!E18*LOG10($A$8))*1000,POWER(10,AM_Params!D18+AM_Params!C18*LOG10($A$8))*1000*1.05)-POWER(10,AM_Params!D18+AM_Params!C18*LOG10($A$8))*1000)*AM_Params!J18)*(1+($W$6-1)*0.9)*$W$2*$W$4*(1+AM_Params!D37*AM_Params!$B$33)*(1+$I$8/100*AM_Params!G40),0)</f>
        <v>1299551</v>
      </c>
      <c r="K34" s="19">
        <f>ROUND((POWER(10,AM_Params!D18+AM_Params!C18*LOG10($A$8))*1000*AM_Params!I18+(MAX(POWER(10,AM_Params!F18+AM_Params!E18*LOG10($A$8))*1000,POWER(10,AM_Params!D18+AM_Params!C18*LOG10($A$8))*1000*1.05)-POWER(10,AM_Params!D18+AM_Params!C18*LOG10($A$8))*1000)*AM_Params!J18)*(1+($W$6-1)*0.9)*$W$2*$W$4*(1+AM_Params!E37*AM_Params!$B$33)*(1+$I$8/100*AM_Params!G40),0)</f>
        <v>1468598</v>
      </c>
      <c r="L34" s="18">
        <f>ROUND((POWER(10,AM_Params!D18+AM_Params!C18*LOG10($A$8))*1000*AM_Params!I18+(MAX(POWER(10,AM_Params!F18+AM_Params!E18*LOG10($A$8))*1000,POWER(10,AM_Params!D18+AM_Params!C18*LOG10($A$8))*1000*1.05)-POWER(10,AM_Params!D18+AM_Params!C18*LOG10($A$8))*1000)*AM_Params!J18+(MAX(POWER(10,AM_Params!H18+AM_Params!G18*LOG10($A$8))*1000,MAX(POWER(10,AM_Params!F18+AM_Params!E18*LOG10($A$8))*1000,POWER(10,AM_Params!D18+AM_Params!C18*LOG10($A$8))*1000*1.05)*1.05)-MAX(POWER(10,AM_Params!F18+AM_Params!E18*LOG10($A$8))*1000,POWER(10,AM_Params!D18+AM_Params!C18*LOG10($A$8))*1000*1.05))*AM_Params!J18*0.6)*(1+($W$6-1)*0.9)*$W$2*$W$4*(1+AM_Params!A37*AM_Params!$B$33)*(1+$I$8/100*AM_Params!G40),0)</f>
        <v>900714</v>
      </c>
      <c r="M34" s="19">
        <f>ROUND((POWER(10,AM_Params!D18+AM_Params!C18*LOG10($A$8))*1000*AM_Params!I18+(MAX(POWER(10,AM_Params!F18+AM_Params!E18*LOG10($A$8))*1000,POWER(10,AM_Params!D18+AM_Params!C18*LOG10($A$8))*1000*1.05)-POWER(10,AM_Params!D18+AM_Params!C18*LOG10($A$8))*1000)*AM_Params!J18+(MAX(POWER(10,AM_Params!H18+AM_Params!G18*LOG10($A$8))*1000,MAX(POWER(10,AM_Params!F18+AM_Params!E18*LOG10($A$8))*1000,POWER(10,AM_Params!D18+AM_Params!C18*LOG10($A$8))*1000*1.05)*1.05)-MAX(POWER(10,AM_Params!F18+AM_Params!E18*LOG10($A$8))*1000,POWER(10,AM_Params!D18+AM_Params!C18*LOG10($A$8))*1000*1.05))*AM_Params!J18*0.6)*(1+($W$6-1)*0.9)*$W$2*$W$4*(1+AM_Params!B37*AM_Params!$B$33)*(1+$I$8/100*AM_Params!G40),0)</f>
        <v>1102198</v>
      </c>
      <c r="N34" s="20">
        <f>ROUND((POWER(10,AM_Params!D18+AM_Params!C18*LOG10($A$8))*1000*AM_Params!I18+(MAX(POWER(10,AM_Params!F18+AM_Params!E18*LOG10($A$8))*1000,POWER(10,AM_Params!D18+AM_Params!C18*LOG10($A$8))*1000*1.05)-POWER(10,AM_Params!D18+AM_Params!C18*LOG10($A$8))*1000)*AM_Params!J18+(MAX(POWER(10,AM_Params!H18+AM_Params!G18*LOG10($A$8))*1000,MAX(POWER(10,AM_Params!F18+AM_Params!E18*LOG10($A$8))*1000,POWER(10,AM_Params!D18+AM_Params!C18*LOG10($A$8))*1000*1.05)*1.05)-MAX(POWER(10,AM_Params!F18+AM_Params!E18*LOG10($A$8))*1000,POWER(10,AM_Params!D18+AM_Params!C18*LOG10($A$8))*1000*1.05))*AM_Params!J18*0.6)*(1+($W$6-1)*0.9)*$W$2*$W$4*(1+AM_Params!C37*AM_Params!$B$33)*(1+$I$8/100*AM_Params!G40),0)</f>
        <v>1325554</v>
      </c>
      <c r="O34" s="19">
        <f>ROUND((POWER(10,AM_Params!D18+AM_Params!C18*LOG10($A$8))*1000*AM_Params!I18+(MAX(POWER(10,AM_Params!F18+AM_Params!E18*LOG10($A$8))*1000,POWER(10,AM_Params!D18+AM_Params!C18*LOG10($A$8))*1000*1.05)-POWER(10,AM_Params!D18+AM_Params!C18*LOG10($A$8))*1000)*AM_Params!J18+(MAX(POWER(10,AM_Params!H18+AM_Params!G18*LOG10($A$8))*1000,MAX(POWER(10,AM_Params!F18+AM_Params!E18*LOG10($A$8))*1000,POWER(10,AM_Params!D18+AM_Params!C18*LOG10($A$8))*1000*1.05)*1.05)-MAX(POWER(10,AM_Params!F18+AM_Params!E18*LOG10($A$8))*1000,POWER(10,AM_Params!D18+AM_Params!C18*LOG10($A$8))*1000*1.05))*AM_Params!J18*0.6)*(1+($W$6-1)*0.9)*$W$2*$W$4*(1+AM_Params!D37*AM_Params!$B$33)*(1+$I$8/100*AM_Params!G40),0)</f>
        <v>1548910</v>
      </c>
      <c r="P34" s="19">
        <f>ROUND((POWER(10,AM_Params!D18+AM_Params!C18*LOG10($A$8))*1000*AM_Params!I18+(MAX(POWER(10,AM_Params!F18+AM_Params!E18*LOG10($A$8))*1000,POWER(10,AM_Params!D18+AM_Params!C18*LOG10($A$8))*1000*1.05)-POWER(10,AM_Params!D18+AM_Params!C18*LOG10($A$8))*1000)*AM_Params!J18+(MAX(POWER(10,AM_Params!H18+AM_Params!G18*LOG10($A$8))*1000,MAX(POWER(10,AM_Params!F18+AM_Params!E18*LOG10($A$8))*1000,POWER(10,AM_Params!D18+AM_Params!C18*LOG10($A$8))*1000*1.05)*1.05)-MAX(POWER(10,AM_Params!F18+AM_Params!E18*LOG10($A$8))*1000,POWER(10,AM_Params!D18+AM_Params!C18*LOG10($A$8))*1000*1.05))*AM_Params!J18*0.6)*(1+($W$6-1)*0.9)*$W$2*$W$4*(1+AM_Params!E37*AM_Params!$B$33)*(1+$I$8/100*AM_Params!G40),0)</f>
        <v>1750394</v>
      </c>
      <c r="Q34" s="55"/>
      <c r="R34" s="55"/>
      <c r="S34" s="55"/>
      <c r="T34" s="55"/>
      <c r="U34" s="55"/>
      <c r="V34" s="4"/>
      <c r="W34" s="4"/>
    </row>
    <row r="35" spans="1:23" ht="7.95" customHeight="1" x14ac:dyDescent="0.3">
      <c r="A35" s="24" t="s">
        <v>54</v>
      </c>
      <c r="B35" s="25">
        <f>ROUND(POWER(10,AM_Params!D19+AM_Params!C19*LOG10($A$8))*1000*AM_Params!I19*(1+($W$6-1)*1)*$W$2*$W$4*(1+AM_Params!A37*AM_Params!$B$33),0)</f>
        <v>363196</v>
      </c>
      <c r="C35" s="26">
        <f>ROUND(POWER(10,AM_Params!D19+AM_Params!C19*LOG10($A$8))*1000*AM_Params!I19*(1+($W$6-1)*1)*$W$2*$W$4*(1+AM_Params!B37*AM_Params!$B$33),0)</f>
        <v>444441</v>
      </c>
      <c r="D35" s="27">
        <f>ROUND(POWER(10,AM_Params!D19+AM_Params!C19*LOG10($A$8))*1000*AM_Params!I19*(1+($W$6-1)*1)*$W$2*$W$4*(1+AM_Params!C37*AM_Params!$B$33),0)</f>
        <v>534505</v>
      </c>
      <c r="E35" s="26">
        <f>ROUND(POWER(10,AM_Params!D19+AM_Params!C19*LOG10($A$8))*1000*AM_Params!I19*(1+($W$6-1)*1)*$W$2*$W$4*(1+AM_Params!D37*AM_Params!$B$33),0)</f>
        <v>624569</v>
      </c>
      <c r="F35" s="26">
        <f>ROUND(POWER(10,AM_Params!D19+AM_Params!C19*LOG10($A$8))*1000*AM_Params!I19*(1+($W$6-1)*1)*$W$2*$W$4*(1+AM_Params!E37*AM_Params!$B$33),0)</f>
        <v>705814</v>
      </c>
      <c r="G35" s="25">
        <f>ROUND((POWER(10,AM_Params!D19+AM_Params!C19*LOG10($A$8))*1000*AM_Params!I19+(MAX(POWER(10,AM_Params!F19+AM_Params!E19*LOG10($A$8))*1000,POWER(10,AM_Params!D19+AM_Params!C19*LOG10($A$8))*1000*1.05)-POWER(10,AM_Params!D19+AM_Params!C19*LOG10($A$8))*1000)*AM_Params!J19)*(1+($W$6-1)*1)*$W$2*$W$4*(1+AM_Params!A37*AM_Params!$B$33)*(1+$I$8/100*AM_Params!H40),0)</f>
        <v>835769</v>
      </c>
      <c r="H35" s="26">
        <f>ROUND((POWER(10,AM_Params!D19+AM_Params!C19*LOG10($A$8))*1000*AM_Params!I19+(MAX(POWER(10,AM_Params!F19+AM_Params!E19*LOG10($A$8))*1000,POWER(10,AM_Params!D19+AM_Params!C19*LOG10($A$8))*1000*1.05)-POWER(10,AM_Params!D19+AM_Params!C19*LOG10($A$8))*1000)*AM_Params!J19)*(1+($W$6-1)*1)*$W$2*$W$4*(1+AM_Params!B37*AM_Params!$B$33)*(1+$I$8/100*AM_Params!H40),0)</f>
        <v>1022725</v>
      </c>
      <c r="I35" s="27">
        <f>ROUND((POWER(10,AM_Params!D19+AM_Params!C19*LOG10($A$8))*1000*AM_Params!I19+(MAX(POWER(10,AM_Params!F19+AM_Params!E19*LOG10($A$8))*1000,POWER(10,AM_Params!D19+AM_Params!C19*LOG10($A$8))*1000*1.05)-POWER(10,AM_Params!D19+AM_Params!C19*LOG10($A$8))*1000)*AM_Params!J19)*(1+($W$6-1)*1)*$W$2*$W$4*(1+AM_Params!C37*AM_Params!$B$33)*(1+$I$8/100*AM_Params!H40),0)</f>
        <v>1229976</v>
      </c>
      <c r="J35" s="26">
        <f>ROUND((POWER(10,AM_Params!D19+AM_Params!C19*LOG10($A$8))*1000*AM_Params!I19+(MAX(POWER(10,AM_Params!F19+AM_Params!E19*LOG10($A$8))*1000,POWER(10,AM_Params!D19+AM_Params!C19*LOG10($A$8))*1000*1.05)-POWER(10,AM_Params!D19+AM_Params!C19*LOG10($A$8))*1000)*AM_Params!J19)*(1+($W$6-1)*1)*$W$2*$W$4*(1+AM_Params!D37*AM_Params!$B$33)*(1+$I$8/100*AM_Params!H40),0)</f>
        <v>1437227</v>
      </c>
      <c r="K35" s="26">
        <f>ROUND((POWER(10,AM_Params!D19+AM_Params!C19*LOG10($A$8))*1000*AM_Params!I19+(MAX(POWER(10,AM_Params!F19+AM_Params!E19*LOG10($A$8))*1000,POWER(10,AM_Params!D19+AM_Params!C19*LOG10($A$8))*1000*1.05)-POWER(10,AM_Params!D19+AM_Params!C19*LOG10($A$8))*1000)*AM_Params!J19)*(1+($W$6-1)*1)*$W$2*$W$4*(1+AM_Params!E37*AM_Params!$B$33)*(1+$I$8/100*AM_Params!H40),0)</f>
        <v>1624184</v>
      </c>
      <c r="L35" s="25">
        <f>ROUND((POWER(10,AM_Params!D19+AM_Params!C19*LOG10($A$8))*1000*AM_Params!I19+(MAX(POWER(10,AM_Params!F19+AM_Params!E19*LOG10($A$8))*1000,POWER(10,AM_Params!D19+AM_Params!C19*LOG10($A$8))*1000*1.05)-POWER(10,AM_Params!D19+AM_Params!C19*LOG10($A$8))*1000)*AM_Params!J19+(MAX(POWER(10,AM_Params!H19+AM_Params!G19*LOG10($A$8))*1000,MAX(POWER(10,AM_Params!F19+AM_Params!E19*LOG10($A$8))*1000,POWER(10,AM_Params!D19+AM_Params!C19*LOG10($A$8))*1000*1.05)*1.05)-MAX(POWER(10,AM_Params!F19+AM_Params!E19*LOG10($A$8))*1000,POWER(10,AM_Params!D19+AM_Params!C19*LOG10($A$8))*1000*1.05))*AM_Params!J19*0.6)*(1+($W$6-1)*1)*$W$2*$W$4*(1+AM_Params!A37*AM_Params!$B$33)*(1+$I$8/100*AM_Params!H40),0)</f>
        <v>1141928</v>
      </c>
      <c r="M35" s="26">
        <f>ROUND((POWER(10,AM_Params!D19+AM_Params!C19*LOG10($A$8))*1000*AM_Params!I19+(MAX(POWER(10,AM_Params!F19+AM_Params!E19*LOG10($A$8))*1000,POWER(10,AM_Params!D19+AM_Params!C19*LOG10($A$8))*1000*1.05)-POWER(10,AM_Params!D19+AM_Params!C19*LOG10($A$8))*1000)*AM_Params!J19+(MAX(POWER(10,AM_Params!H19+AM_Params!G19*LOG10($A$8))*1000,MAX(POWER(10,AM_Params!F19+AM_Params!E19*LOG10($A$8))*1000,POWER(10,AM_Params!D19+AM_Params!C19*LOG10($A$8))*1000*1.05)*1.05)-MAX(POWER(10,AM_Params!F19+AM_Params!E19*LOG10($A$8))*1000,POWER(10,AM_Params!D19+AM_Params!C19*LOG10($A$8))*1000*1.05))*AM_Params!J19*0.6)*(1+($W$6-1)*1)*$W$2*$W$4*(1+AM_Params!B37*AM_Params!$B$33)*(1+$I$8/100*AM_Params!H40),0)</f>
        <v>1397371</v>
      </c>
      <c r="N35" s="27">
        <f>ROUND((POWER(10,AM_Params!D19+AM_Params!C19*LOG10($A$8))*1000*AM_Params!I19+(MAX(POWER(10,AM_Params!F19+AM_Params!E19*LOG10($A$8))*1000,POWER(10,AM_Params!D19+AM_Params!C19*LOG10($A$8))*1000*1.05)-POWER(10,AM_Params!D19+AM_Params!C19*LOG10($A$8))*1000)*AM_Params!J19+(MAX(POWER(10,AM_Params!H19+AM_Params!G19*LOG10($A$8))*1000,MAX(POWER(10,AM_Params!F19+AM_Params!E19*LOG10($A$8))*1000,POWER(10,AM_Params!D19+AM_Params!C19*LOG10($A$8))*1000*1.05)*1.05)-MAX(POWER(10,AM_Params!F19+AM_Params!E19*LOG10($A$8))*1000,POWER(10,AM_Params!D19+AM_Params!C19*LOG10($A$8))*1000*1.05))*AM_Params!J19*0.6)*(1+($W$6-1)*1)*$W$2*$W$4*(1+AM_Params!C37*AM_Params!$B$33)*(1+$I$8/100*AM_Params!H40),0)</f>
        <v>1680542</v>
      </c>
      <c r="O35" s="26">
        <f>ROUND((POWER(10,AM_Params!D19+AM_Params!C19*LOG10($A$8))*1000*AM_Params!I19+(MAX(POWER(10,AM_Params!F19+AM_Params!E19*LOG10($A$8))*1000,POWER(10,AM_Params!D19+AM_Params!C19*LOG10($A$8))*1000*1.05)-POWER(10,AM_Params!D19+AM_Params!C19*LOG10($A$8))*1000)*AM_Params!J19+(MAX(POWER(10,AM_Params!H19+AM_Params!G19*LOG10($A$8))*1000,MAX(POWER(10,AM_Params!F19+AM_Params!E19*LOG10($A$8))*1000,POWER(10,AM_Params!D19+AM_Params!C19*LOG10($A$8))*1000*1.05)*1.05)-MAX(POWER(10,AM_Params!F19+AM_Params!E19*LOG10($A$8))*1000,POWER(10,AM_Params!D19+AM_Params!C19*LOG10($A$8))*1000*1.05))*AM_Params!J19*0.6)*(1+($W$6-1)*1)*$W$2*$W$4*(1+AM_Params!D37*AM_Params!$B$33)*(1+$I$8/100*AM_Params!H40),0)</f>
        <v>1963714</v>
      </c>
      <c r="P35" s="26">
        <f>ROUND((POWER(10,AM_Params!D19+AM_Params!C19*LOG10($A$8))*1000*AM_Params!I19+(MAX(POWER(10,AM_Params!F19+AM_Params!E19*LOG10($A$8))*1000,POWER(10,AM_Params!D19+AM_Params!C19*LOG10($A$8))*1000*1.05)-POWER(10,AM_Params!D19+AM_Params!C19*LOG10($A$8))*1000)*AM_Params!J19+(MAX(POWER(10,AM_Params!H19+AM_Params!G19*LOG10($A$8))*1000,MAX(POWER(10,AM_Params!F19+AM_Params!E19*LOG10($A$8))*1000,POWER(10,AM_Params!D19+AM_Params!C19*LOG10($A$8))*1000*1.05)*1.05)-MAX(POWER(10,AM_Params!F19+AM_Params!E19*LOG10($A$8))*1000,POWER(10,AM_Params!D19+AM_Params!C19*LOG10($A$8))*1000*1.05))*AM_Params!J19*0.6)*(1+($W$6-1)*1)*$W$2*$W$4*(1+AM_Params!E37*AM_Params!$B$33)*(1+$I$8/100*AM_Params!H40),0)</f>
        <v>2219156</v>
      </c>
      <c r="Q35" s="55"/>
      <c r="R35" s="55"/>
      <c r="S35" s="55"/>
      <c r="T35" s="55"/>
      <c r="U35" s="55"/>
      <c r="V35" s="4"/>
      <c r="W35" s="4"/>
    </row>
    <row r="36" spans="1:23" ht="16.05" customHeight="1" x14ac:dyDescent="0.3">
      <c r="A36" s="113" t="s">
        <v>92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51"/>
      <c r="R36" s="51"/>
      <c r="S36" s="51"/>
      <c r="T36" s="51"/>
      <c r="U36" s="51"/>
      <c r="V36" s="4"/>
      <c r="W36" s="4"/>
    </row>
    <row r="37" spans="1:23" x14ac:dyDescent="0.3">
      <c r="A37" s="75" t="s">
        <v>34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50"/>
      <c r="R37" s="50"/>
      <c r="S37" s="50"/>
      <c r="T37" s="50"/>
      <c r="U37" s="50"/>
      <c r="V37" s="4"/>
      <c r="W37" s="4"/>
    </row>
  </sheetData>
  <mergeCells count="15">
    <mergeCell ref="A36:P36"/>
    <mergeCell ref="G12:K12"/>
    <mergeCell ref="A1:P1"/>
    <mergeCell ref="B25:F25"/>
    <mergeCell ref="L25:P25"/>
    <mergeCell ref="G25:K25"/>
    <mergeCell ref="D9:F9"/>
    <mergeCell ref="D7:F7"/>
    <mergeCell ref="D8:F8"/>
    <mergeCell ref="A24:P24"/>
    <mergeCell ref="A2:P2"/>
    <mergeCell ref="A11:P11"/>
    <mergeCell ref="L12:P12"/>
    <mergeCell ref="A5:P5"/>
    <mergeCell ref="B12:F12"/>
  </mergeCells>
  <dataValidations count="4">
    <dataValidation type="whole" allowBlank="1" showInputMessage="1" showErrorMessage="1" sqref="A8" xr:uid="{00000000-0002-0000-0400-000000000000}">
      <formula1>50</formula1>
      <formula2>500</formula2>
    </dataValidation>
    <dataValidation type="list" error="Complexity must be 1-5" sqref="G8" xr:uid="{00000000-0002-0000-0400-000001000000}">
      <formula1>"1,2,3,4,5"</formula1>
    </dataValidation>
    <dataValidation type="list" sqref="D8" xr:uid="{00000000-0002-0000-0400-000002000000}">
      <formula1>"National Average,New York City,San Francisco,Boston,Washington DC,Dallas/Atlanta"</formula1>
    </dataValidation>
    <dataValidation type="list" errorTitle="Invalid Pool Adjustment" error="Select a value between -30 and +30" sqref="I8" xr:uid="{00000000-0002-0000-0400-000003000000}">
      <formula1>"-30,-25,-20,-15,-10,-5,-4,-3,-2,-1,0,1,2,3,4,5,10,15,20,25,30"</formula1>
    </dataValidation>
  </dataValidations>
  <hyperlinks>
    <hyperlink ref="A1" r:id="rId1" xr:uid="{00000000-0004-0000-0400-000000000000}"/>
    <hyperlink ref="A36" r:id="rId2" xr:uid="{00000000-0004-0000-0400-000001000000}"/>
  </hyperlinks>
  <pageMargins left="0.75" right="0.75" top="1" bottom="1" header="0.5" footer="0.5"/>
  <ignoredErrors>
    <ignoredError sqref="A1:U60" numberStoredAsText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W36"/>
  <sheetViews>
    <sheetView showGridLines="0" workbookViewId="0">
      <selection activeCell="B14" sqref="B14"/>
    </sheetView>
  </sheetViews>
  <sheetFormatPr defaultRowHeight="14.4" x14ac:dyDescent="0.3"/>
  <cols>
    <col min="1" max="1" width="22" customWidth="1"/>
    <col min="2" max="21" width="13" customWidth="1"/>
    <col min="23" max="23" width="13" hidden="1" customWidth="1"/>
  </cols>
  <sheetData>
    <row r="1" spans="1:23" ht="28.05" customHeight="1" x14ac:dyDescent="0.3">
      <c r="A1" s="112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50"/>
      <c r="R1" s="50"/>
      <c r="S1" s="50"/>
      <c r="T1" s="50"/>
      <c r="U1" s="50"/>
      <c r="V1" s="4"/>
      <c r="W1" s="4" t="s">
        <v>40</v>
      </c>
    </row>
    <row r="2" spans="1:23" ht="22.05" customHeight="1" x14ac:dyDescent="0.3">
      <c r="A2" s="115" t="s">
        <v>93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50"/>
      <c r="R2" s="50"/>
      <c r="S2" s="50"/>
      <c r="T2" s="50"/>
      <c r="U2" s="50"/>
      <c r="V2" s="4"/>
      <c r="W2" s="4">
        <f>VLOOKUP(A8,PE_Params!A27:B31,2,FALSE)</f>
        <v>1</v>
      </c>
    </row>
    <row r="3" spans="1:23" ht="3" customHeight="1" x14ac:dyDescent="0.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1"/>
      <c r="R3" s="51"/>
      <c r="S3" s="51"/>
      <c r="T3" s="51"/>
      <c r="U3" s="51"/>
      <c r="V3" s="4"/>
      <c r="W3" s="4" t="s">
        <v>3</v>
      </c>
    </row>
    <row r="4" spans="1:23" ht="6" customHeight="1" x14ac:dyDescent="0.3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51"/>
      <c r="R4" s="51"/>
      <c r="S4" s="51"/>
      <c r="T4" s="51"/>
      <c r="U4" s="52"/>
      <c r="V4" s="4"/>
      <c r="W4" s="4">
        <f>PE_Params!B34</f>
        <v>1.019803902718557</v>
      </c>
    </row>
    <row r="5" spans="1:23" ht="28.05" customHeight="1" x14ac:dyDescent="0.3">
      <c r="A5" s="117" t="s">
        <v>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50"/>
      <c r="R5" s="50"/>
      <c r="S5" s="50"/>
      <c r="T5" s="50"/>
      <c r="U5" s="50"/>
      <c r="V5" s="4"/>
      <c r="W5" s="4"/>
    </row>
    <row r="6" spans="1:23" ht="6" customHeight="1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51"/>
      <c r="R6" s="51"/>
      <c r="S6" s="51"/>
      <c r="T6" s="51"/>
      <c r="U6" s="51"/>
      <c r="V6" s="4"/>
      <c r="W6" s="49"/>
    </row>
    <row r="7" spans="1:23" ht="18" customHeight="1" x14ac:dyDescent="0.3">
      <c r="A7" s="9" t="s">
        <v>94</v>
      </c>
      <c r="B7" s="28"/>
      <c r="C7" s="28"/>
      <c r="D7" s="77" t="s">
        <v>6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51"/>
      <c r="R7" s="51"/>
      <c r="S7" s="51"/>
      <c r="T7" s="51"/>
      <c r="U7" s="51"/>
      <c r="V7" s="4"/>
      <c r="W7" s="4"/>
    </row>
    <row r="8" spans="1:23" ht="18" customHeight="1" x14ac:dyDescent="0.3">
      <c r="A8" s="44">
        <v>3</v>
      </c>
      <c r="B8" s="28"/>
      <c r="C8" s="28"/>
      <c r="D8" s="78">
        <v>0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51"/>
      <c r="R8" s="51"/>
      <c r="S8" s="51"/>
      <c r="T8" s="51"/>
      <c r="U8" s="51"/>
      <c r="V8" s="4"/>
      <c r="W8" s="4"/>
    </row>
    <row r="9" spans="1:23" ht="13.95" customHeight="1" x14ac:dyDescent="0.3">
      <c r="A9" s="35" t="s">
        <v>7</v>
      </c>
      <c r="B9" s="28"/>
      <c r="C9" s="28"/>
      <c r="D9" s="79" t="s">
        <v>8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51"/>
      <c r="R9" s="51"/>
      <c r="S9" s="51"/>
      <c r="T9" s="51"/>
      <c r="U9" s="51"/>
      <c r="V9" s="4"/>
      <c r="W9" s="4"/>
    </row>
    <row r="10" spans="1:23" ht="6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1"/>
      <c r="R10" s="51"/>
      <c r="S10" s="51"/>
      <c r="T10" s="51"/>
      <c r="U10" s="51"/>
      <c r="V10" s="4"/>
      <c r="W10" s="4"/>
    </row>
    <row r="11" spans="1:23" ht="22.05" customHeight="1" x14ac:dyDescent="0.3">
      <c r="A11" s="116" t="str">
        <f>"Investment Professionals (C"&amp;A8&amp;")"</f>
        <v>Investment Professionals (C3)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50"/>
      <c r="R11" s="50"/>
      <c r="S11" s="50"/>
      <c r="T11" s="50"/>
      <c r="U11" s="50"/>
      <c r="V11" s="4"/>
      <c r="W11" s="4"/>
    </row>
    <row r="12" spans="1:23" ht="19.95" customHeight="1" x14ac:dyDescent="0.3">
      <c r="A12" s="13"/>
      <c r="B12" s="97" t="s">
        <v>9</v>
      </c>
      <c r="C12" s="98"/>
      <c r="D12" s="98"/>
      <c r="E12" s="98"/>
      <c r="F12" s="98"/>
      <c r="G12" s="102" t="s">
        <v>10</v>
      </c>
      <c r="H12" s="98"/>
      <c r="I12" s="98"/>
      <c r="J12" s="98"/>
      <c r="K12" s="98"/>
      <c r="L12" s="99" t="s">
        <v>11</v>
      </c>
      <c r="M12" s="98"/>
      <c r="N12" s="98"/>
      <c r="O12" s="98"/>
      <c r="P12" s="98"/>
      <c r="Q12" s="53"/>
      <c r="R12" s="53"/>
      <c r="S12" s="53"/>
      <c r="T12" s="53"/>
      <c r="U12" s="53"/>
      <c r="V12" s="4"/>
      <c r="W12" s="4"/>
    </row>
    <row r="13" spans="1:23" ht="19.95" customHeight="1" x14ac:dyDescent="0.3">
      <c r="A13" s="14" t="s">
        <v>12</v>
      </c>
      <c r="B13" s="15" t="s">
        <v>13</v>
      </c>
      <c r="C13" s="16" t="s">
        <v>14</v>
      </c>
      <c r="D13" s="16" t="s">
        <v>15</v>
      </c>
      <c r="E13" s="16" t="s">
        <v>16</v>
      </c>
      <c r="F13" s="16" t="s">
        <v>17</v>
      </c>
      <c r="G13" s="15" t="s">
        <v>13</v>
      </c>
      <c r="H13" s="16" t="s">
        <v>14</v>
      </c>
      <c r="I13" s="16" t="s">
        <v>15</v>
      </c>
      <c r="J13" s="16" t="s">
        <v>16</v>
      </c>
      <c r="K13" s="16" t="s">
        <v>17</v>
      </c>
      <c r="L13" s="15" t="s">
        <v>13</v>
      </c>
      <c r="M13" s="16" t="s">
        <v>14</v>
      </c>
      <c r="N13" s="16" t="s">
        <v>15</v>
      </c>
      <c r="O13" s="16" t="s">
        <v>16</v>
      </c>
      <c r="P13" s="16" t="s">
        <v>17</v>
      </c>
      <c r="Q13" s="54"/>
      <c r="R13" s="54"/>
      <c r="S13" s="54"/>
      <c r="T13" s="54"/>
      <c r="U13" s="54"/>
      <c r="V13" s="4"/>
      <c r="W13" s="4"/>
    </row>
    <row r="14" spans="1:23" ht="18" customHeight="1" x14ac:dyDescent="0.3">
      <c r="A14" s="17" t="s">
        <v>18</v>
      </c>
      <c r="B14" s="18">
        <f>ROUND(PE_Params!C3*1000*(1+($W$2-1)*0.3)*$W$4*(1+PE_Params!A40*PE_Params!$B$35),0)</f>
        <v>91782</v>
      </c>
      <c r="C14" s="19">
        <f>ROUND(PE_Params!D3*1000*(1+($W$2-1)*0.3)*$W$4*(1+PE_Params!B40*PE_Params!$B$35),0)</f>
        <v>104020</v>
      </c>
      <c r="D14" s="20">
        <f>ROUND(PE_Params!E3*1000*(1+($W$2-1)*0.3)*$W$4*(1+PE_Params!C40*PE_Params!$B$35),0)</f>
        <v>127475</v>
      </c>
      <c r="E14" s="19">
        <f>ROUND(PE_Params!F3*1000*(1+($W$2-1)*0.3)*$W$4*(1+PE_Params!D40*PE_Params!$B$35),0)</f>
        <v>127475</v>
      </c>
      <c r="F14" s="19">
        <f>ROUND(PE_Params!G3*1000*(1+($W$2-1)*0.3)*$W$4*(1+PE_Params!E40*PE_Params!$B$35),0)</f>
        <v>152971</v>
      </c>
      <c r="G14" s="18">
        <f>ROUND(PE_Params!H3*1000*(1+($W$2-1)*0.3)*$W$4*(1+PE_Params!A40*PE_Params!$B$35)*(1+$D$8/100*PE_Params!A46),0)</f>
        <v>101980</v>
      </c>
      <c r="H14" s="19">
        <f>ROUND(PE_Params!I3*1000*(1+($W$2-1)*0.3)*$W$4*(1+PE_Params!B40*PE_Params!$B$35)*(1+$D$8/100*PE_Params!A46),0)</f>
        <v>126456</v>
      </c>
      <c r="I14" s="20">
        <f>ROUND(PE_Params!J3*1000*(1+($W$2-1)*0.3)*$W$4*(1+PE_Params!C40*PE_Params!$B$35)*(1+$D$8/100*PE_Params!A46),0)</f>
        <v>132575</v>
      </c>
      <c r="J14" s="19">
        <f>ROUND(PE_Params!K3*1000*(1+($W$2-1)*0.3)*$W$4*(1+PE_Params!D40*PE_Params!$B$35)*(1+$D$8/100*PE_Params!A46),0)</f>
        <v>165208</v>
      </c>
      <c r="K14" s="19">
        <f>ROUND(PE_Params!L3*1000*(1+($W$2-1)*0.3)*$W$4*(1+PE_Params!E40*PE_Params!$B$35)*(1+$D$8/100*PE_Params!A46),0)</f>
        <v>203961</v>
      </c>
      <c r="L14" s="18">
        <f>ROUND(PE_Params!H3*1000*PE_Params!M3*(1+($W$2-1)*0.3)*$W$4*(1+PE_Params!A40*PE_Params!$B$35)*(1+$D$8/100*PE_Params!A46),0)</f>
        <v>107079</v>
      </c>
      <c r="M14" s="19">
        <f>ROUND(PE_Params!I3*1000*PE_Params!M3*(1+($W$2-1)*0.3)*$W$4*(1+PE_Params!B40*PE_Params!$B$35)*(1+$D$8/100*PE_Params!A46),0)</f>
        <v>132778</v>
      </c>
      <c r="N14" s="20">
        <f>ROUND(PE_Params!J3*1000*PE_Params!M3*(1+($W$2-1)*0.3)*$W$4*(1+PE_Params!C40*PE_Params!$B$35)*(1+$D$8/100*PE_Params!A46),0)</f>
        <v>139203</v>
      </c>
      <c r="O14" s="19">
        <f>ROUND(PE_Params!K3*1000*PE_Params!M3*(1+($W$2-1)*0.3)*$W$4*(1+PE_Params!D40*PE_Params!$B$35)*(1+$D$8/100*PE_Params!A46),0)</f>
        <v>173469</v>
      </c>
      <c r="P14" s="19">
        <f>ROUND(PE_Params!L3*1000*PE_Params!M3*(1+($W$2-1)*0.3)*$W$4*(1+PE_Params!E40*PE_Params!$B$35)*(1+$D$8/100*PE_Params!A46),0)</f>
        <v>214159</v>
      </c>
      <c r="Q14" s="55"/>
      <c r="R14" s="55"/>
      <c r="S14" s="55"/>
      <c r="T14" s="55"/>
      <c r="U14" s="55"/>
      <c r="V14" s="4"/>
      <c r="W14" s="4"/>
    </row>
    <row r="15" spans="1:23" ht="18" customHeight="1" x14ac:dyDescent="0.3">
      <c r="A15" s="21" t="s">
        <v>20</v>
      </c>
      <c r="B15" s="22">
        <f>ROUND(PE_Params!C4*1000*(1+($W$2-1)*0.4)*$W$4*(1+PE_Params!A40*PE_Params!$B$35),0)</f>
        <v>132575</v>
      </c>
      <c r="C15" s="23">
        <f>ROUND(PE_Params!D4*1000*(1+($W$2-1)*0.4)*$W$4*(1+PE_Params!B40*PE_Params!$B$35),0)</f>
        <v>151951</v>
      </c>
      <c r="D15" s="20">
        <f>ROUND(PE_Params!E4*1000*(1+($W$2-1)*0.4)*$W$4*(1+PE_Params!C40*PE_Params!$B$35),0)</f>
        <v>173367</v>
      </c>
      <c r="E15" s="23">
        <f>ROUND(PE_Params!F4*1000*(1+($W$2-1)*0.4)*$W$4*(1+PE_Params!D40*PE_Params!$B$35),0)</f>
        <v>185604</v>
      </c>
      <c r="F15" s="23">
        <f>ROUND(PE_Params!G4*1000*(1+($W$2-1)*0.4)*$W$4*(1+PE_Params!E40*PE_Params!$B$35),0)</f>
        <v>214159</v>
      </c>
      <c r="G15" s="22">
        <f>ROUND(PE_Params!H4*1000*(1+($W$2-1)*0.4)*$W$4*(1+PE_Params!A40*PE_Params!$B$35)*(1+$D$8/100*PE_Params!B46),0)</f>
        <v>152971</v>
      </c>
      <c r="H15" s="23">
        <f>ROUND(PE_Params!I4*1000*(1+($W$2-1)*0.4)*$W$4*(1+PE_Params!B40*PE_Params!$B$35)*(1+$D$8/100*PE_Params!B46),0)</f>
        <v>186624</v>
      </c>
      <c r="I15" s="20">
        <f>ROUND(PE_Params!J4*1000*(1+($W$2-1)*0.4)*$W$4*(1+PE_Params!C40*PE_Params!$B$35)*(1+$D$8/100*PE_Params!B46),0)</f>
        <v>224357</v>
      </c>
      <c r="J15" s="23">
        <f>ROUND(PE_Params!K4*1000*(1+($W$2-1)*0.4)*$W$4*(1+PE_Params!D40*PE_Params!$B$35)*(1+$D$8/100*PE_Params!B46),0)</f>
        <v>266169</v>
      </c>
      <c r="K15" s="23">
        <f>ROUND(PE_Params!L4*1000*(1+($W$2-1)*0.4)*$W$4*(1+PE_Params!E40*PE_Params!$B$35)*(1+$D$8/100*PE_Params!B46),0)</f>
        <v>316139</v>
      </c>
      <c r="L15" s="22">
        <f>ROUND(PE_Params!H4*1000*PE_Params!M4*(1+($W$2-1)*0.4)*$W$4*(1+PE_Params!A40*PE_Params!$B$35)*(1+$D$8/100*PE_Params!B46),0)</f>
        <v>165208</v>
      </c>
      <c r="M15" s="23">
        <f>ROUND(PE_Params!I4*1000*PE_Params!M4*(1+($W$2-1)*0.4)*$W$4*(1+PE_Params!B40*PE_Params!$B$35)*(1+$D$8/100*PE_Params!B46),0)</f>
        <v>201554</v>
      </c>
      <c r="N15" s="20">
        <f>ROUND(PE_Params!J4*1000*PE_Params!M4*(1+($W$2-1)*0.4)*$W$4*(1+PE_Params!C40*PE_Params!$B$35)*(1+$D$8/100*PE_Params!B46),0)</f>
        <v>242305</v>
      </c>
      <c r="O15" s="23">
        <f>ROUND(PE_Params!K4*1000*PE_Params!M4*(1+($W$2-1)*0.4)*$W$4*(1+PE_Params!D40*PE_Params!$B$35)*(1+$D$8/100*PE_Params!B46),0)</f>
        <v>287462</v>
      </c>
      <c r="P15" s="23">
        <f>ROUND(PE_Params!L4*1000*PE_Params!M4*(1+($W$2-1)*0.4)*$W$4*(1+PE_Params!E40*PE_Params!$B$35)*(1+$D$8/100*PE_Params!B46),0)</f>
        <v>341430</v>
      </c>
      <c r="Q15" s="55"/>
      <c r="R15" s="55"/>
      <c r="S15" s="55"/>
      <c r="T15" s="55"/>
      <c r="U15" s="55"/>
      <c r="V15" s="4"/>
      <c r="W15" s="4"/>
    </row>
    <row r="16" spans="1:23" ht="18" customHeight="1" x14ac:dyDescent="0.3">
      <c r="A16" s="36" t="s">
        <v>95</v>
      </c>
      <c r="B16" s="47">
        <f>ROUND(PE_Params!C5*1000*(1+($W$2-1)*0.5)*$W$4*(1+PE_Params!A40*PE_Params!$B$35),0)</f>
        <v>173367</v>
      </c>
      <c r="C16" s="47">
        <f>ROUND(PE_Params!D5*1000*(1+($W$2-1)*0.5)*$W$4*(1+PE_Params!B40*PE_Params!$B$35),0)</f>
        <v>199882</v>
      </c>
      <c r="D16" s="48">
        <f>ROUND(PE_Params!E5*1000*(1+($W$2-1)*0.5)*$W$4*(1+PE_Params!C40*PE_Params!$B$35),0)</f>
        <v>233535</v>
      </c>
      <c r="E16" s="47">
        <f>ROUND(PE_Params!F5*1000*(1+($W$2-1)*0.5)*$W$4*(1+PE_Params!D40*PE_Params!$B$35),0)</f>
        <v>263109</v>
      </c>
      <c r="F16" s="47">
        <f>ROUND(PE_Params!G5*1000*(1+($W$2-1)*0.5)*$W$4*(1+PE_Params!E40*PE_Params!$B$35),0)</f>
        <v>305941</v>
      </c>
      <c r="G16" s="47">
        <f>ROUND(PE_Params!H5*1000*(1+($W$2-1)*0.5)*$W$4*(1+PE_Params!A40*PE_Params!$B$35)*(1+$D$8/100*PE_Params!C46),0)</f>
        <v>214159</v>
      </c>
      <c r="H16" s="47">
        <f>ROUND(PE_Params!I5*1000*(1+($W$2-1)*0.5)*$W$4*(1+PE_Params!B40*PE_Params!$B$35)*(1+$D$8/100*PE_Params!C46),0)</f>
        <v>256991</v>
      </c>
      <c r="I16" s="48">
        <f>ROUND(PE_Params!J5*1000*(1+($W$2-1)*0.5)*$W$4*(1+PE_Params!C40*PE_Params!$B$35)*(1+$D$8/100*PE_Params!C46),0)</f>
        <v>318179</v>
      </c>
      <c r="J16" s="47">
        <f>ROUND(PE_Params!K5*1000*(1+($W$2-1)*0.5)*$W$4*(1+PE_Params!D40*PE_Params!$B$35)*(1+$D$8/100*PE_Params!C46),0)</f>
        <v>373248</v>
      </c>
      <c r="K16" s="47">
        <f>ROUND(PE_Params!L5*1000*(1+($W$2-1)*0.5)*$W$4*(1+PE_Params!E40*PE_Params!$B$35)*(1+$D$8/100*PE_Params!C46),0)</f>
        <v>438516</v>
      </c>
      <c r="L16" s="47">
        <f>ROUND(PE_Params!H5*1000*PE_Params!M5*(1+($W$2-1)*0.5)*$W$4*(1+PE_Params!A40*PE_Params!$B$35)*(1+$D$8/100*PE_Params!C46),0)</f>
        <v>239858</v>
      </c>
      <c r="M16" s="47">
        <f>ROUND(PE_Params!I5*1000*PE_Params!M5*(1+($W$2-1)*0.5)*$W$4*(1+PE_Params!B40*PE_Params!$B$35)*(1+$D$8/100*PE_Params!C46),0)</f>
        <v>287829</v>
      </c>
      <c r="N16" s="48">
        <f>ROUND(PE_Params!J5*1000*PE_Params!M5*(1+($W$2-1)*0.5)*$W$4*(1+PE_Params!C40*PE_Params!$B$35)*(1+$D$8/100*PE_Params!C46),0)</f>
        <v>356360</v>
      </c>
      <c r="O16" s="47">
        <f>ROUND(PE_Params!K5*1000*PE_Params!M5*(1+($W$2-1)*0.5)*$W$4*(1+PE_Params!D40*PE_Params!$B$35)*(1+$D$8/100*PE_Params!C46),0)</f>
        <v>418038</v>
      </c>
      <c r="P16" s="47">
        <f>ROUND(PE_Params!L5*1000*PE_Params!M5*(1+($W$2-1)*0.5)*$W$4*(1+PE_Params!E40*PE_Params!$B$35)*(1+$D$8/100*PE_Params!C46),0)</f>
        <v>491138</v>
      </c>
      <c r="Q16" s="51"/>
      <c r="R16" s="51"/>
      <c r="S16" s="51"/>
      <c r="T16" s="51"/>
      <c r="U16" s="51"/>
      <c r="V16" s="4"/>
      <c r="W16" s="4"/>
    </row>
    <row r="17" spans="1:23" ht="18" customHeight="1" x14ac:dyDescent="0.3">
      <c r="A17" s="36" t="s">
        <v>81</v>
      </c>
      <c r="B17" s="47">
        <f>ROUND(PE_Params!C6*1000*(1+($W$2-1)*0.6)*$W$4*(1+PE_Params!A40*PE_Params!$B$35),0)</f>
        <v>203961</v>
      </c>
      <c r="C17" s="47">
        <f>ROUND(PE_Params!D6*1000*(1+($W$2-1)*0.6)*$W$4*(1+PE_Params!B40*PE_Params!$B$35),0)</f>
        <v>229456</v>
      </c>
      <c r="D17" s="48">
        <f>ROUND(PE_Params!E6*1000*(1+($W$2-1)*0.6)*$W$4*(1+PE_Params!C40*PE_Params!$B$35),0)</f>
        <v>297783</v>
      </c>
      <c r="E17" s="47">
        <f>ROUND(PE_Params!F6*1000*(1+($W$2-1)*0.6)*$W$4*(1+PE_Params!D40*PE_Params!$B$35),0)</f>
        <v>350813</v>
      </c>
      <c r="F17" s="47">
        <f>ROUND(PE_Params!G6*1000*(1+($W$2-1)*0.6)*$W$4*(1+PE_Params!E40*PE_Params!$B$35),0)</f>
        <v>407922</v>
      </c>
      <c r="G17" s="47">
        <f>ROUND(PE_Params!H6*1000*(1+($W$2-1)*0.6)*$W$4*(1+PE_Params!A40*PE_Params!$B$35)*(1+$D$8/100*PE_Params!D46),0)</f>
        <v>275347</v>
      </c>
      <c r="H17" s="47">
        <f>ROUND(PE_Params!I6*1000*(1+($W$2-1)*0.6)*$W$4*(1+PE_Params!B40*PE_Params!$B$35)*(1+$D$8/100*PE_Params!D46),0)</f>
        <v>336535</v>
      </c>
      <c r="I17" s="48">
        <f>ROUND(PE_Params!J6*1000*(1+($W$2-1)*0.6)*$W$4*(1+PE_Params!C40*PE_Params!$B$35)*(1+$D$8/100*PE_Params!D46),0)</f>
        <v>403842</v>
      </c>
      <c r="J17" s="47">
        <f>ROUND(PE_Params!K6*1000*(1+($W$2-1)*0.6)*$W$4*(1+PE_Params!D40*PE_Params!$B$35)*(1+$D$8/100*PE_Params!D46),0)</f>
        <v>483387</v>
      </c>
      <c r="K17" s="47">
        <f>ROUND(PE_Params!L6*1000*(1+($W$2-1)*0.6)*$W$4*(1+PE_Params!E40*PE_Params!$B$35)*(1+$D$8/100*PE_Params!D46),0)</f>
        <v>591486</v>
      </c>
      <c r="L17" s="47">
        <f>ROUND(PE_Params!H6*1000*PE_Params!M6*(1+($W$2-1)*0.6)*$W$4*(1+PE_Params!A40*PE_Params!$B$35)*(1+$D$8/100*PE_Params!D46),0)</f>
        <v>385486</v>
      </c>
      <c r="M17" s="47">
        <f>ROUND(PE_Params!I6*1000*PE_Params!M6*(1+($W$2-1)*0.6)*$W$4*(1+PE_Params!B40*PE_Params!$B$35)*(1+$D$8/100*PE_Params!D46),0)</f>
        <v>471149</v>
      </c>
      <c r="N17" s="48">
        <f>ROUND(PE_Params!J6*1000*PE_Params!M6*(1+($W$2-1)*0.6)*$W$4*(1+PE_Params!C40*PE_Params!$B$35)*(1+$D$8/100*PE_Params!D46),0)</f>
        <v>565379</v>
      </c>
      <c r="O17" s="47">
        <f>ROUND(PE_Params!K6*1000*PE_Params!M6*(1+($W$2-1)*0.6)*$W$4*(1+PE_Params!D40*PE_Params!$B$35)*(1+$D$8/100*PE_Params!D46),0)</f>
        <v>676742</v>
      </c>
      <c r="P17" s="47">
        <f>ROUND(PE_Params!L6*1000*PE_Params!M6*(1+($W$2-1)*0.6)*$W$4*(1+PE_Params!E40*PE_Params!$B$35)*(1+$D$8/100*PE_Params!D46),0)</f>
        <v>828081</v>
      </c>
      <c r="Q17" s="51"/>
      <c r="R17" s="51"/>
      <c r="S17" s="51"/>
      <c r="T17" s="51"/>
      <c r="U17" s="51"/>
      <c r="V17" s="4"/>
      <c r="W17" s="4"/>
    </row>
    <row r="18" spans="1:23" ht="18" customHeight="1" x14ac:dyDescent="0.3">
      <c r="A18" s="36" t="s">
        <v>96</v>
      </c>
      <c r="B18" s="47">
        <f>ROUND(PE_Params!C7*1000*(1+($W$2-1)*0.7)*$W$4*(1+PE_Params!A40*PE_Params!$B$35),0)</f>
        <v>254951</v>
      </c>
      <c r="C18" s="47">
        <f>ROUND(PE_Params!D7*1000*(1+($W$2-1)*0.7)*$W$4*(1+PE_Params!B40*PE_Params!$B$35),0)</f>
        <v>290644</v>
      </c>
      <c r="D18" s="48">
        <f>ROUND(PE_Params!E7*1000*(1+($W$2-1)*0.7)*$W$4*(1+PE_Params!C40*PE_Params!$B$35),0)</f>
        <v>331436</v>
      </c>
      <c r="E18" s="47">
        <f>ROUND(PE_Params!F7*1000*(1+($W$2-1)*0.7)*$W$4*(1+PE_Params!D40*PE_Params!$B$35),0)</f>
        <v>515001</v>
      </c>
      <c r="F18" s="47">
        <f>ROUND(PE_Params!G7*1000*(1+($W$2-1)*0.7)*$W$4*(1+PE_Params!E40*PE_Params!$B$35),0)</f>
        <v>662873</v>
      </c>
      <c r="G18" s="47">
        <f>ROUND(PE_Params!H7*1000*(1+($W$2-1)*0.7)*$W$4*(1+PE_Params!A40*PE_Params!$B$35)*(1+$D$8/100*PE_Params!E46),0)</f>
        <v>305941</v>
      </c>
      <c r="H18" s="47">
        <f>ROUND(PE_Params!I7*1000*(1+($W$2-1)*0.7)*$W$4*(1+PE_Params!B40*PE_Params!$B$35)*(1+$D$8/100*PE_Params!E46),0)</f>
        <v>396704</v>
      </c>
      <c r="I18" s="48">
        <f>ROUND(PE_Params!J7*1000*(1+($W$2-1)*0.7)*$W$4*(1+PE_Params!C40*PE_Params!$B$35)*(1+$D$8/100*PE_Params!E46),0)</f>
        <v>523159</v>
      </c>
      <c r="J18" s="47">
        <f>ROUND(PE_Params!K7*1000*(1+($W$2-1)*0.7)*$W$4*(1+PE_Params!D40*PE_Params!$B$35)*(1+$D$8/100*PE_Params!E46),0)</f>
        <v>662873</v>
      </c>
      <c r="K18" s="47">
        <f>ROUND(PE_Params!L7*1000*(1+($W$2-1)*0.7)*$W$4*(1+PE_Params!E40*PE_Params!$B$35)*(1+$D$8/100*PE_Params!E46),0)</f>
        <v>866833</v>
      </c>
      <c r="L18" s="47">
        <f>ROUND(PE_Params!H7*1000*PE_Params!M7*(1+($W$2-1)*0.7)*$W$4*(1+PE_Params!A40*PE_Params!$B$35)*(1+$D$8/100*PE_Params!E46),0)</f>
        <v>535397</v>
      </c>
      <c r="M18" s="47">
        <f>ROUND(PE_Params!I7*1000*PE_Params!M7*(1+($W$2-1)*0.7)*$W$4*(1+PE_Params!B40*PE_Params!$B$35)*(1+$D$8/100*PE_Params!E46),0)</f>
        <v>694232</v>
      </c>
      <c r="N18" s="48">
        <f>ROUND(PE_Params!J7*1000*PE_Params!M7*(1+($W$2-1)*0.7)*$W$4*(1+PE_Params!C40*PE_Params!$B$35)*(1+$D$8/100*PE_Params!E46),0)</f>
        <v>915529</v>
      </c>
      <c r="O18" s="47">
        <f>ROUND(PE_Params!K7*1000*PE_Params!M7*(1+($W$2-1)*0.7)*$W$4*(1+PE_Params!D40*PE_Params!$B$35)*(1+$D$8/100*PE_Params!E46),0)</f>
        <v>1160027</v>
      </c>
      <c r="P18" s="47">
        <f>ROUND(PE_Params!L7*1000*PE_Params!M7*(1+($W$2-1)*0.7)*$W$4*(1+PE_Params!E40*PE_Params!$B$35)*(1+$D$8/100*PE_Params!E46),0)</f>
        <v>1516958</v>
      </c>
      <c r="Q18" s="51"/>
      <c r="R18" s="51"/>
      <c r="S18" s="51"/>
      <c r="T18" s="51"/>
      <c r="U18" s="51"/>
      <c r="V18" s="4"/>
      <c r="W18" s="4"/>
    </row>
    <row r="19" spans="1:23" ht="18" customHeight="1" x14ac:dyDescent="0.3">
      <c r="A19" s="36" t="s">
        <v>97</v>
      </c>
      <c r="B19" s="47">
        <f>ROUND(PE_Params!C8*1000*(1+($W$2-1)*0.8)*$W$4*(1+PE_Params!A40*PE_Params!$B$35),0)</f>
        <v>356931</v>
      </c>
      <c r="C19" s="47">
        <f>ROUND(PE_Params!D8*1000*(1+($W$2-1)*0.8)*$W$4*(1+PE_Params!B40*PE_Params!$B$35),0)</f>
        <v>407922</v>
      </c>
      <c r="D19" s="48">
        <f>ROUND(PE_Params!E8*1000*(1+($W$2-1)*0.8)*$W$4*(1+PE_Params!C40*PE_Params!$B$35),0)</f>
        <v>509902</v>
      </c>
      <c r="E19" s="47">
        <f>ROUND(PE_Params!F8*1000*(1+($W$2-1)*0.8)*$W$4*(1+PE_Params!D40*PE_Params!$B$35),0)</f>
        <v>713863</v>
      </c>
      <c r="F19" s="47">
        <f>ROUND(PE_Params!G8*1000*(1+($W$2-1)*0.8)*$W$4*(1+PE_Params!E40*PE_Params!$B$35),0)</f>
        <v>917824</v>
      </c>
      <c r="G19" s="47">
        <f>ROUND(PE_Params!H8*1000*(1+($W$2-1)*0.8)*$W$4*(1+PE_Params!A40*PE_Params!$B$35)*(1+$D$8/100*PE_Params!F46),0)</f>
        <v>407922</v>
      </c>
      <c r="H19" s="47">
        <f>ROUND(PE_Params!I8*1000*(1+($W$2-1)*0.8)*$W$4*(1+PE_Params!B40*PE_Params!$B$35)*(1+$D$8/100*PE_Params!F46),0)</f>
        <v>550694</v>
      </c>
      <c r="I19" s="48">
        <f>ROUND(PE_Params!J8*1000*(1+($W$2-1)*0.8)*$W$4*(1+PE_Params!C40*PE_Params!$B$35)*(1+$D$8/100*PE_Params!F46),0)</f>
        <v>713863</v>
      </c>
      <c r="J19" s="47">
        <f>ROUND(PE_Params!K8*1000*(1+($W$2-1)*0.8)*$W$4*(1+PE_Params!D40*PE_Params!$B$35)*(1+$D$8/100*PE_Params!F46),0)</f>
        <v>877031</v>
      </c>
      <c r="K19" s="47">
        <f>ROUND(PE_Params!L8*1000*(1+($W$2-1)*0.8)*$W$4*(1+PE_Params!E40*PE_Params!$B$35)*(1+$D$8/100*PE_Params!F46),0)</f>
        <v>1223765</v>
      </c>
      <c r="L19" s="47">
        <f>ROUND(PE_Params!H8*1000*PE_Params!M8*(1+($W$2-1)*0.8)*$W$4*(1+PE_Params!A40*PE_Params!$B$35)*(1+$D$8/100*PE_Params!F46),0)</f>
        <v>1162576</v>
      </c>
      <c r="M19" s="47">
        <f>ROUND(PE_Params!I8*1000*PE_Params!M8*(1+($W$2-1)*0.8)*$W$4*(1+PE_Params!B40*PE_Params!$B$35)*(1+$D$8/100*PE_Params!F46),0)</f>
        <v>1569478</v>
      </c>
      <c r="N19" s="48">
        <f>ROUND(PE_Params!J8*1000*PE_Params!M8*(1+($W$2-1)*0.8)*$W$4*(1+PE_Params!C40*PE_Params!$B$35)*(1+$D$8/100*PE_Params!F46),0)</f>
        <v>2034509</v>
      </c>
      <c r="O19" s="47">
        <f>ROUND(PE_Params!K8*1000*PE_Params!M8*(1+($W$2-1)*0.8)*$W$4*(1+PE_Params!D40*PE_Params!$B$35)*(1+$D$8/100*PE_Params!F46),0)</f>
        <v>2499539</v>
      </c>
      <c r="P19" s="47">
        <f>ROUND(PE_Params!L8*1000*PE_Params!M8*(1+($W$2-1)*0.8)*$W$4*(1+PE_Params!E40*PE_Params!$B$35)*(1+$D$8/100*PE_Params!F46),0)</f>
        <v>3487729</v>
      </c>
      <c r="Q19" s="51"/>
      <c r="R19" s="51"/>
      <c r="S19" s="51"/>
      <c r="T19" s="51"/>
      <c r="U19" s="51"/>
      <c r="V19" s="4"/>
      <c r="W19" s="4"/>
    </row>
    <row r="20" spans="1:23" ht="18" customHeight="1" x14ac:dyDescent="0.3">
      <c r="A20" s="36" t="s">
        <v>98</v>
      </c>
      <c r="B20" s="47">
        <f>ROUND(PE_Params!C9*1000*(1+($W$2-1)*0.9)*$W$4*(1+PE_Params!A40*PE_Params!$B$35),0)</f>
        <v>407922</v>
      </c>
      <c r="C20" s="47">
        <f>ROUND(PE_Params!D9*1000*(1+($W$2-1)*0.9)*$W$4*(1+PE_Params!B40*PE_Params!$B$35),0)</f>
        <v>509902</v>
      </c>
      <c r="D20" s="48">
        <f>ROUND(PE_Params!E9*1000*(1+($W$2-1)*0.9)*$W$4*(1+PE_Params!C40*PE_Params!$B$35),0)</f>
        <v>713863</v>
      </c>
      <c r="E20" s="47">
        <f>ROUND(PE_Params!F9*1000*(1+($W$2-1)*0.9)*$W$4*(1+PE_Params!D40*PE_Params!$B$35),0)</f>
        <v>1070794</v>
      </c>
      <c r="F20" s="47">
        <f>ROUND(PE_Params!G9*1000*(1+($W$2-1)*0.9)*$W$4*(1+PE_Params!E40*PE_Params!$B$35),0)</f>
        <v>1427725</v>
      </c>
      <c r="G20" s="47">
        <f>ROUND(PE_Params!H9*1000*(1+($W$2-1)*0.9)*$W$4*(1+PE_Params!A40*PE_Params!$B$35)*(1+$D$8/100*PE_Params!G46),0)</f>
        <v>560892</v>
      </c>
      <c r="H20" s="47">
        <f>ROUND(PE_Params!I9*1000*(1+($W$2-1)*0.9)*$W$4*(1+PE_Params!B40*PE_Params!$B$35)*(1+$D$8/100*PE_Params!G46),0)</f>
        <v>767912</v>
      </c>
      <c r="I20" s="48">
        <f>ROUND(PE_Params!J9*1000*(1+($W$2-1)*0.9)*$W$4*(1+PE_Params!C40*PE_Params!$B$35)*(1+$D$8/100*PE_Params!G46),0)</f>
        <v>1060596</v>
      </c>
      <c r="J20" s="47">
        <f>ROUND(PE_Params!K9*1000*(1+($W$2-1)*0.9)*$W$4*(1+PE_Params!D40*PE_Params!$B$35)*(1+$D$8/100*PE_Params!G46),0)</f>
        <v>1600072</v>
      </c>
      <c r="K20" s="47">
        <f>ROUND(PE_Params!L9*1000*(1+($W$2-1)*0.9)*$W$4*(1+PE_Params!E40*PE_Params!$B$35)*(1+$D$8/100*PE_Params!G46),0)</f>
        <v>2243569</v>
      </c>
      <c r="L20" s="47">
        <f>ROUND(PE_Params!H9*1000*PE_Params!M9*(1+($W$2-1)*0.9)*$W$4*(1+PE_Params!A40*PE_Params!$B$35)*(1+$D$8/100*PE_Params!G46),0)</f>
        <v>1682676</v>
      </c>
      <c r="M20" s="47">
        <f>ROUND(PE_Params!I9*1000*PE_Params!M9*(1+($W$2-1)*0.9)*$W$4*(1+PE_Params!B40*PE_Params!$B$35)*(1+$D$8/100*PE_Params!G46),0)</f>
        <v>2303737</v>
      </c>
      <c r="N20" s="48">
        <f>ROUND(PE_Params!J9*1000*PE_Params!M9*(1+($W$2-1)*0.9)*$W$4*(1+PE_Params!C40*PE_Params!$B$35)*(1+$D$8/100*PE_Params!G46),0)</f>
        <v>3181788</v>
      </c>
      <c r="O20" s="47">
        <f>ROUND(PE_Params!K9*1000*PE_Params!M9*(1+($W$2-1)*0.9)*$W$4*(1+PE_Params!D40*PE_Params!$B$35)*(1+$D$8/100*PE_Params!G46),0)</f>
        <v>4800217</v>
      </c>
      <c r="P20" s="47">
        <f>ROUND(PE_Params!L9*1000*PE_Params!M9*(1+($W$2-1)*0.9)*$W$4*(1+PE_Params!E40*PE_Params!$B$35)*(1+$D$8/100*PE_Params!G46),0)</f>
        <v>6730706</v>
      </c>
      <c r="Q20" s="51"/>
      <c r="R20" s="51"/>
      <c r="S20" s="51"/>
      <c r="T20" s="51"/>
      <c r="U20" s="51"/>
      <c r="V20" s="4"/>
      <c r="W20" s="4"/>
    </row>
    <row r="21" spans="1:23" ht="18" customHeight="1" x14ac:dyDescent="0.3">
      <c r="A21" s="36" t="s">
        <v>99</v>
      </c>
      <c r="B21" s="47">
        <f>ROUND(PE_Params!C10*1000*(1+($W$2-1)*1)*$W$4*(1+PE_Params!A40*PE_Params!$B$35),0)</f>
        <v>611882</v>
      </c>
      <c r="C21" s="47">
        <f>ROUND(PE_Params!D10*1000*(1+($W$2-1)*1)*$W$4*(1+PE_Params!B40*PE_Params!$B$35),0)</f>
        <v>790348</v>
      </c>
      <c r="D21" s="48">
        <f>ROUND(PE_Params!E10*1000*(1+($W$2-1)*1)*$W$4*(1+PE_Params!C40*PE_Params!$B$35),0)</f>
        <v>1121784</v>
      </c>
      <c r="E21" s="47">
        <f>ROUND(PE_Params!F10*1000*(1+($W$2-1)*1)*$W$4*(1+PE_Params!D40*PE_Params!$B$35),0)</f>
        <v>1759162</v>
      </c>
      <c r="F21" s="47">
        <f>ROUND(PE_Params!G10*1000*(1+($W$2-1)*1)*$W$4*(1+PE_Params!E40*PE_Params!$B$35),0)</f>
        <v>2549510</v>
      </c>
      <c r="G21" s="47">
        <f>ROUND(PE_Params!H10*1000*(1+($W$2-1)*1)*$W$4*(1+PE_Params!A40*PE_Params!$B$35)*(1+$D$8/100*PE_Params!H46),0)</f>
        <v>815843</v>
      </c>
      <c r="H21" s="47">
        <f>ROUND(PE_Params!I10*1000*(1+($W$2-1)*1)*$W$4*(1+PE_Params!B40*PE_Params!$B$35)*(1+$D$8/100*PE_Params!H46),0)</f>
        <v>1085071</v>
      </c>
      <c r="I21" s="48">
        <f>ROUND(PE_Params!J10*1000*(1+($W$2-1)*1)*$W$4*(1+PE_Params!C40*PE_Params!$B$35)*(1+$D$8/100*PE_Params!H46),0)</f>
        <v>1631686</v>
      </c>
      <c r="J21" s="47">
        <f>ROUND(PE_Params!K10*1000*(1+($W$2-1)*1)*$W$4*(1+PE_Params!D40*PE_Params!$B$35)*(1+$D$8/100*PE_Params!H46),0)</f>
        <v>3465294</v>
      </c>
      <c r="K21" s="47">
        <f>ROUND(PE_Params!L10*1000*(1+($W$2-1)*1)*$W$4*(1+PE_Params!E40*PE_Params!$B$35)*(1+$D$8/100*PE_Params!H46),0)</f>
        <v>5099020</v>
      </c>
      <c r="L21" s="47">
        <f>ROUND(PE_Params!H10*1000*PE_Params!M10*(1+($W$2-1)*1)*$W$4*(1+PE_Params!A40*PE_Params!$B$35)*(1+$D$8/100*PE_Params!H46),0)</f>
        <v>4079216</v>
      </c>
      <c r="M21" s="47">
        <f>ROUND(PE_Params!I10*1000*PE_Params!M10*(1+($W$2-1)*1)*$W$4*(1+PE_Params!B40*PE_Params!$B$35)*(1+$D$8/100*PE_Params!H46),0)</f>
        <v>5425357</v>
      </c>
      <c r="N21" s="48">
        <f>ROUND(PE_Params!J10*1000*PE_Params!M10*(1+($W$2-1)*1)*$W$4*(1+PE_Params!C40*PE_Params!$B$35)*(1+$D$8/100*PE_Params!H46),0)</f>
        <v>8158431</v>
      </c>
      <c r="O21" s="47">
        <f>ROUND(PE_Params!K10*1000*PE_Params!M10*(1+($W$2-1)*1)*$W$4*(1+PE_Params!D40*PE_Params!$B$35)*(1+$D$8/100*PE_Params!H46),0)</f>
        <v>17326468</v>
      </c>
      <c r="P21" s="47">
        <f>ROUND(PE_Params!L10*1000*PE_Params!M10*(1+($W$2-1)*1)*$W$4*(1+PE_Params!E40*PE_Params!$B$35)*(1+$D$8/100*PE_Params!H46),0)</f>
        <v>25495098</v>
      </c>
      <c r="Q21" s="51"/>
      <c r="R21" s="51"/>
      <c r="S21" s="51"/>
      <c r="T21" s="51"/>
      <c r="U21" s="51"/>
      <c r="V21" s="4"/>
      <c r="W21" s="4"/>
    </row>
    <row r="22" spans="1:23" ht="16.05" customHeight="1" x14ac:dyDescent="0.3">
      <c r="A22" s="56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51"/>
      <c r="R22" s="51"/>
      <c r="S22" s="51"/>
      <c r="T22" s="51"/>
      <c r="U22" s="51"/>
      <c r="V22" s="4"/>
      <c r="W22" s="4"/>
    </row>
    <row r="23" spans="1:23" ht="7.9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51"/>
      <c r="R23" s="51"/>
      <c r="S23" s="51"/>
      <c r="T23" s="51"/>
      <c r="U23" s="51"/>
      <c r="V23" s="4"/>
      <c r="W23" s="4"/>
    </row>
    <row r="24" spans="1:23" ht="22.05" customHeight="1" x14ac:dyDescent="0.3">
      <c r="A24" s="116" t="str">
        <f>"Operations &amp; Fund Administration (C"&amp;A8&amp;")"</f>
        <v>Operations &amp; Fund Administration (C3)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50"/>
      <c r="R24" s="50"/>
      <c r="S24" s="50"/>
      <c r="T24" s="50"/>
      <c r="U24" s="50"/>
      <c r="V24" s="4"/>
      <c r="W24" s="4"/>
    </row>
    <row r="25" spans="1:23" ht="19.95" customHeight="1" x14ac:dyDescent="0.3">
      <c r="A25" s="13"/>
      <c r="B25" s="97" t="s">
        <v>9</v>
      </c>
      <c r="C25" s="98"/>
      <c r="D25" s="98"/>
      <c r="E25" s="98"/>
      <c r="F25" s="98"/>
      <c r="G25" s="102" t="s">
        <v>10</v>
      </c>
      <c r="H25" s="98"/>
      <c r="I25" s="98"/>
      <c r="J25" s="98"/>
      <c r="K25" s="98"/>
      <c r="L25" s="118" t="s">
        <v>11</v>
      </c>
      <c r="M25" s="98"/>
      <c r="N25" s="98"/>
      <c r="O25" s="98"/>
      <c r="P25" s="98"/>
      <c r="Q25" s="53"/>
      <c r="R25" s="53"/>
      <c r="S25" s="53"/>
      <c r="T25" s="53"/>
      <c r="U25" s="53"/>
      <c r="V25" s="4"/>
      <c r="W25" s="4"/>
    </row>
    <row r="26" spans="1:23" ht="19.95" customHeight="1" x14ac:dyDescent="0.3">
      <c r="A26" s="14" t="s">
        <v>12</v>
      </c>
      <c r="B26" s="15" t="s">
        <v>13</v>
      </c>
      <c r="C26" s="16" t="s">
        <v>14</v>
      </c>
      <c r="D26" s="16" t="s">
        <v>15</v>
      </c>
      <c r="E26" s="16" t="s">
        <v>16</v>
      </c>
      <c r="F26" s="16" t="s">
        <v>17</v>
      </c>
      <c r="G26" s="15" t="s">
        <v>13</v>
      </c>
      <c r="H26" s="16" t="s">
        <v>14</v>
      </c>
      <c r="I26" s="16" t="s">
        <v>15</v>
      </c>
      <c r="J26" s="16" t="s">
        <v>16</v>
      </c>
      <c r="K26" s="16" t="s">
        <v>17</v>
      </c>
      <c r="L26" s="66" t="s">
        <v>13</v>
      </c>
      <c r="M26" s="67" t="s">
        <v>14</v>
      </c>
      <c r="N26" s="67" t="s">
        <v>15</v>
      </c>
      <c r="O26" s="67" t="s">
        <v>16</v>
      </c>
      <c r="P26" s="67" t="s">
        <v>17</v>
      </c>
      <c r="Q26" s="54"/>
      <c r="R26" s="54"/>
      <c r="S26" s="54"/>
      <c r="T26" s="54"/>
      <c r="U26" s="54"/>
      <c r="V26" s="4"/>
      <c r="W26" s="4"/>
    </row>
    <row r="27" spans="1:23" ht="18" customHeight="1" x14ac:dyDescent="0.3">
      <c r="A27" s="17" t="s">
        <v>18</v>
      </c>
      <c r="B27" s="18">
        <f>ROUND(PE_Params!C15*1000*(1+($W$2-1)*0.3)*$W$4*(1+PE_Params!A40*PE_Params!$B$35),0)</f>
        <v>61188</v>
      </c>
      <c r="C27" s="19">
        <f>ROUND(PE_Params!D15*1000*(1+($W$2-1)*0.3)*$W$4*(1+PE_Params!B40*PE_Params!$B$35),0)</f>
        <v>73426</v>
      </c>
      <c r="D27" s="20">
        <f>ROUND(PE_Params!E15*1000*(1+($W$2-1)*0.3)*$W$4*(1+PE_Params!C40*PE_Params!$B$35),0)</f>
        <v>86683</v>
      </c>
      <c r="E27" s="19">
        <f>ROUND(PE_Params!F15*1000*(1+($W$2-1)*0.3)*$W$4*(1+PE_Params!D40*PE_Params!$B$35),0)</f>
        <v>101980</v>
      </c>
      <c r="F27" s="19">
        <f>ROUND(PE_Params!G15*1000*(1+($W$2-1)*0.3)*$W$4*(1+PE_Params!E40*PE_Params!$B$35),0)</f>
        <v>122376</v>
      </c>
      <c r="G27" s="18">
        <f>ROUND(PE_Params!H15*1000*(1+($W$2-1)*0.3)*$W$4*(1+PE_Params!A40*PE_Params!$B$35)*(1+$D$8/100*PE_Params!A46),0)</f>
        <v>66287</v>
      </c>
      <c r="H27" s="19">
        <f>ROUND(PE_Params!I15*1000*(1+($W$2-1)*0.3)*$W$4*(1+PE_Params!B40*PE_Params!$B$35)*(1+$D$8/100*PE_Params!A46),0)</f>
        <v>79545</v>
      </c>
      <c r="I27" s="20">
        <f>ROUND(PE_Params!J15*1000*(1+($W$2-1)*0.3)*$W$4*(1+PE_Params!C40*PE_Params!$B$35)*(1+$D$8/100*PE_Params!A46),0)</f>
        <v>96881</v>
      </c>
      <c r="J27" s="19">
        <f>ROUND(PE_Params!K15*1000*(1+($W$2-1)*0.3)*$W$4*(1+PE_Params!D40*PE_Params!$B$35)*(1+$D$8/100*PE_Params!A46),0)</f>
        <v>114218</v>
      </c>
      <c r="K27" s="19">
        <f>ROUND(PE_Params!L15*1000*(1+($W$2-1)*0.3)*$W$4*(1+PE_Params!E40*PE_Params!$B$35)*(1+$D$8/100*PE_Params!A46),0)</f>
        <v>137674</v>
      </c>
      <c r="L27" s="68">
        <f>ROUND(G27*(1+$D$8/100*PE_Params!A46),0)</f>
        <v>66287</v>
      </c>
      <c r="M27" s="68">
        <f>ROUND(H27*(1+$D$8/100*PE_Params!A46),0)</f>
        <v>79545</v>
      </c>
      <c r="N27" s="69">
        <f>ROUND(I27*(1+$D$8/100*PE_Params!A46),0)</f>
        <v>96881</v>
      </c>
      <c r="O27" s="68">
        <f>ROUND(J27*(1+$D$8/100*PE_Params!A46),0)</f>
        <v>114218</v>
      </c>
      <c r="P27" s="68">
        <f>ROUND(K27*(1+$D$8/100*PE_Params!A46),0)</f>
        <v>137674</v>
      </c>
      <c r="Q27" s="55"/>
      <c r="R27" s="55"/>
      <c r="S27" s="55"/>
      <c r="T27" s="55"/>
      <c r="U27" s="55"/>
      <c r="V27" s="4"/>
      <c r="W27" s="4"/>
    </row>
    <row r="28" spans="1:23" ht="18" customHeight="1" x14ac:dyDescent="0.3">
      <c r="A28" s="21" t="s">
        <v>19</v>
      </c>
      <c r="B28" s="22">
        <f>ROUND(PE_Params!C16*1000*(1+($W$2-1)*0.4)*$W$4*(1+PE_Params!A40*PE_Params!$B$35),0)</f>
        <v>76485</v>
      </c>
      <c r="C28" s="23">
        <f>ROUND(PE_Params!D16*1000*(1+($W$2-1)*0.4)*$W$4*(1+PE_Params!B40*PE_Params!$B$35),0)</f>
        <v>89743</v>
      </c>
      <c r="D28" s="20">
        <f>ROUND(PE_Params!E16*1000*(1+($W$2-1)*0.4)*$W$4*(1+PE_Params!C40*PE_Params!$B$35),0)</f>
        <v>101980</v>
      </c>
      <c r="E28" s="23">
        <f>ROUND(PE_Params!F16*1000*(1+($W$2-1)*0.4)*$W$4*(1+PE_Params!D40*PE_Params!$B$35),0)</f>
        <v>122376</v>
      </c>
      <c r="F28" s="23">
        <f>ROUND(PE_Params!G16*1000*(1+($W$2-1)*0.4)*$W$4*(1+PE_Params!E40*PE_Params!$B$35),0)</f>
        <v>147872</v>
      </c>
      <c r="G28" s="22">
        <f>ROUND(PE_Params!H16*1000*(1+($W$2-1)*0.4)*$W$4*(1+PE_Params!A40*PE_Params!$B$35)*(1+$D$8/100*PE_Params!B46),0)</f>
        <v>81584</v>
      </c>
      <c r="H28" s="23">
        <f>ROUND(PE_Params!I16*1000*(1+($W$2-1)*0.4)*$W$4*(1+PE_Params!B40*PE_Params!$B$35)*(1+$D$8/100*PE_Params!B46),0)</f>
        <v>96881</v>
      </c>
      <c r="I28" s="20">
        <f>ROUND(PE_Params!J16*1000*(1+($W$2-1)*0.4)*$W$4*(1+PE_Params!C40*PE_Params!$B$35)*(1+$D$8/100*PE_Params!B46),0)</f>
        <v>114218</v>
      </c>
      <c r="J28" s="23">
        <f>ROUND(PE_Params!K16*1000*(1+($W$2-1)*0.4)*$W$4*(1+PE_Params!D40*PE_Params!$B$35)*(1+$D$8/100*PE_Params!B46),0)</f>
        <v>137674</v>
      </c>
      <c r="K28" s="23">
        <f>ROUND(PE_Params!L16*1000*(1+($W$2-1)*0.4)*$W$4*(1+PE_Params!E40*PE_Params!$B$35)*(1+$D$8/100*PE_Params!B46),0)</f>
        <v>168268</v>
      </c>
      <c r="L28" s="70">
        <f>ROUND(G28*(1+$D$8/100*PE_Params!B46),0)</f>
        <v>81584</v>
      </c>
      <c r="M28" s="70">
        <f>ROUND(H28*(1+$D$8/100*PE_Params!B46),0)</f>
        <v>96881</v>
      </c>
      <c r="N28" s="69">
        <f>ROUND(I28*(1+$D$8/100*PE_Params!B46),0)</f>
        <v>114218</v>
      </c>
      <c r="O28" s="70">
        <f>ROUND(J28*(1+$D$8/100*PE_Params!B46),0)</f>
        <v>137674</v>
      </c>
      <c r="P28" s="70">
        <f>ROUND(K28*(1+$D$8/100*PE_Params!B46),0)</f>
        <v>168268</v>
      </c>
      <c r="Q28" s="55"/>
      <c r="R28" s="55"/>
      <c r="S28" s="55"/>
      <c r="T28" s="55"/>
      <c r="U28" s="55"/>
      <c r="V28" s="4"/>
      <c r="W28" s="4"/>
    </row>
    <row r="29" spans="1:23" ht="18" customHeight="1" x14ac:dyDescent="0.3">
      <c r="A29" s="17" t="s">
        <v>20</v>
      </c>
      <c r="B29" s="18">
        <f>ROUND(PE_Params!C17*1000*(1+($W$2-1)*0.5)*$W$4*(1+PE_Params!A40*PE_Params!$B$35),0)</f>
        <v>86683</v>
      </c>
      <c r="C29" s="19">
        <f>ROUND(PE_Params!D17*1000*(1+($W$2-1)*0.5)*$W$4*(1+PE_Params!B40*PE_Params!$B$35),0)</f>
        <v>101980</v>
      </c>
      <c r="D29" s="20">
        <f>ROUND(PE_Params!E17*1000*(1+($W$2-1)*0.5)*$W$4*(1+PE_Params!C40*PE_Params!$B$35),0)</f>
        <v>122376</v>
      </c>
      <c r="E29" s="19">
        <f>ROUND(PE_Params!F17*1000*(1+($W$2-1)*0.5)*$W$4*(1+PE_Params!D40*PE_Params!$B$35),0)</f>
        <v>147872</v>
      </c>
      <c r="F29" s="19">
        <f>ROUND(PE_Params!G17*1000*(1+($W$2-1)*0.5)*$W$4*(1+PE_Params!E40*PE_Params!$B$35),0)</f>
        <v>178466</v>
      </c>
      <c r="G29" s="18">
        <f>ROUND(PE_Params!H17*1000*(1+($W$2-1)*0.5)*$W$4*(1+PE_Params!A40*PE_Params!$B$35)*(1+$D$8/100*PE_Params!C46),0)</f>
        <v>96881</v>
      </c>
      <c r="H29" s="19">
        <f>ROUND(PE_Params!I17*1000*(1+($W$2-1)*0.5)*$W$4*(1+PE_Params!B40*PE_Params!$B$35)*(1+$D$8/100*PE_Params!C46),0)</f>
        <v>117277</v>
      </c>
      <c r="I29" s="20">
        <f>ROUND(PE_Params!J17*1000*(1+($W$2-1)*0.5)*$W$4*(1+PE_Params!C40*PE_Params!$B$35)*(1+$D$8/100*PE_Params!C46),0)</f>
        <v>140733</v>
      </c>
      <c r="J29" s="19">
        <f>ROUND(PE_Params!K17*1000*(1+($W$2-1)*0.5)*$W$4*(1+PE_Params!D40*PE_Params!$B$35)*(1+$D$8/100*PE_Params!C46),0)</f>
        <v>168268</v>
      </c>
      <c r="K29" s="19">
        <f>ROUND(PE_Params!L17*1000*(1+($W$2-1)*0.5)*$W$4*(1+PE_Params!E40*PE_Params!$B$35)*(1+$D$8/100*PE_Params!C46),0)</f>
        <v>203961</v>
      </c>
      <c r="L29" s="68">
        <f>ROUND(G29*1.02*(1+$D$8/100*PE_Params!C46),0)</f>
        <v>98819</v>
      </c>
      <c r="M29" s="68">
        <f>ROUND(H29*1.02*(1+$D$8/100*PE_Params!C46),0)</f>
        <v>119623</v>
      </c>
      <c r="N29" s="69">
        <f>ROUND(I29*1.02*(1+$D$8/100*PE_Params!C46),0)</f>
        <v>143548</v>
      </c>
      <c r="O29" s="68">
        <f>ROUND(J29*1.02*(1+$D$8/100*PE_Params!C46),0)</f>
        <v>171633</v>
      </c>
      <c r="P29" s="68">
        <f>ROUND(K29*1.02*(1+$D$8/100*PE_Params!C46),0)</f>
        <v>208040</v>
      </c>
      <c r="Q29" s="55"/>
      <c r="R29" s="55"/>
      <c r="S29" s="55"/>
      <c r="T29" s="55"/>
      <c r="U29" s="55"/>
      <c r="V29" s="4"/>
      <c r="W29" s="4"/>
    </row>
    <row r="30" spans="1:23" ht="18" customHeight="1" x14ac:dyDescent="0.3">
      <c r="A30" s="21" t="s">
        <v>100</v>
      </c>
      <c r="B30" s="22">
        <f>ROUND(PE_Params!C18*1000*(1+($W$2-1)*0.6)*$W$4*(1+PE_Params!A40*PE_Params!$B$35),0)</f>
        <v>101980</v>
      </c>
      <c r="C30" s="23">
        <f>ROUND(PE_Params!D18*1000*(1+($W$2-1)*0.6)*$W$4*(1+PE_Params!B40*PE_Params!$B$35),0)</f>
        <v>122376</v>
      </c>
      <c r="D30" s="20">
        <f>ROUND(PE_Params!E18*1000*(1+($W$2-1)*0.6)*$W$4*(1+PE_Params!C40*PE_Params!$B$35),0)</f>
        <v>146852</v>
      </c>
      <c r="E30" s="23">
        <f>ROUND(PE_Params!F18*1000*(1+($W$2-1)*0.6)*$W$4*(1+PE_Params!D40*PE_Params!$B$35),0)</f>
        <v>191723</v>
      </c>
      <c r="F30" s="23">
        <f>ROUND(PE_Params!G18*1000*(1+($W$2-1)*0.6)*$W$4*(1+PE_Params!E40*PE_Params!$B$35),0)</f>
        <v>219258</v>
      </c>
      <c r="G30" s="22">
        <f>ROUND(PE_Params!H18*1000*(1+($W$2-1)*0.6)*$W$4*(1+PE_Params!A40*PE_Params!$B$35)*(1+$D$8/100*PE_Params!D46),0)</f>
        <v>117277</v>
      </c>
      <c r="H30" s="23">
        <f>ROUND(PE_Params!I18*1000*(1+($W$2-1)*0.6)*$W$4*(1+PE_Params!B40*PE_Params!$B$35)*(1+$D$8/100*PE_Params!D46),0)</f>
        <v>138693</v>
      </c>
      <c r="I30" s="20">
        <f>ROUND(PE_Params!J18*1000*(1+($W$2-1)*0.6)*$W$4*(1+PE_Params!C40*PE_Params!$B$35)*(1+$D$8/100*PE_Params!D46),0)</f>
        <v>169287</v>
      </c>
      <c r="J30" s="23">
        <f>ROUND(PE_Params!K18*1000*(1+($W$2-1)*0.6)*$W$4*(1+PE_Params!D40*PE_Params!$B$35)*(1+$D$8/100*PE_Params!D46),0)</f>
        <v>193763</v>
      </c>
      <c r="K30" s="23">
        <f>ROUND(PE_Params!L18*1000*(1+($W$2-1)*0.6)*$W$4*(1+PE_Params!E40*PE_Params!$B$35)*(1+$D$8/100*PE_Params!D46),0)</f>
        <v>244753</v>
      </c>
      <c r="L30" s="70">
        <f>ROUND(G30*1.02*(1+$D$8/100*PE_Params!D46),0)</f>
        <v>119623</v>
      </c>
      <c r="M30" s="70">
        <f>ROUND(H30*1.02*(1+$D$8/100*PE_Params!D46),0)</f>
        <v>141467</v>
      </c>
      <c r="N30" s="69">
        <f>ROUND(I30*1.02*(1+$D$8/100*PE_Params!D46),0)</f>
        <v>172673</v>
      </c>
      <c r="O30" s="70">
        <f>ROUND(J30*1.02*(1+$D$8/100*PE_Params!D46),0)</f>
        <v>197638</v>
      </c>
      <c r="P30" s="70">
        <f>ROUND(K30*1.02*(1+$D$8/100*PE_Params!D46),0)</f>
        <v>249648</v>
      </c>
      <c r="Q30" s="55"/>
      <c r="R30" s="55"/>
      <c r="S30" s="55"/>
      <c r="T30" s="55"/>
      <c r="U30" s="55"/>
      <c r="V30" s="4"/>
      <c r="W30" s="4"/>
    </row>
    <row r="31" spans="1:23" ht="18" customHeight="1" x14ac:dyDescent="0.3">
      <c r="A31" s="17" t="s">
        <v>48</v>
      </c>
      <c r="B31" s="18">
        <f>ROUND(PE_Params!C19*1000*(1+($W$2-1)*0.7)*$W$4*(1+PE_Params!A40*PE_Params!$B$35),0)</f>
        <v>147872</v>
      </c>
      <c r="C31" s="19">
        <f>ROUND(PE_Params!D19*1000*(1+($W$2-1)*0.7)*$W$4*(1+PE_Params!B40*PE_Params!$B$35),0)</f>
        <v>178466</v>
      </c>
      <c r="D31" s="20">
        <f>ROUND(PE_Params!E19*1000*(1+($W$2-1)*0.7)*$W$4*(1+PE_Params!C40*PE_Params!$B$35),0)</f>
        <v>218238</v>
      </c>
      <c r="E31" s="19">
        <f>ROUND(PE_Params!F19*1000*(1+($W$2-1)*0.7)*$W$4*(1+PE_Params!D40*PE_Params!$B$35),0)</f>
        <v>227416</v>
      </c>
      <c r="F31" s="19">
        <f>ROUND(PE_Params!G19*1000*(1+($W$2-1)*0.7)*$W$4*(1+PE_Params!E40*PE_Params!$B$35),0)</f>
        <v>270248</v>
      </c>
      <c r="G31" s="18">
        <f>ROUND(PE_Params!H19*1000*(1+($W$2-1)*0.7)*$W$4*(1+PE_Params!A40*PE_Params!$B$35)*(1+$D$8/100*PE_Params!E46),0)</f>
        <v>183565</v>
      </c>
      <c r="H31" s="19">
        <f>ROUND(PE_Params!I19*1000*(1+($W$2-1)*0.7)*$W$4*(1+PE_Params!B40*PE_Params!$B$35)*(1+$D$8/100*PE_Params!E46),0)</f>
        <v>227416</v>
      </c>
      <c r="I31" s="20">
        <f>ROUND(PE_Params!J19*1000*(1+($W$2-1)*0.7)*$W$4*(1+PE_Params!C40*PE_Params!$B$35)*(1+$D$8/100*PE_Params!E46),0)</f>
        <v>251892</v>
      </c>
      <c r="J31" s="19">
        <f>ROUND(PE_Params!K19*1000*(1+($W$2-1)*0.7)*$W$4*(1+PE_Params!D40*PE_Params!$B$35)*(1+$D$8/100*PE_Params!E46),0)</f>
        <v>309001</v>
      </c>
      <c r="K31" s="19">
        <f>ROUND(PE_Params!L19*1000*(1+($W$2-1)*0.7)*$W$4*(1+PE_Params!E40*PE_Params!$B$35)*(1+$D$8/100*PE_Params!E46),0)</f>
        <v>387525</v>
      </c>
      <c r="L31" s="68">
        <f>ROUND(G31*1.05*(1+$D$8/100*PE_Params!E46),0)</f>
        <v>192743</v>
      </c>
      <c r="M31" s="68">
        <f>ROUND(H31*1.05*(1+$D$8/100*PE_Params!E46),0)</f>
        <v>238787</v>
      </c>
      <c r="N31" s="69">
        <f>ROUND(I31*1.05*(1+$D$8/100*PE_Params!E46),0)</f>
        <v>264487</v>
      </c>
      <c r="O31" s="68">
        <f>ROUND(J31*1.05*(1+$D$8/100*PE_Params!E46),0)</f>
        <v>324451</v>
      </c>
      <c r="P31" s="68">
        <f>ROUND(K31*1.05*(1+$D$8/100*PE_Params!E46),0)</f>
        <v>406901</v>
      </c>
      <c r="Q31" s="55"/>
      <c r="R31" s="55"/>
      <c r="S31" s="55"/>
      <c r="T31" s="55"/>
      <c r="U31" s="55"/>
      <c r="V31" s="4"/>
      <c r="W31" s="4"/>
    </row>
    <row r="32" spans="1:23" ht="18" customHeight="1" x14ac:dyDescent="0.3">
      <c r="A32" s="21" t="s">
        <v>101</v>
      </c>
      <c r="B32" s="22">
        <f>ROUND(PE_Params!C20*1000*(1+($W$2-1)*0.8)*$W$4*(1+PE_Params!A40*PE_Params!$B$35),0)</f>
        <v>203961</v>
      </c>
      <c r="C32" s="23">
        <f>ROUND(PE_Params!D20*1000*(1+($W$2-1)*0.8)*$W$4*(1+PE_Params!B40*PE_Params!$B$35),0)</f>
        <v>254951</v>
      </c>
      <c r="D32" s="20">
        <f>ROUND(PE_Params!E20*1000*(1+($W$2-1)*0.8)*$W$4*(1+PE_Params!C40*PE_Params!$B$35),0)</f>
        <v>295743</v>
      </c>
      <c r="E32" s="23">
        <f>ROUND(PE_Params!F20*1000*(1+($W$2-1)*0.8)*$W$4*(1+PE_Params!D40*PE_Params!$B$35),0)</f>
        <v>324298</v>
      </c>
      <c r="F32" s="23">
        <f>ROUND(PE_Params!G20*1000*(1+($W$2-1)*0.8)*$W$4*(1+PE_Params!E40*PE_Params!$B$35),0)</f>
        <v>387525</v>
      </c>
      <c r="G32" s="22">
        <f>ROUND(PE_Params!H20*1000*(1+($W$2-1)*0.8)*$W$4*(1+PE_Params!A40*PE_Params!$B$35)*(1+$D$8/100*PE_Params!F46),0)</f>
        <v>280446</v>
      </c>
      <c r="H32" s="23">
        <f>ROUND(PE_Params!I20*1000*(1+($W$2-1)*0.8)*$W$4*(1+PE_Params!B40*PE_Params!$B$35)*(1+$D$8/100*PE_Params!F46),0)</f>
        <v>351832</v>
      </c>
      <c r="I32" s="20">
        <f>ROUND(PE_Params!J20*1000*(1+($W$2-1)*0.8)*$W$4*(1+PE_Params!C40*PE_Params!$B$35)*(1+$D$8/100*PE_Params!F46),0)</f>
        <v>401803</v>
      </c>
      <c r="J32" s="23">
        <f>ROUND(PE_Params!K20*1000*(1+($W$2-1)*0.8)*$W$4*(1+PE_Params!D40*PE_Params!$B$35)*(1+$D$8/100*PE_Params!F46),0)</f>
        <v>472169</v>
      </c>
      <c r="K32" s="23">
        <f>ROUND(PE_Params!L20*1000*(1+($W$2-1)*0.8)*$W$4*(1+PE_Params!E40*PE_Params!$B$35)*(1+$D$8/100*PE_Params!F46),0)</f>
        <v>560892</v>
      </c>
      <c r="L32" s="70">
        <f>ROUND(G32*1.1*(1+$D$8/100*PE_Params!F46),0)</f>
        <v>308491</v>
      </c>
      <c r="M32" s="70">
        <f>ROUND(H32*1.1*(1+$D$8/100*PE_Params!F46),0)</f>
        <v>387015</v>
      </c>
      <c r="N32" s="69">
        <f>ROUND(I32*1.1*(1+$D$8/100*PE_Params!F46),0)</f>
        <v>441983</v>
      </c>
      <c r="O32" s="70">
        <f>ROUND(J32*1.1*(1+$D$8/100*PE_Params!F46),0)</f>
        <v>519386</v>
      </c>
      <c r="P32" s="70">
        <f>ROUND(K32*1.1*(1+$D$8/100*PE_Params!F46),0)</f>
        <v>616981</v>
      </c>
      <c r="Q32" s="55"/>
      <c r="R32" s="55"/>
      <c r="S32" s="55"/>
      <c r="T32" s="55"/>
      <c r="U32" s="55"/>
      <c r="V32" s="4"/>
      <c r="W32" s="4"/>
    </row>
    <row r="33" spans="1:23" ht="18" customHeight="1" x14ac:dyDescent="0.3">
      <c r="A33" s="17" t="s">
        <v>102</v>
      </c>
      <c r="B33" s="18">
        <f>ROUND(PE_Params!C21*1000*(1+($W$2-1)*0.9)*$W$4*(1+PE_Params!A40*PE_Params!$B$35),0)</f>
        <v>407922</v>
      </c>
      <c r="C33" s="19">
        <f>ROUND(PE_Params!D21*1000*(1+($W$2-1)*0.9)*$W$4*(1+PE_Params!B40*PE_Params!$B$35),0)</f>
        <v>567011</v>
      </c>
      <c r="D33" s="20">
        <f>ROUND(PE_Params!E21*1000*(1+($W$2-1)*0.9)*$W$4*(1+PE_Params!C40*PE_Params!$B$35),0)</f>
        <v>710803</v>
      </c>
      <c r="E33" s="19">
        <f>ROUND(PE_Params!F21*1000*(1+($W$2-1)*0.9)*$W$4*(1+PE_Params!D40*PE_Params!$B$35),0)</f>
        <v>835219</v>
      </c>
      <c r="F33" s="19">
        <f>ROUND(PE_Params!G21*1000*(1+($W$2-1)*0.9)*$W$4*(1+PE_Params!E40*PE_Params!$B$35),0)</f>
        <v>917824</v>
      </c>
      <c r="G33" s="18">
        <f>ROUND(PE_Params!H21*1000*(1+($W$2-1)*0.9)*$W$4*(1+PE_Params!A40*PE_Params!$B$35)*(1+$D$8/100*PE_Params!G46),0)</f>
        <v>509902</v>
      </c>
      <c r="H33" s="19">
        <f>ROUND(PE_Params!I21*1000*(1+($W$2-1)*0.9)*$W$4*(1+PE_Params!B40*PE_Params!$B$35)*(1+$D$8/100*PE_Params!G46),0)</f>
        <v>792388</v>
      </c>
      <c r="I33" s="20">
        <f>ROUND(PE_Params!J21*1000*(1+($W$2-1)*0.9)*$W$4*(1+PE_Params!C40*PE_Params!$B$35)*(1+$D$8/100*PE_Params!G46),0)</f>
        <v>835219</v>
      </c>
      <c r="J33" s="19">
        <f>ROUND(PE_Params!K21*1000*(1+($W$2-1)*0.9)*$W$4*(1+PE_Params!D40*PE_Params!$B$35)*(1+$D$8/100*PE_Params!G46),0)</f>
        <v>840318</v>
      </c>
      <c r="K33" s="19">
        <f>ROUND(PE_Params!L21*1000*(1+($W$2-1)*0.9)*$W$4*(1+PE_Params!E40*PE_Params!$B$35)*(1+$D$8/100*PE_Params!G46),0)</f>
        <v>1019804</v>
      </c>
      <c r="L33" s="68">
        <f>ROUND(G33*1.15*(1+$D$8/100*PE_Params!G46),0)</f>
        <v>586387</v>
      </c>
      <c r="M33" s="68">
        <f>ROUND(H33*1.15*(1+$D$8/100*PE_Params!G46),0)</f>
        <v>911246</v>
      </c>
      <c r="N33" s="69">
        <f>ROUND(I33*1.15*(1+$D$8/100*PE_Params!G46),0)</f>
        <v>960502</v>
      </c>
      <c r="O33" s="68">
        <f>ROUND(J33*1.15*(1+$D$8/100*PE_Params!G46),0)</f>
        <v>966366</v>
      </c>
      <c r="P33" s="68">
        <f>ROUND(K33*1.15*(1+$D$8/100*PE_Params!G46),0)</f>
        <v>1172775</v>
      </c>
      <c r="Q33" s="55"/>
      <c r="R33" s="55"/>
      <c r="S33" s="55"/>
      <c r="T33" s="55"/>
      <c r="U33" s="55"/>
      <c r="V33" s="4"/>
      <c r="W33" s="4"/>
    </row>
    <row r="34" spans="1:23" ht="18" customHeight="1" x14ac:dyDescent="0.3">
      <c r="A34" s="21" t="s">
        <v>103</v>
      </c>
      <c r="B34" s="22">
        <f>ROUND(PE_Params!C22*1000*(1+($W$2-1)*1)*$W$4*(1+PE_Params!A40*PE_Params!$B$35),0)</f>
        <v>509902</v>
      </c>
      <c r="C34" s="23">
        <f>ROUND(PE_Params!D22*1000*(1+($W$2-1)*1)*$W$4*(1+PE_Params!B40*PE_Params!$B$35),0)</f>
        <v>662873</v>
      </c>
      <c r="D34" s="20">
        <f>ROUND(PE_Params!E22*1000*(1+($W$2-1)*1)*$W$4*(1+PE_Params!C40*PE_Params!$B$35),0)</f>
        <v>764853</v>
      </c>
      <c r="E34" s="23">
        <f>ROUND(PE_Params!F22*1000*(1+($W$2-1)*1)*$W$4*(1+PE_Params!D40*PE_Params!$B$35),0)</f>
        <v>917824</v>
      </c>
      <c r="F34" s="23">
        <f>ROUND(PE_Params!G22*1000*(1+($W$2-1)*1)*$W$4*(1+PE_Params!E40*PE_Params!$B$35),0)</f>
        <v>1070794</v>
      </c>
      <c r="G34" s="22">
        <f>ROUND(PE_Params!H22*1000*(1+($W$2-1)*1)*$W$4*(1+PE_Params!A40*PE_Params!$B$35)*(1+$D$8/100*PE_Params!H46),0)</f>
        <v>662873</v>
      </c>
      <c r="H34" s="23">
        <f>ROUND(PE_Params!I22*1000*(1+($W$2-1)*1)*$W$4*(1+PE_Params!B40*PE_Params!$B$35)*(1+$D$8/100*PE_Params!H46),0)</f>
        <v>841338</v>
      </c>
      <c r="I34" s="20">
        <f>ROUND(PE_Params!J22*1000*(1+($W$2-1)*1)*$W$4*(1+PE_Params!C40*PE_Params!$B$35)*(1+$D$8/100*PE_Params!H46),0)</f>
        <v>1019804</v>
      </c>
      <c r="J34" s="23">
        <f>ROUND(PE_Params!K22*1000*(1+($W$2-1)*1)*$W$4*(1+PE_Params!D40*PE_Params!$B$35)*(1+$D$8/100*PE_Params!H46),0)</f>
        <v>1223765</v>
      </c>
      <c r="K34" s="23">
        <f>ROUND(PE_Params!L22*1000*(1+($W$2-1)*1)*$W$4*(1+PE_Params!E40*PE_Params!$B$35)*(1+$D$8/100*PE_Params!H46),0)</f>
        <v>1478716</v>
      </c>
      <c r="L34" s="70">
        <f>ROUND(G34*1.25*(1+$D$8/100*PE_Params!H46),0)</f>
        <v>828591</v>
      </c>
      <c r="M34" s="70">
        <f>ROUND(H34*1.25*(1+$D$8/100*PE_Params!H46),0)</f>
        <v>1051673</v>
      </c>
      <c r="N34" s="69">
        <f>ROUND(I34*1.25*(1+$D$8/100*PE_Params!H46),0)</f>
        <v>1274755</v>
      </c>
      <c r="O34" s="70">
        <f>ROUND(J34*1.25*(1+$D$8/100*PE_Params!H46),0)</f>
        <v>1529706</v>
      </c>
      <c r="P34" s="70">
        <f>ROUND(K34*1.25*(1+$D$8/100*PE_Params!H46),0)</f>
        <v>1848395</v>
      </c>
      <c r="Q34" s="55"/>
      <c r="R34" s="55"/>
      <c r="S34" s="55"/>
      <c r="T34" s="55"/>
      <c r="U34" s="55"/>
      <c r="V34" s="4"/>
      <c r="W34" s="4"/>
    </row>
    <row r="35" spans="1:23" ht="16.05" customHeight="1" x14ac:dyDescent="0.3">
      <c r="A35" s="56" t="s">
        <v>26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51"/>
      <c r="R35" s="51"/>
      <c r="S35" s="51"/>
      <c r="T35" s="51"/>
      <c r="U35" s="51"/>
      <c r="V35" s="4"/>
      <c r="W35" s="4"/>
    </row>
    <row r="36" spans="1:23" ht="16.05" customHeight="1" x14ac:dyDescent="0.3">
      <c r="A36" s="106" t="s">
        <v>34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50"/>
      <c r="R36" s="50"/>
      <c r="S36" s="50"/>
      <c r="T36" s="50"/>
      <c r="U36" s="50"/>
      <c r="V36" s="4"/>
      <c r="W36" s="4"/>
    </row>
  </sheetData>
  <mergeCells count="12">
    <mergeCell ref="A36:P36"/>
    <mergeCell ref="G12:K12"/>
    <mergeCell ref="A1:P1"/>
    <mergeCell ref="B25:F25"/>
    <mergeCell ref="L25:P25"/>
    <mergeCell ref="G25:K25"/>
    <mergeCell ref="A24:P24"/>
    <mergeCell ref="A2:P2"/>
    <mergeCell ref="A11:P11"/>
    <mergeCell ref="L12:P12"/>
    <mergeCell ref="A5:P5"/>
    <mergeCell ref="B12:F12"/>
  </mergeCells>
  <dataValidations count="2">
    <dataValidation type="list" error="Complexity must be 1-5" sqref="A8" xr:uid="{00000000-0002-0000-0500-000000000000}">
      <formula1>"1,2,3,4,5"</formula1>
    </dataValidation>
    <dataValidation type="list" errorTitle="Invalid Pool Adjustment" error="Select a value between -30 and +30" sqref="D8" xr:uid="{00000000-0002-0000-0500-000001000000}">
      <formula1>"-30,-25,-20,-15,-10,-5,-4,-3,-2,-1,0,1,2,3,4,5,10,15,20,25,30"</formula1>
    </dataValidation>
  </dataValidations>
  <hyperlinks>
    <hyperlink ref="A1" r:id="rId1" xr:uid="{00000000-0004-0000-0500-000000000000}"/>
    <hyperlink ref="A36" r:id="rId2" xr:uid="{00000000-0004-0000-0500-000001000000}"/>
  </hyperlinks>
  <pageMargins left="0.75" right="0.75" top="1" bottom="1" header="0.5" footer="0.5"/>
  <ignoredErrors>
    <ignoredError sqref="A1:U60" numberStoredAsText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W35"/>
  <sheetViews>
    <sheetView showGridLines="0" workbookViewId="0">
      <selection activeCell="B9" sqref="B9"/>
    </sheetView>
  </sheetViews>
  <sheetFormatPr defaultRowHeight="14.4" x14ac:dyDescent="0.3"/>
  <cols>
    <col min="1" max="1" width="22" customWidth="1"/>
    <col min="2" max="21" width="13" customWidth="1"/>
    <col min="23" max="23" width="13" hidden="1" customWidth="1"/>
  </cols>
  <sheetData>
    <row r="1" spans="1:23" ht="28.05" customHeight="1" x14ac:dyDescent="0.3">
      <c r="A1" s="112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50"/>
      <c r="R1" s="50"/>
      <c r="S1" s="50"/>
      <c r="T1" s="50"/>
      <c r="U1" s="50"/>
      <c r="V1" s="4"/>
      <c r="W1" s="4" t="s">
        <v>1</v>
      </c>
    </row>
    <row r="2" spans="1:23" ht="22.05" customHeight="1" x14ac:dyDescent="0.3">
      <c r="A2" s="115" t="s">
        <v>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50"/>
      <c r="R2" s="50"/>
      <c r="S2" s="50"/>
      <c r="T2" s="50"/>
      <c r="U2" s="50"/>
      <c r="V2" s="4"/>
      <c r="W2" s="4">
        <f>VLOOKUP(A8,HF_Params!A26:B30,2,FALSE)</f>
        <v>1</v>
      </c>
    </row>
    <row r="3" spans="1:23" ht="3" customHeight="1" x14ac:dyDescent="0.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1"/>
      <c r="R3" s="51"/>
      <c r="S3" s="51"/>
      <c r="T3" s="51"/>
      <c r="U3" s="51"/>
      <c r="V3" s="4"/>
      <c r="W3" s="4" t="s">
        <v>3</v>
      </c>
    </row>
    <row r="4" spans="1:23" ht="6" customHeight="1" x14ac:dyDescent="0.3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51"/>
      <c r="R4" s="51"/>
      <c r="S4" s="51"/>
      <c r="T4" s="51"/>
      <c r="U4" s="52"/>
      <c r="V4" s="4"/>
      <c r="W4" s="4">
        <f>HF_Params!B34</f>
        <v>1.019803902718557</v>
      </c>
    </row>
    <row r="5" spans="1:23" ht="28.05" customHeight="1" x14ac:dyDescent="0.3">
      <c r="A5" s="117" t="s">
        <v>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50"/>
      <c r="R5" s="50"/>
      <c r="S5" s="50"/>
      <c r="T5" s="50"/>
      <c r="U5" s="50"/>
      <c r="V5" s="4"/>
      <c r="W5" s="4"/>
    </row>
    <row r="6" spans="1:23" ht="6" customHeight="1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51"/>
      <c r="R6" s="51"/>
      <c r="S6" s="51"/>
      <c r="T6" s="51"/>
      <c r="U6" s="51"/>
      <c r="V6" s="4"/>
      <c r="W6" s="49"/>
    </row>
    <row r="7" spans="1:23" ht="18" customHeight="1" x14ac:dyDescent="0.3">
      <c r="A7" s="9" t="s">
        <v>5</v>
      </c>
      <c r="B7" s="28"/>
      <c r="C7" s="28"/>
      <c r="D7" s="77" t="s">
        <v>6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51"/>
      <c r="R7" s="51"/>
      <c r="S7" s="51"/>
      <c r="T7" s="51"/>
      <c r="U7" s="51"/>
      <c r="V7" s="4"/>
      <c r="W7" s="4"/>
    </row>
    <row r="8" spans="1:23" ht="18" customHeight="1" x14ac:dyDescent="0.3">
      <c r="A8" s="44">
        <v>3</v>
      </c>
      <c r="B8" s="28"/>
      <c r="C8" s="28"/>
      <c r="D8" s="78">
        <v>0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51"/>
      <c r="R8" s="51"/>
      <c r="S8" s="51"/>
      <c r="T8" s="51"/>
      <c r="U8" s="51"/>
      <c r="V8" s="4"/>
      <c r="W8" s="4"/>
    </row>
    <row r="9" spans="1:23" ht="13.95" customHeight="1" x14ac:dyDescent="0.3">
      <c r="A9" s="35" t="s">
        <v>7</v>
      </c>
      <c r="B9" s="28"/>
      <c r="C9" s="28"/>
      <c r="D9" s="79" t="s">
        <v>8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51"/>
      <c r="R9" s="51"/>
      <c r="S9" s="51"/>
      <c r="T9" s="51"/>
      <c r="U9" s="51"/>
      <c r="V9" s="4"/>
      <c r="W9" s="4"/>
    </row>
    <row r="10" spans="1:23" ht="6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1"/>
      <c r="R10" s="51"/>
      <c r="S10" s="51"/>
      <c r="T10" s="51"/>
      <c r="U10" s="51"/>
      <c r="V10" s="4"/>
      <c r="W10" s="4"/>
    </row>
    <row r="11" spans="1:23" ht="22.05" customHeight="1" x14ac:dyDescent="0.3">
      <c r="A11" s="116" t="str">
        <f>"Investment Professionals (S"&amp;A8&amp;")"</f>
        <v>Investment Professionals (S3)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50"/>
      <c r="R11" s="50"/>
      <c r="S11" s="50"/>
      <c r="T11" s="50"/>
      <c r="U11" s="50"/>
      <c r="V11" s="4"/>
      <c r="W11" s="4"/>
    </row>
    <row r="12" spans="1:23" ht="19.95" customHeight="1" x14ac:dyDescent="0.3">
      <c r="A12" s="13"/>
      <c r="B12" s="97" t="s">
        <v>9</v>
      </c>
      <c r="C12" s="98"/>
      <c r="D12" s="98"/>
      <c r="E12" s="98"/>
      <c r="F12" s="98"/>
      <c r="G12" s="102" t="s">
        <v>10</v>
      </c>
      <c r="H12" s="98"/>
      <c r="I12" s="98"/>
      <c r="J12" s="98"/>
      <c r="K12" s="98"/>
      <c r="L12" s="99" t="s">
        <v>11</v>
      </c>
      <c r="M12" s="98"/>
      <c r="N12" s="98"/>
      <c r="O12" s="98"/>
      <c r="P12" s="98"/>
      <c r="Q12" s="53"/>
      <c r="R12" s="53"/>
      <c r="S12" s="53"/>
      <c r="T12" s="53"/>
      <c r="U12" s="53"/>
      <c r="V12" s="4"/>
      <c r="W12" s="4"/>
    </row>
    <row r="13" spans="1:23" ht="19.95" customHeight="1" x14ac:dyDescent="0.3">
      <c r="A13" s="14" t="s">
        <v>12</v>
      </c>
      <c r="B13" s="15" t="s">
        <v>13</v>
      </c>
      <c r="C13" s="16" t="s">
        <v>14</v>
      </c>
      <c r="D13" s="16" t="s">
        <v>15</v>
      </c>
      <c r="E13" s="16" t="s">
        <v>16</v>
      </c>
      <c r="F13" s="16" t="s">
        <v>17</v>
      </c>
      <c r="G13" s="15" t="s">
        <v>13</v>
      </c>
      <c r="H13" s="16" t="s">
        <v>14</v>
      </c>
      <c r="I13" s="16" t="s">
        <v>15</v>
      </c>
      <c r="J13" s="16" t="s">
        <v>16</v>
      </c>
      <c r="K13" s="16" t="s">
        <v>17</v>
      </c>
      <c r="L13" s="15" t="s">
        <v>13</v>
      </c>
      <c r="M13" s="16" t="s">
        <v>14</v>
      </c>
      <c r="N13" s="16" t="s">
        <v>15</v>
      </c>
      <c r="O13" s="16" t="s">
        <v>16</v>
      </c>
      <c r="P13" s="16" t="s">
        <v>17</v>
      </c>
      <c r="Q13" s="54"/>
      <c r="R13" s="54"/>
      <c r="S13" s="54"/>
      <c r="T13" s="54"/>
      <c r="U13" s="54"/>
      <c r="V13" s="4"/>
      <c r="W13" s="4"/>
    </row>
    <row r="14" spans="1:23" ht="18" customHeight="1" x14ac:dyDescent="0.3">
      <c r="A14" s="17" t="s">
        <v>18</v>
      </c>
      <c r="B14" s="18">
        <f>ROUND(HF_Params!C3*1000*(1+($W$2-1)*0.3)*$W$4*(1+HF_Params!A40*HF_Params!$B$35),0)</f>
        <v>86683</v>
      </c>
      <c r="C14" s="19">
        <f>ROUND(HF_Params!D3*1000*(1+($W$2-1)*0.3)*$W$4*(1+HF_Params!B40*HF_Params!$B$35),0)</f>
        <v>96881</v>
      </c>
      <c r="D14" s="20">
        <f>ROUND(HF_Params!E3*1000*(1+($W$2-1)*0.3)*$W$4*(1+HF_Params!C40*HF_Params!$B$35),0)</f>
        <v>117277</v>
      </c>
      <c r="E14" s="19">
        <f>ROUND(HF_Params!F3*1000*(1+($W$2-1)*0.3)*$W$4*(1+HF_Params!D40*HF_Params!$B$35),0)</f>
        <v>137674</v>
      </c>
      <c r="F14" s="19">
        <f>ROUND(HF_Params!G3*1000*(1+($W$2-1)*0.3)*$W$4*(1+HF_Params!E40*HF_Params!$B$35),0)</f>
        <v>163169</v>
      </c>
      <c r="G14" s="18">
        <f>ROUND(HF_Params!H3*1000*(1+($W$2-1)*0.3)*$W$4*(1+HF_Params!A40*HF_Params!$B$35)*(1+$D$8/100*HF_Params!A46),0)</f>
        <v>96881</v>
      </c>
      <c r="H14" s="19">
        <f>ROUND(HF_Params!I3*1000*(1+($W$2-1)*0.3)*$W$4*(1+HF_Params!B40*HF_Params!$B$35)*(1+$D$8/100*HF_Params!A46),0)</f>
        <v>117277</v>
      </c>
      <c r="I14" s="20">
        <f>ROUND(HF_Params!J3*1000*(1+($W$2-1)*0.3)*$W$4*(1+HF_Params!C40*HF_Params!$B$35)*(1+$D$8/100*HF_Params!A46),0)</f>
        <v>152971</v>
      </c>
      <c r="J14" s="19">
        <f>ROUND(HF_Params!K3*1000*(1+($W$2-1)*0.3)*$W$4*(1+HF_Params!D40*HF_Params!$B$35)*(1+$D$8/100*HF_Params!A46),0)</f>
        <v>203961</v>
      </c>
      <c r="K14" s="19">
        <f>ROUND(HF_Params!L3*1000*(1+($W$2-1)*0.3)*$W$4*(1+HF_Params!E40*HF_Params!$B$35)*(1+$D$8/100*HF_Params!A46),0)</f>
        <v>280446</v>
      </c>
      <c r="L14" s="18">
        <f>ROUND(HF_Params!H3*1000*HF_Params!M3*(1+($W$2-1)*0.3)*$W$4*(1+HF_Params!A40*HF_Params!$B$35)*(1+$D$8/100*HF_Params!A46),0)</f>
        <v>99788</v>
      </c>
      <c r="M14" s="19">
        <f>ROUND(HF_Params!I3*1000*HF_Params!M3*(1+($W$2-1)*0.3)*$W$4*(1+HF_Params!B40*HF_Params!$B$35)*(1+$D$8/100*HF_Params!A46),0)</f>
        <v>120796</v>
      </c>
      <c r="N14" s="20">
        <f>ROUND(HF_Params!J3*1000*HF_Params!M3*(1+($W$2-1)*0.3)*$W$4*(1+HF_Params!C40*HF_Params!$B$35)*(1+$D$8/100*HF_Params!A46),0)</f>
        <v>157560</v>
      </c>
      <c r="O14" s="19">
        <f>ROUND(HF_Params!K3*1000*HF_Params!M3*(1+($W$2-1)*0.3)*$W$4*(1+HF_Params!D40*HF_Params!$B$35)*(1+$D$8/100*HF_Params!A46),0)</f>
        <v>210080</v>
      </c>
      <c r="P14" s="19">
        <f>ROUND(HF_Params!L3*1000*HF_Params!M3*(1+($W$2-1)*0.3)*$W$4*(1+HF_Params!E40*HF_Params!$B$35)*(1+$D$8/100*HF_Params!A46),0)</f>
        <v>288859</v>
      </c>
      <c r="Q14" s="55"/>
      <c r="R14" s="55"/>
      <c r="S14" s="55"/>
      <c r="T14" s="55"/>
      <c r="U14" s="55"/>
      <c r="V14" s="4"/>
      <c r="W14" s="4"/>
    </row>
    <row r="15" spans="1:23" ht="18" customHeight="1" x14ac:dyDescent="0.3">
      <c r="A15" s="21" t="s">
        <v>19</v>
      </c>
      <c r="B15" s="22">
        <f>ROUND(HF_Params!C4*1000*(1+($W$2-1)*0.4)*$W$4*(1+HF_Params!A40*HF_Params!$B$35),0)</f>
        <v>112178</v>
      </c>
      <c r="C15" s="23">
        <f>ROUND(HF_Params!D4*1000*(1+($W$2-1)*0.4)*$W$4*(1+HF_Params!B40*HF_Params!$B$35),0)</f>
        <v>132575</v>
      </c>
      <c r="D15" s="20">
        <f>ROUND(HF_Params!E4*1000*(1+($W$2-1)*0.4)*$W$4*(1+HF_Params!C40*HF_Params!$B$35),0)</f>
        <v>158070</v>
      </c>
      <c r="E15" s="23">
        <f>ROUND(HF_Params!F4*1000*(1+($W$2-1)*0.4)*$W$4*(1+HF_Params!D40*HF_Params!$B$35),0)</f>
        <v>183565</v>
      </c>
      <c r="F15" s="23">
        <f>ROUND(HF_Params!G4*1000*(1+($W$2-1)*0.4)*$W$4*(1+HF_Params!E40*HF_Params!$B$35),0)</f>
        <v>214159</v>
      </c>
      <c r="G15" s="22">
        <f>ROUND(HF_Params!H4*1000*(1+($W$2-1)*0.4)*$W$4*(1+HF_Params!A40*HF_Params!$B$35)*(1+$D$8/100*HF_Params!B46),0)</f>
        <v>137674</v>
      </c>
      <c r="H15" s="23">
        <f>ROUND(HF_Params!I4*1000*(1+($W$2-1)*0.4)*$W$4*(1+HF_Params!B40*HF_Params!$B$35)*(1+$D$8/100*HF_Params!B46),0)</f>
        <v>178466</v>
      </c>
      <c r="I15" s="20">
        <f>ROUND(HF_Params!J4*1000*(1+($W$2-1)*0.4)*$W$4*(1+HF_Params!C40*HF_Params!$B$35)*(1+$D$8/100*HF_Params!B46),0)</f>
        <v>239654</v>
      </c>
      <c r="J15" s="23">
        <f>ROUND(HF_Params!K4*1000*(1+($W$2-1)*0.4)*$W$4*(1+HF_Params!D40*HF_Params!$B$35)*(1+$D$8/100*HF_Params!B46),0)</f>
        <v>331436</v>
      </c>
      <c r="K15" s="23">
        <f>ROUND(HF_Params!L4*1000*(1+($W$2-1)*0.4)*$W$4*(1+HF_Params!E40*HF_Params!$B$35)*(1+$D$8/100*HF_Params!B46),0)</f>
        <v>458912</v>
      </c>
      <c r="L15" s="22">
        <f>ROUND(HF_Params!H4*1000*HF_Params!M4*(1+($W$2-1)*0.4)*$W$4*(1+HF_Params!A40*HF_Params!$B$35)*(1+$D$8/100*HF_Params!B46),0)</f>
        <v>144557</v>
      </c>
      <c r="M15" s="23">
        <f>ROUND(HF_Params!I4*1000*HF_Params!M4*(1+($W$2-1)*0.4)*$W$4*(1+HF_Params!B40*HF_Params!$B$35)*(1+$D$8/100*HF_Params!B46),0)</f>
        <v>187389</v>
      </c>
      <c r="N15" s="20">
        <f>ROUND(HF_Params!J4*1000*HF_Params!M4*(1+($W$2-1)*0.4)*$W$4*(1+HF_Params!C40*HF_Params!$B$35)*(1+$D$8/100*HF_Params!B46),0)</f>
        <v>251637</v>
      </c>
      <c r="O15" s="23">
        <f>ROUND(HF_Params!K4*1000*HF_Params!M4*(1+($W$2-1)*0.4)*$W$4*(1+HF_Params!D40*HF_Params!$B$35)*(1+$D$8/100*HF_Params!B46),0)</f>
        <v>348008</v>
      </c>
      <c r="P15" s="23">
        <f>ROUND(HF_Params!L4*1000*HF_Params!M4*(1+($W$2-1)*0.4)*$W$4*(1+HF_Params!E40*HF_Params!$B$35)*(1+$D$8/100*HF_Params!B46),0)</f>
        <v>481857</v>
      </c>
      <c r="Q15" s="55"/>
      <c r="R15" s="55"/>
      <c r="S15" s="55"/>
      <c r="T15" s="55"/>
      <c r="U15" s="55"/>
      <c r="V15" s="4"/>
      <c r="W15" s="4"/>
    </row>
    <row r="16" spans="1:23" ht="18" customHeight="1" x14ac:dyDescent="0.3">
      <c r="A16" s="17" t="s">
        <v>20</v>
      </c>
      <c r="B16" s="18">
        <f>ROUND(HF_Params!C5*1000*(1+($W$2-1)*0.5)*$W$4*(1+HF_Params!A40*HF_Params!$B$35),0)</f>
        <v>142773</v>
      </c>
      <c r="C16" s="19">
        <f>ROUND(HF_Params!D5*1000*(1+($W$2-1)*0.5)*$W$4*(1+HF_Params!B40*HF_Params!$B$35),0)</f>
        <v>168268</v>
      </c>
      <c r="D16" s="20">
        <f>ROUND(HF_Params!E5*1000*(1+($W$2-1)*0.5)*$W$4*(1+HF_Params!C40*HF_Params!$B$35),0)</f>
        <v>198862</v>
      </c>
      <c r="E16" s="19">
        <f>ROUND(HF_Params!F5*1000*(1+($W$2-1)*0.5)*$W$4*(1+HF_Params!D40*HF_Params!$B$35),0)</f>
        <v>234555</v>
      </c>
      <c r="F16" s="19">
        <f>ROUND(HF_Params!G5*1000*(1+($W$2-1)*0.5)*$W$4*(1+HF_Params!E40*HF_Params!$B$35),0)</f>
        <v>275347</v>
      </c>
      <c r="G16" s="18">
        <f>ROUND(HF_Params!H5*1000*(1+($W$2-1)*0.5)*$W$4*(1+HF_Params!A40*HF_Params!$B$35)*(1+$D$8/100*HF_Params!C46),0)</f>
        <v>193763</v>
      </c>
      <c r="H16" s="19">
        <f>ROUND(HF_Params!I5*1000*(1+($W$2-1)*0.5)*$W$4*(1+HF_Params!B40*HF_Params!$B$35)*(1+$D$8/100*HF_Params!C46),0)</f>
        <v>265149</v>
      </c>
      <c r="I16" s="20">
        <f>ROUND(HF_Params!J5*1000*(1+($W$2-1)*0.5)*$W$4*(1+HF_Params!C40*HF_Params!$B$35)*(1+$D$8/100*HF_Params!C46),0)</f>
        <v>382426</v>
      </c>
      <c r="J16" s="19">
        <f>ROUND(HF_Params!K5*1000*(1+($W$2-1)*0.5)*$W$4*(1+HF_Params!D40*HF_Params!$B$35)*(1+$D$8/100*HF_Params!C46),0)</f>
        <v>535397</v>
      </c>
      <c r="K16" s="19">
        <f>ROUND(HF_Params!L5*1000*(1+($W$2-1)*0.5)*$W$4*(1+HF_Params!E40*HF_Params!$B$35)*(1+$D$8/100*HF_Params!C46),0)</f>
        <v>739358</v>
      </c>
      <c r="L16" s="18">
        <f>ROUND(HF_Params!H5*1000*HF_Params!M5*(1+($W$2-1)*0.5)*$W$4*(1+HF_Params!A40*HF_Params!$B$35)*(1+$D$8/100*HF_Params!C46),0)</f>
        <v>209264</v>
      </c>
      <c r="M16" s="19">
        <f>ROUND(HF_Params!I5*1000*HF_Params!M5*(1+($W$2-1)*0.5)*$W$4*(1+HF_Params!B40*HF_Params!$B$35)*(1+$D$8/100*HF_Params!C46),0)</f>
        <v>286361</v>
      </c>
      <c r="N16" s="20">
        <f>ROUND(HF_Params!J5*1000*HF_Params!M5*(1+($W$2-1)*0.5)*$W$4*(1+HF_Params!C40*HF_Params!$B$35)*(1+$D$8/100*HF_Params!C46),0)</f>
        <v>413021</v>
      </c>
      <c r="O16" s="19">
        <f>ROUND(HF_Params!K5*1000*HF_Params!M5*(1+($W$2-1)*0.5)*$W$4*(1+HF_Params!D40*HF_Params!$B$35)*(1+$D$8/100*HF_Params!C46),0)</f>
        <v>578229</v>
      </c>
      <c r="P16" s="19">
        <f>ROUND(HF_Params!L5*1000*HF_Params!M5*(1+($W$2-1)*0.5)*$W$4*(1+HF_Params!E40*HF_Params!$B$35)*(1+$D$8/100*HF_Params!C46),0)</f>
        <v>798506</v>
      </c>
      <c r="Q16" s="55"/>
      <c r="R16" s="55"/>
      <c r="S16" s="55"/>
      <c r="T16" s="55"/>
      <c r="U16" s="55"/>
      <c r="V16" s="4"/>
      <c r="W16" s="4"/>
    </row>
    <row r="17" spans="1:23" ht="18" customHeight="1" x14ac:dyDescent="0.3">
      <c r="A17" s="21" t="s">
        <v>21</v>
      </c>
      <c r="B17" s="22">
        <f>ROUND(HF_Params!C6*1000*(1+($W$2-1)*0.6)*$W$4*(1+HF_Params!A40*HF_Params!$B$35),0)</f>
        <v>178466</v>
      </c>
      <c r="C17" s="23">
        <f>ROUND(HF_Params!D6*1000*(1+($W$2-1)*0.6)*$W$4*(1+HF_Params!B40*HF_Params!$B$35),0)</f>
        <v>214159</v>
      </c>
      <c r="D17" s="20">
        <f>ROUND(HF_Params!E6*1000*(1+($W$2-1)*0.6)*$W$4*(1+HF_Params!C40*HF_Params!$B$35),0)</f>
        <v>265149</v>
      </c>
      <c r="E17" s="23">
        <f>ROUND(HF_Params!F6*1000*(1+($W$2-1)*0.6)*$W$4*(1+HF_Params!D40*HF_Params!$B$35),0)</f>
        <v>316139</v>
      </c>
      <c r="F17" s="23">
        <f>ROUND(HF_Params!G6*1000*(1+($W$2-1)*0.6)*$W$4*(1+HF_Params!E40*HF_Params!$B$35),0)</f>
        <v>382426</v>
      </c>
      <c r="G17" s="22">
        <f>ROUND(HF_Params!H6*1000*(1+($W$2-1)*0.6)*$W$4*(1+HF_Params!A40*HF_Params!$B$35)*(1+$D$8/100*HF_Params!D46),0)</f>
        <v>280446</v>
      </c>
      <c r="H17" s="23">
        <f>ROUND(HF_Params!I6*1000*(1+($W$2-1)*0.6)*$W$4*(1+HF_Params!B40*HF_Params!$B$35)*(1+$D$8/100*HF_Params!D46),0)</f>
        <v>407922</v>
      </c>
      <c r="I17" s="20">
        <f>ROUND(HF_Params!J6*1000*(1+($W$2-1)*0.6)*$W$4*(1+HF_Params!C40*HF_Params!$B$35)*(1+$D$8/100*HF_Params!D46),0)</f>
        <v>611882</v>
      </c>
      <c r="J17" s="23">
        <f>ROUND(HF_Params!K6*1000*(1+($W$2-1)*0.6)*$W$4*(1+HF_Params!D40*HF_Params!$B$35)*(1+$D$8/100*HF_Params!D46),0)</f>
        <v>917824</v>
      </c>
      <c r="K17" s="23">
        <f>ROUND(HF_Params!L6*1000*(1+($W$2-1)*0.6)*$W$4*(1+HF_Params!E40*HF_Params!$B$35)*(1+$D$8/100*HF_Params!D46),0)</f>
        <v>1325745</v>
      </c>
      <c r="L17" s="22">
        <f>ROUND(HF_Params!H6*1000*HF_Params!M6*(1+($W$2-1)*0.6)*$W$4*(1+HF_Params!A40*HF_Params!$B$35)*(1+$D$8/100*HF_Params!D46),0)</f>
        <v>322513</v>
      </c>
      <c r="M17" s="23">
        <f>ROUND(HF_Params!I6*1000*HF_Params!M6*(1+($W$2-1)*0.6)*$W$4*(1+HF_Params!B40*HF_Params!$B$35)*(1+$D$8/100*HF_Params!D46),0)</f>
        <v>469110</v>
      </c>
      <c r="N17" s="20">
        <f>ROUND(HF_Params!J6*1000*HF_Params!M6*(1+($W$2-1)*0.6)*$W$4*(1+HF_Params!C40*HF_Params!$B$35)*(1+$D$8/100*HF_Params!D46),0)</f>
        <v>703665</v>
      </c>
      <c r="O17" s="23">
        <f>ROUND(HF_Params!K6*1000*HF_Params!M6*(1+($W$2-1)*0.6)*$W$4*(1+HF_Params!D40*HF_Params!$B$35)*(1+$D$8/100*HF_Params!D46),0)</f>
        <v>1055497</v>
      </c>
      <c r="P17" s="23">
        <f>ROUND(HF_Params!L6*1000*HF_Params!M6*(1+($W$2-1)*0.6)*$W$4*(1+HF_Params!E40*HF_Params!$B$35)*(1+$D$8/100*HF_Params!D46),0)</f>
        <v>1524607</v>
      </c>
      <c r="Q17" s="55"/>
      <c r="R17" s="55"/>
      <c r="S17" s="55"/>
      <c r="T17" s="55"/>
      <c r="U17" s="55"/>
      <c r="V17" s="4"/>
      <c r="W17" s="4"/>
    </row>
    <row r="18" spans="1:23" ht="18" customHeight="1" x14ac:dyDescent="0.3">
      <c r="A18" s="17" t="s">
        <v>22</v>
      </c>
      <c r="B18" s="18">
        <f>ROUND(HF_Params!C7*1000*(1+($W$2-1)*0.7)*$W$4*(1+HF_Params!A40*HF_Params!$B$35),0)</f>
        <v>229456</v>
      </c>
      <c r="C18" s="19">
        <f>ROUND(HF_Params!D7*1000*(1+($W$2-1)*0.7)*$W$4*(1+HF_Params!B40*HF_Params!$B$35),0)</f>
        <v>280446</v>
      </c>
      <c r="D18" s="20">
        <f>ROUND(HF_Params!E7*1000*(1+($W$2-1)*0.7)*$W$4*(1+HF_Params!C40*HF_Params!$B$35),0)</f>
        <v>356931</v>
      </c>
      <c r="E18" s="19">
        <f>ROUND(HF_Params!F7*1000*(1+($W$2-1)*0.7)*$W$4*(1+HF_Params!D40*HF_Params!$B$35),0)</f>
        <v>433417</v>
      </c>
      <c r="F18" s="19">
        <f>ROUND(HF_Params!G7*1000*(1+($W$2-1)*0.7)*$W$4*(1+HF_Params!E40*HF_Params!$B$35),0)</f>
        <v>509902</v>
      </c>
      <c r="G18" s="18">
        <f>ROUND(HF_Params!H7*1000*(1+($W$2-1)*0.7)*$W$4*(1+HF_Params!A40*HF_Params!$B$35)*(1+$D$8/100*HF_Params!E46),0)</f>
        <v>458912</v>
      </c>
      <c r="H18" s="19">
        <f>ROUND(HF_Params!I7*1000*(1+($W$2-1)*0.7)*$W$4*(1+HF_Params!B40*HF_Params!$B$35)*(1+$D$8/100*HF_Params!E46),0)</f>
        <v>713863</v>
      </c>
      <c r="I18" s="20">
        <f>ROUND(HF_Params!J7*1000*(1+($W$2-1)*0.7)*$W$4*(1+HF_Params!C40*HF_Params!$B$35)*(1+$D$8/100*HF_Params!E46),0)</f>
        <v>1121784</v>
      </c>
      <c r="J18" s="19">
        <f>ROUND(HF_Params!K7*1000*(1+($W$2-1)*0.7)*$W$4*(1+HF_Params!D40*HF_Params!$B$35)*(1+$D$8/100*HF_Params!E46),0)</f>
        <v>1733667</v>
      </c>
      <c r="K18" s="19">
        <f>ROUND(HF_Params!L7*1000*(1+($W$2-1)*0.7)*$W$4*(1+HF_Params!E40*HF_Params!$B$35)*(1+$D$8/100*HF_Params!E46),0)</f>
        <v>2549510</v>
      </c>
      <c r="L18" s="18">
        <f>ROUND(HF_Params!H7*1000*HF_Params!M7*(1+($W$2-1)*0.7)*$W$4*(1+HF_Params!A40*HF_Params!$B$35)*(1+$D$8/100*HF_Params!E46),0)</f>
        <v>596585</v>
      </c>
      <c r="M18" s="19">
        <f>ROUND(HF_Params!I7*1000*HF_Params!M7*(1+($W$2-1)*0.7)*$W$4*(1+HF_Params!B40*HF_Params!$B$35)*(1+$D$8/100*HF_Params!E46),0)</f>
        <v>928022</v>
      </c>
      <c r="N18" s="20">
        <f>ROUND(HF_Params!J7*1000*HF_Params!M7*(1+($W$2-1)*0.7)*$W$4*(1+HF_Params!C40*HF_Params!$B$35)*(1+$D$8/100*HF_Params!E46),0)</f>
        <v>1458320</v>
      </c>
      <c r="O18" s="19">
        <f>ROUND(HF_Params!K7*1000*HF_Params!M7*(1+($W$2-1)*0.7)*$W$4*(1+HF_Params!D40*HF_Params!$B$35)*(1+$D$8/100*HF_Params!E46),0)</f>
        <v>2253767</v>
      </c>
      <c r="P18" s="19">
        <f>ROUND(HF_Params!L7*1000*HF_Params!M7*(1+($W$2-1)*0.7)*$W$4*(1+HF_Params!E40*HF_Params!$B$35)*(1+$D$8/100*HF_Params!E46),0)</f>
        <v>3314363</v>
      </c>
      <c r="Q18" s="55"/>
      <c r="R18" s="55"/>
      <c r="S18" s="55"/>
      <c r="T18" s="55"/>
      <c r="U18" s="55"/>
      <c r="V18" s="4"/>
      <c r="W18" s="4"/>
    </row>
    <row r="19" spans="1:23" ht="18" customHeight="1" x14ac:dyDescent="0.3">
      <c r="A19" s="21" t="s">
        <v>23</v>
      </c>
      <c r="B19" s="22">
        <f>ROUND(HF_Params!C8*1000*(1+($W$2-1)*0.8)*$W$4*(1+HF_Params!A40*HF_Params!$B$35),0)</f>
        <v>280446</v>
      </c>
      <c r="C19" s="23">
        <f>ROUND(HF_Params!D8*1000*(1+($W$2-1)*0.8)*$W$4*(1+HF_Params!B40*HF_Params!$B$35),0)</f>
        <v>331436</v>
      </c>
      <c r="D19" s="20">
        <f>ROUND(HF_Params!E8*1000*(1+($W$2-1)*0.8)*$W$4*(1+HF_Params!C40*HF_Params!$B$35),0)</f>
        <v>407922</v>
      </c>
      <c r="E19" s="23">
        <f>ROUND(HF_Params!F8*1000*(1+($W$2-1)*0.8)*$W$4*(1+HF_Params!D40*HF_Params!$B$35),0)</f>
        <v>509902</v>
      </c>
      <c r="F19" s="23">
        <f>ROUND(HF_Params!G8*1000*(1+($W$2-1)*0.8)*$W$4*(1+HF_Params!E40*HF_Params!$B$35),0)</f>
        <v>611882</v>
      </c>
      <c r="G19" s="22">
        <f>ROUND(HF_Params!H8*1000*(1+($W$2-1)*0.8)*$W$4*(1+HF_Params!A40*HF_Params!$B$35)*(1+$D$8/100*HF_Params!F46),0)</f>
        <v>713863</v>
      </c>
      <c r="H19" s="23">
        <f>ROUND(HF_Params!I8*1000*(1+($W$2-1)*0.8)*$W$4*(1+HF_Params!B40*HF_Params!$B$35)*(1+$D$8/100*HF_Params!F46),0)</f>
        <v>1223765</v>
      </c>
      <c r="I19" s="20">
        <f>ROUND(HF_Params!J8*1000*(1+($W$2-1)*0.8)*$W$4*(1+HF_Params!C40*HF_Params!$B$35)*(1+$D$8/100*HF_Params!F46),0)</f>
        <v>2039608</v>
      </c>
      <c r="J19" s="23">
        <f>ROUND(HF_Params!K8*1000*(1+($W$2-1)*0.8)*$W$4*(1+HF_Params!D40*HF_Params!$B$35)*(1+$D$8/100*HF_Params!F46),0)</f>
        <v>3569314</v>
      </c>
      <c r="K19" s="23">
        <f>ROUND(HF_Params!L8*1000*(1+($W$2-1)*0.8)*$W$4*(1+HF_Params!E40*HF_Params!$B$35)*(1+$D$8/100*HF_Params!F46),0)</f>
        <v>5608921</v>
      </c>
      <c r="L19" s="22">
        <f>ROUND(HF_Params!H8*1000*HF_Params!M8*(1+($W$2-1)*0.8)*$W$4*(1+HF_Params!A40*HF_Params!$B$35)*(1+$D$8/100*HF_Params!F46),0)</f>
        <v>1070794</v>
      </c>
      <c r="M19" s="23">
        <f>ROUND(HF_Params!I8*1000*HF_Params!M8*(1+($W$2-1)*0.8)*$W$4*(1+HF_Params!B40*HF_Params!$B$35)*(1+$D$8/100*HF_Params!F46),0)</f>
        <v>1835647</v>
      </c>
      <c r="N19" s="20">
        <f>ROUND(HF_Params!J8*1000*HF_Params!M8*(1+($W$2-1)*0.8)*$W$4*(1+HF_Params!C40*HF_Params!$B$35)*(1+$D$8/100*HF_Params!F46),0)</f>
        <v>3059412</v>
      </c>
      <c r="O19" s="23">
        <f>ROUND(HF_Params!K8*1000*HF_Params!M8*(1+($W$2-1)*0.8)*$W$4*(1+HF_Params!D40*HF_Params!$B$35)*(1+$D$8/100*HF_Params!F46),0)</f>
        <v>5353970</v>
      </c>
      <c r="P19" s="23">
        <f>ROUND(HF_Params!L8*1000*HF_Params!M8*(1+($W$2-1)*0.8)*$W$4*(1+HF_Params!E40*HF_Params!$B$35)*(1+$D$8/100*HF_Params!F46),0)</f>
        <v>8413382</v>
      </c>
      <c r="Q19" s="55"/>
      <c r="R19" s="55"/>
      <c r="S19" s="55"/>
      <c r="T19" s="55"/>
      <c r="U19" s="55"/>
      <c r="V19" s="4"/>
      <c r="W19" s="4"/>
    </row>
    <row r="20" spans="1:23" ht="18" customHeight="1" x14ac:dyDescent="0.3">
      <c r="A20" s="17" t="s">
        <v>24</v>
      </c>
      <c r="B20" s="18">
        <f>ROUND(HF_Params!C9*1000*(1+($W$2-1)*0.9)*$W$4*(1+HF_Params!A40*HF_Params!$B$35),0)</f>
        <v>331436</v>
      </c>
      <c r="C20" s="19">
        <f>ROUND(HF_Params!D9*1000*(1+($W$2-1)*0.9)*$W$4*(1+HF_Params!B40*HF_Params!$B$35),0)</f>
        <v>407922</v>
      </c>
      <c r="D20" s="20">
        <f>ROUND(HF_Params!E9*1000*(1+($W$2-1)*0.9)*$W$4*(1+HF_Params!C40*HF_Params!$B$35),0)</f>
        <v>509902</v>
      </c>
      <c r="E20" s="19">
        <f>ROUND(HF_Params!F9*1000*(1+($W$2-1)*0.9)*$W$4*(1+HF_Params!D40*HF_Params!$B$35),0)</f>
        <v>611882</v>
      </c>
      <c r="F20" s="19">
        <f>ROUND(HF_Params!G9*1000*(1+($W$2-1)*0.9)*$W$4*(1+HF_Params!E40*HF_Params!$B$35),0)</f>
        <v>764853</v>
      </c>
      <c r="G20" s="18">
        <f>ROUND(HF_Params!H9*1000*(1+($W$2-1)*0.9)*$W$4*(1+HF_Params!A40*HF_Params!$B$35)*(1+$D$8/100*HF_Params!G46),0)</f>
        <v>1121784</v>
      </c>
      <c r="H20" s="19">
        <f>ROUND(HF_Params!I9*1000*(1+($W$2-1)*0.9)*$W$4*(1+HF_Params!B40*HF_Params!$B$35)*(1+$D$8/100*HF_Params!G46),0)</f>
        <v>2039608</v>
      </c>
      <c r="I20" s="20">
        <f>ROUND(HF_Params!J9*1000*(1+($W$2-1)*0.9)*$W$4*(1+HF_Params!C40*HF_Params!$B$35)*(1+$D$8/100*HF_Params!G46),0)</f>
        <v>3569314</v>
      </c>
      <c r="J20" s="19">
        <f>ROUND(HF_Params!K9*1000*(1+($W$2-1)*0.9)*$W$4*(1+HF_Params!D40*HF_Params!$B$35)*(1+$D$8/100*HF_Params!G46),0)</f>
        <v>6118823</v>
      </c>
      <c r="K20" s="19">
        <f>ROUND(HF_Params!L9*1000*(1+($W$2-1)*0.9)*$W$4*(1+HF_Params!E40*HF_Params!$B$35)*(1+$D$8/100*HF_Params!G46),0)</f>
        <v>10198039</v>
      </c>
      <c r="L20" s="18">
        <f>ROUND(HF_Params!H9*1000*HF_Params!M9*(1+($W$2-1)*0.9)*$W$4*(1+HF_Params!A40*HF_Params!$B$35)*(1+$D$8/100*HF_Params!G46),0)</f>
        <v>1963123</v>
      </c>
      <c r="M20" s="19">
        <f>ROUND(HF_Params!I9*1000*HF_Params!M9*(1+($W$2-1)*0.9)*$W$4*(1+HF_Params!B40*HF_Params!$B$35)*(1+$D$8/100*HF_Params!G46),0)</f>
        <v>3569314</v>
      </c>
      <c r="N20" s="20">
        <f>ROUND(HF_Params!J9*1000*HF_Params!M9*(1+($W$2-1)*0.9)*$W$4*(1+HF_Params!C40*HF_Params!$B$35)*(1+$D$8/100*HF_Params!G46),0)</f>
        <v>6246299</v>
      </c>
      <c r="O20" s="19">
        <f>ROUND(HF_Params!K9*1000*HF_Params!M9*(1+($W$2-1)*0.9)*$W$4*(1+HF_Params!D40*HF_Params!$B$35)*(1+$D$8/100*HF_Params!G46),0)</f>
        <v>10707941</v>
      </c>
      <c r="P20" s="19">
        <f>ROUND(HF_Params!L9*1000*HF_Params!M9*(1+($W$2-1)*0.9)*$W$4*(1+HF_Params!E40*HF_Params!$B$35)*(1+$D$8/100*HF_Params!G46),0)</f>
        <v>17846568</v>
      </c>
      <c r="Q20" s="55"/>
      <c r="R20" s="55"/>
      <c r="S20" s="55"/>
      <c r="T20" s="55"/>
      <c r="U20" s="55"/>
      <c r="V20" s="4"/>
      <c r="W20" s="4"/>
    </row>
    <row r="21" spans="1:23" ht="18" customHeight="1" x14ac:dyDescent="0.3">
      <c r="A21" s="21" t="s">
        <v>25</v>
      </c>
      <c r="B21" s="22">
        <f>ROUND(HF_Params!C10*1000*(1+($W$2-1)*1)*$W$4*(1+HF_Params!A40*HF_Params!$B$35),0)</f>
        <v>407922</v>
      </c>
      <c r="C21" s="23">
        <f>ROUND(HF_Params!D10*1000*(1+($W$2-1)*1)*$W$4*(1+HF_Params!B40*HF_Params!$B$35),0)</f>
        <v>509902</v>
      </c>
      <c r="D21" s="20">
        <f>ROUND(HF_Params!E10*1000*(1+($W$2-1)*1)*$W$4*(1+HF_Params!C40*HF_Params!$B$35),0)</f>
        <v>662873</v>
      </c>
      <c r="E21" s="23">
        <f>ROUND(HF_Params!F10*1000*(1+($W$2-1)*1)*$W$4*(1+HF_Params!D40*HF_Params!$B$35),0)</f>
        <v>815843</v>
      </c>
      <c r="F21" s="23">
        <f>ROUND(HF_Params!G10*1000*(1+($W$2-1)*1)*$W$4*(1+HF_Params!E40*HF_Params!$B$35),0)</f>
        <v>1019804</v>
      </c>
      <c r="G21" s="22">
        <f>ROUND(HF_Params!H10*1000*(1+($W$2-1)*1)*$W$4*(1+HF_Params!A40*HF_Params!$B$35)*(1+$D$8/100*HF_Params!H46),0)</f>
        <v>1835647</v>
      </c>
      <c r="H21" s="23">
        <f>ROUND(HF_Params!I10*1000*(1+($W$2-1)*1)*$W$4*(1+HF_Params!B40*HF_Params!$B$35)*(1+$D$8/100*HF_Params!H46),0)</f>
        <v>3569314</v>
      </c>
      <c r="I21" s="20">
        <f>ROUND(HF_Params!J10*1000*(1+($W$2-1)*1)*$W$4*(1+HF_Params!C40*HF_Params!$B$35)*(1+$D$8/100*HF_Params!H46),0)</f>
        <v>6118823</v>
      </c>
      <c r="J21" s="23">
        <f>ROUND(HF_Params!K10*1000*(1+($W$2-1)*1)*$W$4*(1+HF_Params!D40*HF_Params!$B$35)*(1+$D$8/100*HF_Params!H46),0)</f>
        <v>12237647</v>
      </c>
      <c r="K21" s="23">
        <f>ROUND(HF_Params!L10*1000*(1+($W$2-1)*1)*$W$4*(1+HF_Params!E40*HF_Params!$B$35)*(1+$D$8/100*HF_Params!H46),0)</f>
        <v>20396078</v>
      </c>
      <c r="L21" s="22">
        <f>ROUND(HF_Params!H10*1000*HF_Params!M10*(1+($W$2-1)*1)*$W$4*(1+HF_Params!A40*HF_Params!$B$35)*(1+$D$8/100*HF_Params!H46),0)</f>
        <v>3671294</v>
      </c>
      <c r="M21" s="23">
        <f>ROUND(HF_Params!I10*1000*HF_Params!M10*(1+($W$2-1)*1)*$W$4*(1+HF_Params!B40*HF_Params!$B$35)*(1+$D$8/100*HF_Params!H46),0)</f>
        <v>7138627</v>
      </c>
      <c r="N21" s="20">
        <f>ROUND(HF_Params!J10*1000*HF_Params!M10*(1+($W$2-1)*1)*$W$4*(1+HF_Params!C40*HF_Params!$B$35)*(1+$D$8/100*HF_Params!H46),0)</f>
        <v>12237647</v>
      </c>
      <c r="O21" s="23">
        <f>ROUND(HF_Params!K10*1000*HF_Params!M10*(1+($W$2-1)*1)*$W$4*(1+HF_Params!D40*HF_Params!$B$35)*(1+$D$8/100*HF_Params!H46),0)</f>
        <v>24475294</v>
      </c>
      <c r="P21" s="23">
        <f>ROUND(HF_Params!L10*1000*HF_Params!M10*(1+($W$2-1)*1)*$W$4*(1+HF_Params!E40*HF_Params!$B$35)*(1+$D$8/100*HF_Params!H46),0)</f>
        <v>40792156</v>
      </c>
      <c r="Q21" s="55"/>
      <c r="R21" s="55"/>
      <c r="S21" s="55"/>
      <c r="T21" s="55"/>
      <c r="U21" s="55"/>
      <c r="V21" s="4"/>
      <c r="W21" s="4"/>
    </row>
    <row r="22" spans="1:23" ht="16.05" customHeight="1" x14ac:dyDescent="0.3">
      <c r="A22" s="56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51"/>
      <c r="R22" s="51"/>
      <c r="S22" s="51"/>
      <c r="T22" s="51"/>
      <c r="U22" s="51"/>
      <c r="V22" s="4"/>
      <c r="W22" s="4"/>
    </row>
    <row r="23" spans="1:23" ht="7.9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51"/>
      <c r="R23" s="51"/>
      <c r="S23" s="51"/>
      <c r="T23" s="51"/>
      <c r="U23" s="51"/>
      <c r="V23" s="4"/>
      <c r="W23" s="4"/>
    </row>
    <row r="24" spans="1:23" ht="22.05" customHeight="1" x14ac:dyDescent="0.3">
      <c r="A24" s="116" t="str">
        <f>"Operations &amp; Infrastructure (S"&amp;A8&amp;")"</f>
        <v>Operations &amp; Infrastructure (S3)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50"/>
      <c r="R24" s="50"/>
      <c r="S24" s="50"/>
      <c r="T24" s="50"/>
      <c r="U24" s="50"/>
      <c r="V24" s="4"/>
      <c r="W24" s="4"/>
    </row>
    <row r="25" spans="1:23" ht="19.95" customHeight="1" x14ac:dyDescent="0.3">
      <c r="A25" s="13"/>
      <c r="B25" s="97" t="s">
        <v>9</v>
      </c>
      <c r="C25" s="98"/>
      <c r="D25" s="98"/>
      <c r="E25" s="98"/>
      <c r="F25" s="98"/>
      <c r="G25" s="102" t="s">
        <v>10</v>
      </c>
      <c r="H25" s="98"/>
      <c r="I25" s="98"/>
      <c r="J25" s="98"/>
      <c r="K25" s="98"/>
      <c r="L25" s="119" t="s">
        <v>11</v>
      </c>
      <c r="M25" s="98"/>
      <c r="N25" s="98"/>
      <c r="O25" s="98"/>
      <c r="P25" s="98"/>
      <c r="Q25" s="53"/>
      <c r="R25" s="53"/>
      <c r="S25" s="53"/>
      <c r="T25" s="53"/>
      <c r="U25" s="53"/>
      <c r="V25" s="4"/>
      <c r="W25" s="4"/>
    </row>
    <row r="26" spans="1:23" ht="19.95" customHeight="1" x14ac:dyDescent="0.3">
      <c r="A26" s="14" t="s">
        <v>12</v>
      </c>
      <c r="B26" s="15" t="s">
        <v>13</v>
      </c>
      <c r="C26" s="16" t="s">
        <v>14</v>
      </c>
      <c r="D26" s="16" t="s">
        <v>15</v>
      </c>
      <c r="E26" s="16" t="s">
        <v>16</v>
      </c>
      <c r="F26" s="16" t="s">
        <v>17</v>
      </c>
      <c r="G26" s="15" t="s">
        <v>13</v>
      </c>
      <c r="H26" s="16" t="s">
        <v>14</v>
      </c>
      <c r="I26" s="16" t="s">
        <v>15</v>
      </c>
      <c r="J26" s="16" t="s">
        <v>16</v>
      </c>
      <c r="K26" s="16" t="s">
        <v>17</v>
      </c>
      <c r="L26" s="57" t="s">
        <v>13</v>
      </c>
      <c r="M26" s="57" t="s">
        <v>14</v>
      </c>
      <c r="N26" s="57" t="s">
        <v>15</v>
      </c>
      <c r="O26" s="57" t="s">
        <v>16</v>
      </c>
      <c r="P26" s="57" t="s">
        <v>17</v>
      </c>
      <c r="Q26" s="54"/>
      <c r="R26" s="54"/>
      <c r="S26" s="54"/>
      <c r="T26" s="54"/>
      <c r="U26" s="54"/>
      <c r="V26" s="4"/>
      <c r="W26" s="4"/>
    </row>
    <row r="27" spans="1:23" ht="18" customHeight="1" x14ac:dyDescent="0.3">
      <c r="A27" s="17" t="s">
        <v>27</v>
      </c>
      <c r="B27" s="18">
        <f>ROUND(HF_Params!C15*1000*(1+($W$2-1)*0.3)*$W$4*(1+HF_Params!A40*HF_Params!$B$35),0)</f>
        <v>69347</v>
      </c>
      <c r="C27" s="19">
        <f>ROUND(HF_Params!D15*1000*(1+($W$2-1)*0.3)*$W$4*(1+HF_Params!B40*HF_Params!$B$35),0)</f>
        <v>77505</v>
      </c>
      <c r="D27" s="20">
        <f>ROUND(HF_Params!E15*1000*(1+($W$2-1)*0.3)*$W$4*(1+HF_Params!C40*HF_Params!$B$35),0)</f>
        <v>93822</v>
      </c>
      <c r="E27" s="19">
        <f>ROUND(HF_Params!F15*1000*(1+($W$2-1)*0.3)*$W$4*(1+HF_Params!D40*HF_Params!$B$35),0)</f>
        <v>110139</v>
      </c>
      <c r="F27" s="19">
        <f>ROUND(HF_Params!G15*1000*(1+($W$2-1)*0.3)*$W$4*(1+HF_Params!E40*HF_Params!$B$35),0)</f>
        <v>130535</v>
      </c>
      <c r="G27" s="18">
        <f>ROUND(HF_Params!H15*1000*(1+($W$2-1)*0.3)*$W$4*(1+HF_Params!A40*HF_Params!$B$35)*(1+$D$8/100*HF_Params!A46),0)</f>
        <v>73426</v>
      </c>
      <c r="H27" s="19">
        <f>ROUND(HF_Params!I15*1000*(1+($W$2-1)*0.3)*$W$4*(1+HF_Params!B40*HF_Params!$B$35)*(1+$D$8/100*HF_Params!A46),0)</f>
        <v>84644</v>
      </c>
      <c r="I27" s="20">
        <f>ROUND(HF_Params!J15*1000*(1+($W$2-1)*0.3)*$W$4*(1+HF_Params!C40*HF_Params!$B$35)*(1+$D$8/100*HF_Params!A46),0)</f>
        <v>107079</v>
      </c>
      <c r="J27" s="19">
        <f>ROUND(HF_Params!K15*1000*(1+($W$2-1)*0.3)*$W$4*(1+HF_Params!D40*HF_Params!$B$35)*(1+$D$8/100*HF_Params!A46),0)</f>
        <v>132575</v>
      </c>
      <c r="K27" s="19">
        <f>ROUND(HF_Params!L15*1000*(1+($W$2-1)*0.3)*$W$4*(1+HF_Params!E40*HF_Params!$B$35)*(1+$D$8/100*HF_Params!A46),0)</f>
        <v>168268</v>
      </c>
      <c r="L27" s="68">
        <f>ROUND(G27*(1+$D$8/100*HF_Params!A46),0)</f>
        <v>73426</v>
      </c>
      <c r="M27" s="68">
        <f>ROUND(H27*(1+$D$8/100*HF_Params!A46),0)</f>
        <v>84644</v>
      </c>
      <c r="N27" s="69">
        <f>ROUND(I27*(1+$D$8/100*HF_Params!A46),0)</f>
        <v>107079</v>
      </c>
      <c r="O27" s="68">
        <f>ROUND(J27*(1+$D$8/100*HF_Params!A46),0)</f>
        <v>132575</v>
      </c>
      <c r="P27" s="68">
        <f>ROUND(K27*(1+$D$8/100*HF_Params!A46),0)</f>
        <v>168268</v>
      </c>
      <c r="Q27" s="55"/>
      <c r="R27" s="55"/>
      <c r="S27" s="55"/>
      <c r="T27" s="55"/>
      <c r="U27" s="55"/>
      <c r="V27" s="4"/>
      <c r="W27" s="4"/>
    </row>
    <row r="28" spans="1:23" ht="18" customHeight="1" x14ac:dyDescent="0.3">
      <c r="A28" s="21" t="s">
        <v>28</v>
      </c>
      <c r="B28" s="22">
        <f>ROUND(HF_Params!C16*1000*(1+($W$2-1)*0.4)*$W$4*(1+HF_Params!A40*HF_Params!$B$35),0)</f>
        <v>95862</v>
      </c>
      <c r="C28" s="23">
        <f>ROUND(HF_Params!D16*1000*(1+($W$2-1)*0.4)*$W$4*(1+HF_Params!B40*HF_Params!$B$35),0)</f>
        <v>113198</v>
      </c>
      <c r="D28" s="20">
        <f>ROUND(HF_Params!E16*1000*(1+($W$2-1)*0.4)*$W$4*(1+HF_Params!C40*HF_Params!$B$35),0)</f>
        <v>134614</v>
      </c>
      <c r="E28" s="23">
        <f>ROUND(HF_Params!F16*1000*(1+($W$2-1)*0.4)*$W$4*(1+HF_Params!D40*HF_Params!$B$35),0)</f>
        <v>156030</v>
      </c>
      <c r="F28" s="23">
        <f>ROUND(HF_Params!G16*1000*(1+($W$2-1)*0.4)*$W$4*(1+HF_Params!E40*HF_Params!$B$35),0)</f>
        <v>182545</v>
      </c>
      <c r="G28" s="22">
        <f>ROUND(HF_Params!H16*1000*(1+($W$2-1)*0.4)*$W$4*(1+HF_Params!A40*HF_Params!$B$35)*(1+$D$8/100*HF_Params!B46),0)</f>
        <v>106060</v>
      </c>
      <c r="H28" s="23">
        <f>ROUND(HF_Params!I16*1000*(1+($W$2-1)*0.4)*$W$4*(1+HF_Params!B40*HF_Params!$B$35)*(1+$D$8/100*HF_Params!B46),0)</f>
        <v>130535</v>
      </c>
      <c r="I28" s="20">
        <f>ROUND(HF_Params!J16*1000*(1+($W$2-1)*0.4)*$W$4*(1+HF_Params!C40*HF_Params!$B$35)*(1+$D$8/100*HF_Params!B46),0)</f>
        <v>165208</v>
      </c>
      <c r="J28" s="23">
        <f>ROUND(HF_Params!K16*1000*(1+($W$2-1)*0.4)*$W$4*(1+HF_Params!D40*HF_Params!$B$35)*(1+$D$8/100*HF_Params!B46),0)</f>
        <v>214159</v>
      </c>
      <c r="K28" s="23">
        <f>ROUND(HF_Params!L16*1000*(1+($W$2-1)*0.4)*$W$4*(1+HF_Params!E40*HF_Params!$B$35)*(1+$D$8/100*HF_Params!B46),0)</f>
        <v>275347</v>
      </c>
      <c r="L28" s="70">
        <f>ROUND(G28*(1+$D$8/100*HF_Params!B46),0)</f>
        <v>106060</v>
      </c>
      <c r="M28" s="70">
        <f>ROUND(H28*(1+$D$8/100*HF_Params!B46),0)</f>
        <v>130535</v>
      </c>
      <c r="N28" s="69">
        <f>ROUND(I28*(1+$D$8/100*HF_Params!B46),0)</f>
        <v>165208</v>
      </c>
      <c r="O28" s="70">
        <f>ROUND(J28*(1+$D$8/100*HF_Params!B46),0)</f>
        <v>214159</v>
      </c>
      <c r="P28" s="70">
        <f>ROUND(K28*(1+$D$8/100*HF_Params!B46),0)</f>
        <v>275347</v>
      </c>
      <c r="Q28" s="55"/>
      <c r="R28" s="55"/>
      <c r="S28" s="55"/>
      <c r="T28" s="55"/>
      <c r="U28" s="55"/>
      <c r="V28" s="4"/>
      <c r="W28" s="4"/>
    </row>
    <row r="29" spans="1:23" ht="18" customHeight="1" x14ac:dyDescent="0.3">
      <c r="A29" s="17" t="s">
        <v>29</v>
      </c>
      <c r="B29" s="18">
        <f>ROUND(HF_Params!C17*1000*(1+($W$2-1)*0.5)*$W$4*(1+HF_Params!A40*HF_Params!$B$35),0)</f>
        <v>121357</v>
      </c>
      <c r="C29" s="19">
        <f>ROUND(HF_Params!D17*1000*(1+($W$2-1)*0.5)*$W$4*(1+HF_Params!B40*HF_Params!$B$35),0)</f>
        <v>142773</v>
      </c>
      <c r="D29" s="20">
        <f>ROUND(HF_Params!E17*1000*(1+($W$2-1)*0.5)*$W$4*(1+HF_Params!C40*HF_Params!$B$35),0)</f>
        <v>169287</v>
      </c>
      <c r="E29" s="19">
        <f>ROUND(HF_Params!F17*1000*(1+($W$2-1)*0.5)*$W$4*(1+HF_Params!D40*HF_Params!$B$35),0)</f>
        <v>199882</v>
      </c>
      <c r="F29" s="19">
        <f>ROUND(HF_Params!G17*1000*(1+($W$2-1)*0.5)*$W$4*(1+HF_Params!E40*HF_Params!$B$35),0)</f>
        <v>234555</v>
      </c>
      <c r="G29" s="18">
        <f>ROUND(HF_Params!H17*1000*(1+($W$2-1)*0.5)*$W$4*(1+HF_Params!A40*HF_Params!$B$35)*(1+$D$8/100*HF_Params!C46),0)</f>
        <v>137674</v>
      </c>
      <c r="H29" s="19">
        <f>ROUND(HF_Params!I17*1000*(1+($W$2-1)*0.5)*$W$4*(1+HF_Params!B40*HF_Params!$B$35)*(1+$D$8/100*HF_Params!C46),0)</f>
        <v>170307</v>
      </c>
      <c r="I29" s="20">
        <f>ROUND(HF_Params!J17*1000*(1+($W$2-1)*0.5)*$W$4*(1+HF_Params!C40*HF_Params!$B$35)*(1+$D$8/100*HF_Params!C46),0)</f>
        <v>219258</v>
      </c>
      <c r="J29" s="19">
        <f>ROUND(HF_Params!K17*1000*(1+($W$2-1)*0.5)*$W$4*(1+HF_Params!D40*HF_Params!$B$35)*(1+$D$8/100*HF_Params!C46),0)</f>
        <v>295743</v>
      </c>
      <c r="K29" s="19">
        <f>ROUND(HF_Params!L17*1000*(1+($W$2-1)*0.5)*$W$4*(1+HF_Params!E40*HF_Params!$B$35)*(1+$D$8/100*HF_Params!C46),0)</f>
        <v>387525</v>
      </c>
      <c r="L29" s="68">
        <f>ROUND(G29*1.02*(1+$D$8/100*HF_Params!C46),0)</f>
        <v>140427</v>
      </c>
      <c r="M29" s="68">
        <f>ROUND(H29*1.02*(1+$D$8/100*HF_Params!C46),0)</f>
        <v>173713</v>
      </c>
      <c r="N29" s="69">
        <f>ROUND(I29*1.02*(1+$D$8/100*HF_Params!C46),0)</f>
        <v>223643</v>
      </c>
      <c r="O29" s="68">
        <f>ROUND(J29*1.02*(1+$D$8/100*HF_Params!C46),0)</f>
        <v>301658</v>
      </c>
      <c r="P29" s="68">
        <f>ROUND(K29*1.02*(1+$D$8/100*HF_Params!C46),0)</f>
        <v>395276</v>
      </c>
      <c r="Q29" s="55"/>
      <c r="R29" s="55"/>
      <c r="S29" s="55"/>
      <c r="T29" s="55"/>
      <c r="U29" s="55"/>
      <c r="V29" s="4"/>
      <c r="W29" s="4"/>
    </row>
    <row r="30" spans="1:23" ht="18" customHeight="1" x14ac:dyDescent="0.3">
      <c r="A30" s="21" t="s">
        <v>30</v>
      </c>
      <c r="B30" s="22">
        <f>ROUND(HF_Params!C18*1000*(1+($W$2-1)*0.6)*$W$4*(1+HF_Params!A40*HF_Params!$B$35),0)</f>
        <v>157050</v>
      </c>
      <c r="C30" s="23">
        <f>ROUND(HF_Params!D18*1000*(1+($W$2-1)*0.6)*$W$4*(1+HF_Params!B40*HF_Params!$B$35),0)</f>
        <v>188664</v>
      </c>
      <c r="D30" s="20">
        <f>ROUND(HF_Params!E18*1000*(1+($W$2-1)*0.6)*$W$4*(1+HF_Params!C40*HF_Params!$B$35),0)</f>
        <v>233535</v>
      </c>
      <c r="E30" s="23">
        <f>ROUND(HF_Params!F18*1000*(1+($W$2-1)*0.6)*$W$4*(1+HF_Params!D40*HF_Params!$B$35),0)</f>
        <v>278406</v>
      </c>
      <c r="F30" s="23">
        <f>ROUND(HF_Params!G18*1000*(1+($W$2-1)*0.6)*$W$4*(1+HF_Params!E40*HF_Params!$B$35),0)</f>
        <v>336535</v>
      </c>
      <c r="G30" s="22">
        <f>ROUND(HF_Params!H18*1000*(1+($W$2-1)*0.6)*$W$4*(1+HF_Params!A40*HF_Params!$B$35)*(1+$D$8/100*HF_Params!D46),0)</f>
        <v>188664</v>
      </c>
      <c r="H30" s="23">
        <f>ROUND(HF_Params!I18*1000*(1+($W$2-1)*0.6)*$W$4*(1+HF_Params!B40*HF_Params!$B$35)*(1+$D$8/100*HF_Params!D46),0)</f>
        <v>239654</v>
      </c>
      <c r="I30" s="20">
        <f>ROUND(HF_Params!J18*1000*(1+($W$2-1)*0.6)*$W$4*(1+HF_Params!C40*HF_Params!$B$35)*(1+$D$8/100*HF_Params!D46),0)</f>
        <v>336535</v>
      </c>
      <c r="J30" s="23">
        <f>ROUND(HF_Params!K18*1000*(1+($W$2-1)*0.6)*$W$4*(1+HF_Params!D40*HF_Params!$B$35)*(1+$D$8/100*HF_Params!D46),0)</f>
        <v>484407</v>
      </c>
      <c r="K30" s="23">
        <f>ROUND(HF_Params!L18*1000*(1+($W$2-1)*0.6)*$W$4*(1+HF_Params!E40*HF_Params!$B$35)*(1+$D$8/100*HF_Params!D46),0)</f>
        <v>662873</v>
      </c>
      <c r="L30" s="70">
        <f>ROUND(G30*1.03*(1+$D$8/100*HF_Params!D46),0)</f>
        <v>194324</v>
      </c>
      <c r="M30" s="70">
        <f>ROUND(H30*1.03*(1+$D$8/100*HF_Params!D46),0)</f>
        <v>246844</v>
      </c>
      <c r="N30" s="69">
        <f>ROUND(I30*1.03*(1+$D$8/100*HF_Params!D46),0)</f>
        <v>346631</v>
      </c>
      <c r="O30" s="70">
        <f>ROUND(J30*1.03*(1+$D$8/100*HF_Params!D46),0)</f>
        <v>498939</v>
      </c>
      <c r="P30" s="70">
        <f>ROUND(K30*1.03*(1+$D$8/100*HF_Params!D46),0)</f>
        <v>682759</v>
      </c>
      <c r="Q30" s="55"/>
      <c r="R30" s="55"/>
      <c r="S30" s="55"/>
      <c r="T30" s="55"/>
      <c r="U30" s="55"/>
      <c r="V30" s="4"/>
      <c r="W30" s="4"/>
    </row>
    <row r="31" spans="1:23" ht="18" customHeight="1" x14ac:dyDescent="0.3">
      <c r="A31" s="17" t="s">
        <v>31</v>
      </c>
      <c r="B31" s="18">
        <f>ROUND(HF_Params!C19*1000*(1+($W$2-1)*0.7)*$W$4*(1+HF_Params!A40*HF_Params!$B$35),0)</f>
        <v>207020</v>
      </c>
      <c r="C31" s="19">
        <f>ROUND(HF_Params!D19*1000*(1+($W$2-1)*0.7)*$W$4*(1+HF_Params!B40*HF_Params!$B$35),0)</f>
        <v>252911</v>
      </c>
      <c r="D31" s="20">
        <f>ROUND(HF_Params!E19*1000*(1+($W$2-1)*0.7)*$W$4*(1+HF_Params!C40*HF_Params!$B$35),0)</f>
        <v>321238</v>
      </c>
      <c r="E31" s="19">
        <f>ROUND(HF_Params!F19*1000*(1+($W$2-1)*0.7)*$W$4*(1+HF_Params!D40*HF_Params!$B$35),0)</f>
        <v>390585</v>
      </c>
      <c r="F31" s="19">
        <f>ROUND(HF_Params!G19*1000*(1+($W$2-1)*0.7)*$W$4*(1+HF_Params!E40*HF_Params!$B$35),0)</f>
        <v>458912</v>
      </c>
      <c r="G31" s="18">
        <f>ROUND(HF_Params!H19*1000*(1+($W$2-1)*0.7)*$W$4*(1+HF_Params!A40*HF_Params!$B$35)*(1+$D$8/100*HF_Params!E46),0)</f>
        <v>265149</v>
      </c>
      <c r="H31" s="19">
        <f>ROUND(HF_Params!I19*1000*(1+($W$2-1)*0.7)*$W$4*(1+HF_Params!B40*HF_Params!$B$35)*(1+$D$8/100*HF_Params!E46),0)</f>
        <v>387525</v>
      </c>
      <c r="I31" s="20">
        <f>ROUND(HF_Params!J19*1000*(1+($W$2-1)*0.7)*$W$4*(1+HF_Params!C40*HF_Params!$B$35)*(1+$D$8/100*HF_Params!E46),0)</f>
        <v>571090</v>
      </c>
      <c r="J31" s="19">
        <f>ROUND(HF_Params!K19*1000*(1+($W$2-1)*0.7)*$W$4*(1+HF_Params!D40*HF_Params!$B$35)*(1+$D$8/100*HF_Params!E46),0)</f>
        <v>826041</v>
      </c>
      <c r="K31" s="19">
        <f>ROUND(HF_Params!L19*1000*(1+($W$2-1)*0.7)*$W$4*(1+HF_Params!E40*HF_Params!$B$35)*(1+$D$8/100*HF_Params!E46),0)</f>
        <v>1121784</v>
      </c>
      <c r="L31" s="68">
        <f>ROUND(G31*1.05*(1+$D$8/100*HF_Params!E46),0)</f>
        <v>278406</v>
      </c>
      <c r="M31" s="68">
        <f>ROUND(H31*1.05*(1+$D$8/100*HF_Params!E46),0)</f>
        <v>406901</v>
      </c>
      <c r="N31" s="69">
        <f>ROUND(I31*1.05*(1+$D$8/100*HF_Params!E46),0)</f>
        <v>599645</v>
      </c>
      <c r="O31" s="68">
        <f>ROUND(J31*1.05*(1+$D$8/100*HF_Params!E46),0)</f>
        <v>867343</v>
      </c>
      <c r="P31" s="68">
        <f>ROUND(K31*1.05*(1+$D$8/100*HF_Params!E46),0)</f>
        <v>1177873</v>
      </c>
      <c r="Q31" s="55"/>
      <c r="R31" s="55"/>
      <c r="S31" s="55"/>
      <c r="T31" s="55"/>
      <c r="U31" s="55"/>
      <c r="V31" s="4"/>
      <c r="W31" s="4"/>
    </row>
    <row r="32" spans="1:23" ht="18" customHeight="1" x14ac:dyDescent="0.3">
      <c r="A32" s="21" t="s">
        <v>32</v>
      </c>
      <c r="B32" s="22">
        <f>ROUND(HF_Params!C20*1000*(1+($W$2-1)*0.8)*$W$4*(1+HF_Params!A40*HF_Params!$B$35),0)</f>
        <v>266169</v>
      </c>
      <c r="C32" s="23">
        <f>ROUND(HF_Params!D20*1000*(1+($W$2-1)*0.8)*$W$4*(1+HF_Params!B40*HF_Params!$B$35),0)</f>
        <v>315119</v>
      </c>
      <c r="D32" s="20">
        <f>ROUND(HF_Params!E20*1000*(1+($W$2-1)*0.8)*$W$4*(1+HF_Params!C40*HF_Params!$B$35),0)</f>
        <v>387525</v>
      </c>
      <c r="E32" s="23">
        <f>ROUND(HF_Params!F20*1000*(1+($W$2-1)*0.8)*$W$4*(1+HF_Params!D40*HF_Params!$B$35),0)</f>
        <v>484407</v>
      </c>
      <c r="F32" s="23">
        <f>ROUND(HF_Params!G20*1000*(1+($W$2-1)*0.8)*$W$4*(1+HF_Params!E40*HF_Params!$B$35),0)</f>
        <v>581288</v>
      </c>
      <c r="G32" s="22">
        <f>ROUND(HF_Params!H20*1000*(1+($W$2-1)*0.8)*$W$4*(1+HF_Params!A40*HF_Params!$B$35)*(1+$D$8/100*HF_Params!F46),0)</f>
        <v>418120</v>
      </c>
      <c r="H32" s="23">
        <f>ROUND(HF_Params!I20*1000*(1+($W$2-1)*0.8)*$W$4*(1+HF_Params!B40*HF_Params!$B$35)*(1+$D$8/100*HF_Params!F46),0)</f>
        <v>662873</v>
      </c>
      <c r="I32" s="20">
        <f>ROUND(HF_Params!J20*1000*(1+($W$2-1)*0.8)*$W$4*(1+HF_Params!C40*HF_Params!$B$35)*(1+$D$8/100*HF_Params!F46),0)</f>
        <v>1019804</v>
      </c>
      <c r="J32" s="23">
        <f>ROUND(HF_Params!K20*1000*(1+($W$2-1)*0.8)*$W$4*(1+HF_Params!D40*HF_Params!$B$35)*(1+$D$8/100*HF_Params!F46),0)</f>
        <v>1631686</v>
      </c>
      <c r="K32" s="23">
        <f>ROUND(HF_Params!L20*1000*(1+($W$2-1)*0.8)*$W$4*(1+HF_Params!E40*HF_Params!$B$35)*(1+$D$8/100*HF_Params!F46),0)</f>
        <v>2447529</v>
      </c>
      <c r="L32" s="70">
        <f>ROUND(G32*1.1*(1+$D$8/100*HF_Params!F46),0)</f>
        <v>459932</v>
      </c>
      <c r="M32" s="70">
        <f>ROUND(H32*1.1*(1+$D$8/100*HF_Params!F46),0)</f>
        <v>729160</v>
      </c>
      <c r="N32" s="69">
        <f>ROUND(I32*1.1*(1+$D$8/100*HF_Params!F46),0)</f>
        <v>1121784</v>
      </c>
      <c r="O32" s="70">
        <f>ROUND(J32*1.1*(1+$D$8/100*HF_Params!F46),0)</f>
        <v>1794855</v>
      </c>
      <c r="P32" s="70">
        <f>ROUND(K32*1.1*(1+$D$8/100*HF_Params!F46),0)</f>
        <v>2692282</v>
      </c>
      <c r="Q32" s="55"/>
      <c r="R32" s="55"/>
      <c r="S32" s="55"/>
      <c r="T32" s="55"/>
      <c r="U32" s="55"/>
      <c r="V32" s="4"/>
      <c r="W32" s="4"/>
    </row>
    <row r="33" spans="1:23" ht="18" customHeight="1" x14ac:dyDescent="0.3">
      <c r="A33" s="17" t="s">
        <v>33</v>
      </c>
      <c r="B33" s="18">
        <f>ROUND(HF_Params!C21*1000*(1+($W$2-1)*0.9)*$W$4*(1+HF_Params!A40*HF_Params!$B$35),0)</f>
        <v>331436</v>
      </c>
      <c r="C33" s="19">
        <f>ROUND(HF_Params!D21*1000*(1+($W$2-1)*0.9)*$W$4*(1+HF_Params!B40*HF_Params!$B$35),0)</f>
        <v>407922</v>
      </c>
      <c r="D33" s="20">
        <f>ROUND(HF_Params!E21*1000*(1+($W$2-1)*0.9)*$W$4*(1+HF_Params!C40*HF_Params!$B$35),0)</f>
        <v>509902</v>
      </c>
      <c r="E33" s="19">
        <f>ROUND(HF_Params!F21*1000*(1+($W$2-1)*0.9)*$W$4*(1+HF_Params!D40*HF_Params!$B$35),0)</f>
        <v>611882</v>
      </c>
      <c r="F33" s="19">
        <f>ROUND(HF_Params!G21*1000*(1+($W$2-1)*0.9)*$W$4*(1+HF_Params!E40*HF_Params!$B$35),0)</f>
        <v>764853</v>
      </c>
      <c r="G33" s="18">
        <f>ROUND(HF_Params!H21*1000*(1+($W$2-1)*0.9)*$W$4*(1+HF_Params!A40*HF_Params!$B$35)*(1+$D$8/100*HF_Params!G46),0)</f>
        <v>586387</v>
      </c>
      <c r="H33" s="19">
        <f>ROUND(HF_Params!I21*1000*(1+($W$2-1)*0.9)*$W$4*(1+HF_Params!B40*HF_Params!$B$35)*(1+$D$8/100*HF_Params!G46),0)</f>
        <v>968814</v>
      </c>
      <c r="I33" s="20">
        <f>ROUND(HF_Params!J21*1000*(1+($W$2-1)*0.9)*$W$4*(1+HF_Params!C40*HF_Params!$B$35)*(1+$D$8/100*HF_Params!G46),0)</f>
        <v>1529706</v>
      </c>
      <c r="J33" s="19">
        <f>ROUND(HF_Params!K21*1000*(1+($W$2-1)*0.9)*$W$4*(1+HF_Params!D40*HF_Params!$B$35)*(1+$D$8/100*HF_Params!G46),0)</f>
        <v>2549510</v>
      </c>
      <c r="K33" s="19">
        <f>ROUND(HF_Params!L21*1000*(1+($W$2-1)*0.9)*$W$4*(1+HF_Params!E40*HF_Params!$B$35)*(1+$D$8/100*HF_Params!G46),0)</f>
        <v>4079216</v>
      </c>
      <c r="L33" s="68">
        <f>ROUND(G33*1.15*(1+$D$8/100*HF_Params!G46),0)</f>
        <v>674345</v>
      </c>
      <c r="M33" s="68">
        <f>ROUND(H33*1.15*(1+$D$8/100*HF_Params!G46),0)</f>
        <v>1114136</v>
      </c>
      <c r="N33" s="69">
        <f>ROUND(I33*1.15*(1+$D$8/100*HF_Params!G46),0)</f>
        <v>1759162</v>
      </c>
      <c r="O33" s="68">
        <f>ROUND(J33*1.15*(1+$D$8/100*HF_Params!G46),0)</f>
        <v>2931937</v>
      </c>
      <c r="P33" s="68">
        <f>ROUND(K33*1.15*(1+$D$8/100*HF_Params!G46),0)</f>
        <v>4691098</v>
      </c>
      <c r="Q33" s="55"/>
      <c r="R33" s="55"/>
      <c r="S33" s="55"/>
      <c r="T33" s="55"/>
      <c r="U33" s="55"/>
      <c r="V33" s="4"/>
      <c r="W33" s="4"/>
    </row>
    <row r="34" spans="1:23" ht="16.05" customHeight="1" x14ac:dyDescent="0.3">
      <c r="A34" s="56" t="s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51"/>
      <c r="R34" s="51"/>
      <c r="S34" s="51"/>
      <c r="T34" s="51"/>
      <c r="U34" s="51"/>
      <c r="V34" s="4"/>
      <c r="W34" s="4"/>
    </row>
    <row r="35" spans="1:23" ht="16.05" customHeight="1" x14ac:dyDescent="0.3">
      <c r="A35" s="106" t="s">
        <v>34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50"/>
      <c r="R35" s="50"/>
      <c r="S35" s="50"/>
      <c r="T35" s="50"/>
      <c r="U35" s="50"/>
      <c r="V35" s="4"/>
      <c r="W35" s="4"/>
    </row>
  </sheetData>
  <mergeCells count="12">
    <mergeCell ref="A1:P1"/>
    <mergeCell ref="B25:F25"/>
    <mergeCell ref="L25:P25"/>
    <mergeCell ref="G25:K25"/>
    <mergeCell ref="A35:P35"/>
    <mergeCell ref="A24:P24"/>
    <mergeCell ref="A2:P2"/>
    <mergeCell ref="A11:P11"/>
    <mergeCell ref="L12:P12"/>
    <mergeCell ref="A5:P5"/>
    <mergeCell ref="B12:F12"/>
    <mergeCell ref="G12:K12"/>
  </mergeCells>
  <dataValidations count="2">
    <dataValidation type="list" error="Complexity must be 1-5" sqref="A8" xr:uid="{00000000-0002-0000-0600-000000000000}">
      <formula1>"1,2,3,4,5"</formula1>
    </dataValidation>
    <dataValidation type="list" errorTitle="Invalid Pool Adjustment" error="Select a value between -30 and +30" sqref="D8" xr:uid="{00000000-0002-0000-0600-000001000000}">
      <formula1>"-30,-25,-20,-15,-10,-5,-4,-3,-2,-1,0,1,2,3,4,5,10,15,20,25,30"</formula1>
    </dataValidation>
  </dataValidations>
  <hyperlinks>
    <hyperlink ref="A1" r:id="rId1" xr:uid="{00000000-0004-0000-0600-000000000000}"/>
    <hyperlink ref="A35" r:id="rId2" xr:uid="{00000000-0004-0000-0600-000001000000}"/>
  </hyperlinks>
  <pageMargins left="0.75" right="0.75" top="1" bottom="1" header="0.5" footer="0.5"/>
  <ignoredErrors>
    <ignoredError sqref="A1:U60" numberStoredAsText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H44"/>
  <sheetViews>
    <sheetView showGridLines="0" workbookViewId="0"/>
  </sheetViews>
  <sheetFormatPr defaultColWidth="8.88671875" defaultRowHeight="14.4" x14ac:dyDescent="0.3"/>
  <cols>
    <col min="1" max="1" width="20" style="2" customWidth="1"/>
    <col min="2" max="3" width="14" style="2" customWidth="1"/>
    <col min="4" max="6" width="14" customWidth="1"/>
    <col min="7" max="7" width="14" style="2" customWidth="1"/>
    <col min="8" max="8" width="14" customWidth="1"/>
    <col min="9" max="24" width="8.88671875" style="2" customWidth="1"/>
    <col min="25" max="16384" width="8.88671875" style="2"/>
  </cols>
  <sheetData>
    <row r="1" spans="1:8" ht="22.05" customHeight="1" x14ac:dyDescent="0.3">
      <c r="A1" s="37" t="s">
        <v>104</v>
      </c>
      <c r="B1" s="37"/>
      <c r="C1" s="37"/>
      <c r="D1" s="37"/>
      <c r="E1" s="37"/>
      <c r="F1" s="37"/>
      <c r="G1" s="37"/>
      <c r="H1" s="37"/>
    </row>
    <row r="2" spans="1:8" ht="19.95" customHeight="1" x14ac:dyDescent="0.3">
      <c r="A2" s="38" t="s">
        <v>105</v>
      </c>
      <c r="B2" s="39" t="s">
        <v>106</v>
      </c>
      <c r="C2" s="39"/>
      <c r="D2" s="39"/>
      <c r="E2" s="39"/>
      <c r="F2" s="39"/>
      <c r="G2" s="39"/>
      <c r="H2" s="39"/>
    </row>
    <row r="3" spans="1:8" x14ac:dyDescent="0.3">
      <c r="A3" s="40" t="s">
        <v>58</v>
      </c>
      <c r="B3" s="41">
        <v>1</v>
      </c>
      <c r="C3" s="42"/>
      <c r="D3" s="42"/>
      <c r="E3" s="42"/>
      <c r="F3" s="42"/>
      <c r="G3" s="42"/>
      <c r="H3" s="42"/>
    </row>
    <row r="4" spans="1:8" x14ac:dyDescent="0.3">
      <c r="A4" s="40" t="s">
        <v>107</v>
      </c>
      <c r="B4" s="41">
        <v>1.2</v>
      </c>
      <c r="C4" s="42"/>
      <c r="D4" s="42"/>
      <c r="E4" s="42"/>
      <c r="F4" s="42"/>
      <c r="G4" s="42"/>
      <c r="H4" s="42"/>
    </row>
    <row r="5" spans="1:8" x14ac:dyDescent="0.3">
      <c r="A5" s="40" t="s">
        <v>41</v>
      </c>
      <c r="B5" s="41">
        <v>1.2</v>
      </c>
      <c r="C5" s="42"/>
      <c r="D5" s="42"/>
      <c r="E5" s="42"/>
      <c r="F5" s="42"/>
      <c r="G5" s="42"/>
      <c r="H5" s="42"/>
    </row>
    <row r="6" spans="1:8" x14ac:dyDescent="0.3">
      <c r="A6" s="40" t="s">
        <v>108</v>
      </c>
      <c r="B6" s="41">
        <v>1.1499999999999999</v>
      </c>
      <c r="C6" s="42"/>
      <c r="D6" s="42"/>
      <c r="E6" s="42"/>
      <c r="F6" s="42"/>
      <c r="G6" s="42"/>
      <c r="H6" s="42"/>
    </row>
    <row r="7" spans="1:8" x14ac:dyDescent="0.3">
      <c r="A7" s="40" t="s">
        <v>109</v>
      </c>
      <c r="B7" s="41">
        <v>1.08</v>
      </c>
      <c r="C7" s="42"/>
      <c r="D7" s="42"/>
      <c r="E7" s="42"/>
      <c r="F7" s="42"/>
      <c r="G7" s="42"/>
      <c r="H7" s="42"/>
    </row>
    <row r="8" spans="1:8" x14ac:dyDescent="0.3">
      <c r="A8" s="40" t="s">
        <v>110</v>
      </c>
      <c r="B8" s="41">
        <v>0.95</v>
      </c>
      <c r="C8" s="42"/>
      <c r="D8" s="42"/>
      <c r="E8" s="42"/>
      <c r="F8" s="42"/>
      <c r="G8" s="42"/>
      <c r="H8" s="42"/>
    </row>
    <row r="9" spans="1:8" x14ac:dyDescent="0.3">
      <c r="A9" s="42"/>
      <c r="B9" s="42"/>
      <c r="C9" s="42"/>
      <c r="D9" s="42"/>
      <c r="E9" s="42"/>
      <c r="F9" s="42"/>
      <c r="G9" s="42"/>
      <c r="H9" s="42"/>
    </row>
    <row r="10" spans="1:8" x14ac:dyDescent="0.3">
      <c r="A10" s="42"/>
      <c r="B10" s="42"/>
      <c r="C10" s="42"/>
      <c r="D10" s="42"/>
      <c r="E10" s="42"/>
      <c r="F10" s="42"/>
      <c r="G10" s="42"/>
      <c r="H10" s="42"/>
    </row>
    <row r="11" spans="1:8" ht="22.05" customHeight="1" x14ac:dyDescent="0.3">
      <c r="A11" s="37" t="s">
        <v>111</v>
      </c>
      <c r="B11" s="37"/>
      <c r="C11" s="37"/>
      <c r="D11" s="37"/>
      <c r="E11" s="37"/>
      <c r="F11" s="37"/>
      <c r="G11" s="37"/>
      <c r="H11" s="37"/>
    </row>
    <row r="12" spans="1:8" ht="19.95" customHeight="1" x14ac:dyDescent="0.3">
      <c r="A12" s="38" t="s">
        <v>12</v>
      </c>
      <c r="B12" s="39" t="s">
        <v>112</v>
      </c>
      <c r="C12" s="39" t="s">
        <v>113</v>
      </c>
      <c r="D12" s="39" t="s">
        <v>114</v>
      </c>
      <c r="E12" s="39" t="s">
        <v>115</v>
      </c>
      <c r="F12" s="39" t="s">
        <v>116</v>
      </c>
      <c r="G12" s="39" t="s">
        <v>117</v>
      </c>
      <c r="H12" s="39" t="s">
        <v>118</v>
      </c>
    </row>
    <row r="13" spans="1:8" x14ac:dyDescent="0.3">
      <c r="A13" s="40" t="s">
        <v>119</v>
      </c>
      <c r="B13" s="43" t="s">
        <v>18</v>
      </c>
      <c r="C13" s="43">
        <v>81</v>
      </c>
      <c r="D13" s="43">
        <v>120</v>
      </c>
      <c r="E13" s="43">
        <v>0.123</v>
      </c>
      <c r="F13" s="43">
        <v>-1.085</v>
      </c>
      <c r="G13" s="43">
        <v>0.74</v>
      </c>
      <c r="H13" s="43">
        <v>0.26</v>
      </c>
    </row>
    <row r="14" spans="1:8" x14ac:dyDescent="0.3">
      <c r="A14" s="40" t="s">
        <v>120</v>
      </c>
      <c r="B14" s="43" t="s">
        <v>19</v>
      </c>
      <c r="C14" s="43">
        <v>134</v>
      </c>
      <c r="D14" s="43">
        <v>155</v>
      </c>
      <c r="E14" s="43">
        <v>7.4999999999999997E-2</v>
      </c>
      <c r="F14" s="43">
        <v>-0.84899999999999998</v>
      </c>
      <c r="G14" s="43">
        <v>0.85</v>
      </c>
      <c r="H14" s="43">
        <v>0.7</v>
      </c>
    </row>
    <row r="15" spans="1:8" x14ac:dyDescent="0.3">
      <c r="A15" s="40" t="s">
        <v>121</v>
      </c>
      <c r="B15" s="43" t="s">
        <v>20</v>
      </c>
      <c r="C15" s="43">
        <v>201</v>
      </c>
      <c r="D15" s="43">
        <v>210</v>
      </c>
      <c r="E15" s="43">
        <v>0.128</v>
      </c>
      <c r="F15" s="43">
        <v>-0.69099999999999995</v>
      </c>
      <c r="G15" s="43">
        <v>0.85</v>
      </c>
      <c r="H15" s="43">
        <v>0.7</v>
      </c>
    </row>
    <row r="16" spans="1:8" x14ac:dyDescent="0.3">
      <c r="A16" s="40" t="s">
        <v>122</v>
      </c>
      <c r="B16" s="43" t="s">
        <v>47</v>
      </c>
      <c r="C16" s="43">
        <v>273</v>
      </c>
      <c r="D16" s="43">
        <v>290</v>
      </c>
      <c r="E16" s="43">
        <v>0.10100000000000001</v>
      </c>
      <c r="F16" s="43">
        <v>-0.505</v>
      </c>
      <c r="G16" s="43">
        <v>0.85</v>
      </c>
      <c r="H16" s="43">
        <v>0.7</v>
      </c>
    </row>
    <row r="17" spans="1:8" x14ac:dyDescent="0.3">
      <c r="A17" s="40" t="s">
        <v>123</v>
      </c>
      <c r="B17" s="43" t="s">
        <v>48</v>
      </c>
      <c r="C17" s="43">
        <v>313</v>
      </c>
      <c r="D17" s="43">
        <v>400</v>
      </c>
      <c r="E17" s="43">
        <v>0.20100000000000001</v>
      </c>
      <c r="F17" s="43">
        <v>-0.45200000000000001</v>
      </c>
      <c r="G17" s="43">
        <v>0.85</v>
      </c>
      <c r="H17" s="43">
        <v>0.55000000000000004</v>
      </c>
    </row>
    <row r="18" spans="1:8" x14ac:dyDescent="0.3">
      <c r="A18" s="40" t="s">
        <v>124</v>
      </c>
      <c r="B18" s="43" t="s">
        <v>49</v>
      </c>
      <c r="C18" s="43">
        <v>396</v>
      </c>
      <c r="D18" s="43">
        <v>600</v>
      </c>
      <c r="E18" s="43">
        <v>0.40600000000000003</v>
      </c>
      <c r="F18" s="43">
        <v>-0.376</v>
      </c>
      <c r="G18" s="43">
        <v>1</v>
      </c>
      <c r="H18" s="43">
        <v>0.55000000000000004</v>
      </c>
    </row>
    <row r="19" spans="1:8" x14ac:dyDescent="0.3">
      <c r="A19" s="40" t="s">
        <v>125</v>
      </c>
      <c r="B19" s="43" t="s">
        <v>50</v>
      </c>
      <c r="C19" s="43">
        <v>420</v>
      </c>
      <c r="D19" s="43">
        <v>630</v>
      </c>
      <c r="E19" s="43">
        <v>0.44</v>
      </c>
      <c r="F19" s="43">
        <v>-0.35399999999999998</v>
      </c>
      <c r="G19" s="43">
        <v>1</v>
      </c>
      <c r="H19" s="43">
        <v>0.5</v>
      </c>
    </row>
    <row r="20" spans="1:8" x14ac:dyDescent="0.3">
      <c r="A20" s="40" t="s">
        <v>126</v>
      </c>
      <c r="B20" s="43" t="s">
        <v>51</v>
      </c>
      <c r="C20" s="43">
        <v>583</v>
      </c>
      <c r="D20" s="43">
        <v>1150</v>
      </c>
      <c r="E20" s="43">
        <v>0.46</v>
      </c>
      <c r="F20" s="43">
        <v>-0.11799999999999999</v>
      </c>
      <c r="G20" s="43" t="s">
        <v>127</v>
      </c>
      <c r="H20" s="43" t="s">
        <v>127</v>
      </c>
    </row>
    <row r="21" spans="1:8" x14ac:dyDescent="0.3">
      <c r="A21" s="42"/>
      <c r="B21" s="42"/>
      <c r="C21" s="42"/>
      <c r="D21" s="42"/>
      <c r="E21" s="42"/>
      <c r="F21" s="42"/>
      <c r="G21" s="42"/>
      <c r="H21" s="42"/>
    </row>
    <row r="22" spans="1:8" x14ac:dyDescent="0.3">
      <c r="A22" s="42"/>
      <c r="B22" s="42"/>
      <c r="C22" s="42"/>
      <c r="D22" s="42"/>
      <c r="E22" s="42"/>
      <c r="F22" s="42"/>
      <c r="G22" s="42"/>
      <c r="H22" s="42"/>
    </row>
    <row r="23" spans="1:8" ht="22.05" customHeight="1" x14ac:dyDescent="0.3">
      <c r="A23" s="37" t="s">
        <v>128</v>
      </c>
      <c r="B23" s="37"/>
      <c r="C23" s="37"/>
      <c r="D23" s="37"/>
      <c r="E23" s="37"/>
      <c r="F23" s="37"/>
      <c r="G23" s="37"/>
      <c r="H23" s="37"/>
    </row>
    <row r="24" spans="1:8" ht="19.95" customHeight="1" x14ac:dyDescent="0.3">
      <c r="A24" s="38" t="s">
        <v>129</v>
      </c>
      <c r="B24" s="39">
        <f>POWER(1.04, 0.5)</f>
        <v>1.019803902718557</v>
      </c>
      <c r="C24" s="39"/>
      <c r="D24" s="39"/>
      <c r="E24" s="39"/>
      <c r="F24" s="39"/>
      <c r="G24" s="39"/>
      <c r="H24" s="39"/>
    </row>
    <row r="25" spans="1:8" x14ac:dyDescent="0.3">
      <c r="A25" s="40" t="s">
        <v>130</v>
      </c>
      <c r="B25" s="43">
        <v>0.25</v>
      </c>
      <c r="C25" s="42"/>
      <c r="D25" s="42"/>
      <c r="E25" s="42"/>
      <c r="F25" s="42"/>
      <c r="G25" s="42"/>
      <c r="H25" s="42"/>
    </row>
    <row r="26" spans="1:8" x14ac:dyDescent="0.3">
      <c r="A26" s="42"/>
      <c r="B26" s="42"/>
      <c r="C26" s="42"/>
      <c r="D26" s="42"/>
      <c r="E26" s="42"/>
      <c r="F26" s="42"/>
      <c r="G26" s="42"/>
      <c r="H26" s="42"/>
    </row>
    <row r="27" spans="1:8" ht="22.05" customHeight="1" x14ac:dyDescent="0.3">
      <c r="A27" s="37" t="s">
        <v>131</v>
      </c>
      <c r="B27" s="37"/>
      <c r="C27" s="37"/>
      <c r="D27" s="37"/>
      <c r="E27" s="37"/>
      <c r="F27" s="37"/>
      <c r="G27" s="37"/>
      <c r="H27" s="37"/>
    </row>
    <row r="28" spans="1:8" ht="19.95" customHeight="1" x14ac:dyDescent="0.3">
      <c r="A28" s="38" t="s">
        <v>13</v>
      </c>
      <c r="B28" s="39" t="s">
        <v>14</v>
      </c>
      <c r="C28" s="39" t="s">
        <v>15</v>
      </c>
      <c r="D28" s="39" t="s">
        <v>16</v>
      </c>
      <c r="E28" s="39" t="s">
        <v>17</v>
      </c>
      <c r="F28" s="39"/>
      <c r="G28" s="39"/>
      <c r="H28" s="39"/>
    </row>
    <row r="29" spans="1:8" x14ac:dyDescent="0.3">
      <c r="A29" s="40">
        <v>-1.282</v>
      </c>
      <c r="B29" s="43">
        <v>-0.67400000000000004</v>
      </c>
      <c r="C29" s="43">
        <v>0</v>
      </c>
      <c r="D29" s="43">
        <v>0.67400000000000004</v>
      </c>
      <c r="E29" s="43">
        <v>1.282</v>
      </c>
      <c r="F29" s="42"/>
      <c r="G29" s="42"/>
      <c r="H29" s="42"/>
    </row>
    <row r="30" spans="1:8" x14ac:dyDescent="0.3">
      <c r="A30" s="80" t="s">
        <v>132</v>
      </c>
    </row>
    <row r="31" spans="1:8" x14ac:dyDescent="0.3">
      <c r="A31" s="81" t="s">
        <v>119</v>
      </c>
      <c r="B31" s="81" t="s">
        <v>120</v>
      </c>
      <c r="C31" s="81" t="s">
        <v>121</v>
      </c>
      <c r="D31" s="81" t="s">
        <v>122</v>
      </c>
      <c r="E31" s="81" t="s">
        <v>123</v>
      </c>
      <c r="F31" s="81" t="s">
        <v>124</v>
      </c>
      <c r="G31" s="81" t="s">
        <v>125</v>
      </c>
      <c r="H31" s="81" t="s">
        <v>126</v>
      </c>
    </row>
    <row r="32" spans="1:8" x14ac:dyDescent="0.3">
      <c r="A32" s="82">
        <v>0</v>
      </c>
      <c r="B32" s="82">
        <v>0.05</v>
      </c>
      <c r="C32" s="82">
        <v>0.15</v>
      </c>
      <c r="D32" s="82">
        <v>0.25</v>
      </c>
      <c r="E32" s="82">
        <v>0.4</v>
      </c>
      <c r="F32" s="82">
        <v>0.6</v>
      </c>
      <c r="G32" s="82">
        <v>0.8</v>
      </c>
      <c r="H32" s="82">
        <v>1</v>
      </c>
    </row>
    <row r="34" spans="1:8" x14ac:dyDescent="0.3">
      <c r="A34" s="87" t="s">
        <v>133</v>
      </c>
    </row>
    <row r="35" spans="1:8" x14ac:dyDescent="0.3">
      <c r="A35" t="s">
        <v>134</v>
      </c>
      <c r="B35" t="s">
        <v>106</v>
      </c>
    </row>
    <row r="36" spans="1:8" x14ac:dyDescent="0.3">
      <c r="A36">
        <v>1</v>
      </c>
      <c r="B36" s="88">
        <v>0.85</v>
      </c>
    </row>
    <row r="37" spans="1:8" x14ac:dyDescent="0.3">
      <c r="A37">
        <v>2</v>
      </c>
      <c r="B37" s="88">
        <v>0.92</v>
      </c>
    </row>
    <row r="38" spans="1:8" x14ac:dyDescent="0.3">
      <c r="A38">
        <v>3</v>
      </c>
      <c r="B38" s="88">
        <v>1</v>
      </c>
    </row>
    <row r="39" spans="1:8" x14ac:dyDescent="0.3">
      <c r="A39">
        <v>4</v>
      </c>
      <c r="B39" s="88">
        <v>1.1200000000000001</v>
      </c>
    </row>
    <row r="40" spans="1:8" x14ac:dyDescent="0.3">
      <c r="A40">
        <v>5</v>
      </c>
      <c r="B40" s="88">
        <v>1.25</v>
      </c>
    </row>
    <row r="42" spans="1:8" x14ac:dyDescent="0.3">
      <c r="A42" s="87" t="s">
        <v>135</v>
      </c>
    </row>
    <row r="43" spans="1:8" x14ac:dyDescent="0.3">
      <c r="A43" t="s">
        <v>119</v>
      </c>
      <c r="B43" t="s">
        <v>120</v>
      </c>
      <c r="C43" t="s">
        <v>121</v>
      </c>
      <c r="D43" t="s">
        <v>122</v>
      </c>
      <c r="E43" t="s">
        <v>123</v>
      </c>
      <c r="F43" t="s">
        <v>124</v>
      </c>
      <c r="G43" t="s">
        <v>125</v>
      </c>
      <c r="H43" t="s">
        <v>126</v>
      </c>
    </row>
    <row r="44" spans="1:8" x14ac:dyDescent="0.3">
      <c r="A44" s="88">
        <v>0.3</v>
      </c>
      <c r="B44" s="88">
        <v>0.4</v>
      </c>
      <c r="C44" s="88">
        <v>0.5</v>
      </c>
      <c r="D44" s="88">
        <v>0.6</v>
      </c>
      <c r="E44" s="88">
        <v>0.7</v>
      </c>
      <c r="F44" s="88">
        <v>0.8</v>
      </c>
      <c r="G44" s="88">
        <v>0.9</v>
      </c>
      <c r="H44" s="88">
        <v>1</v>
      </c>
    </row>
  </sheetData>
  <pageMargins left="0.75" right="0.75" top="1" bottom="1" header="0.5" footer="0.5"/>
  <ignoredErrors>
    <ignoredError sqref="A1:U60" numberStoredAsText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H61"/>
  <sheetViews>
    <sheetView showGridLines="0" workbookViewId="0"/>
  </sheetViews>
  <sheetFormatPr defaultRowHeight="14.4" x14ac:dyDescent="0.3"/>
  <cols>
    <col min="1" max="1" width="20" customWidth="1"/>
    <col min="2" max="5" width="14" customWidth="1"/>
  </cols>
  <sheetData>
    <row r="1" spans="1:5" ht="22.05" customHeight="1" x14ac:dyDescent="0.3">
      <c r="A1" s="37" t="s">
        <v>104</v>
      </c>
      <c r="B1" s="37"/>
      <c r="C1" s="37"/>
      <c r="D1" s="37"/>
      <c r="E1" s="37"/>
    </row>
    <row r="2" spans="1:5" ht="19.95" customHeight="1" x14ac:dyDescent="0.3">
      <c r="A2" s="38" t="s">
        <v>105</v>
      </c>
      <c r="B2" s="39" t="s">
        <v>106</v>
      </c>
      <c r="C2" s="39"/>
      <c r="D2" s="39"/>
      <c r="E2" s="39"/>
    </row>
    <row r="3" spans="1:5" x14ac:dyDescent="0.3">
      <c r="A3" s="40" t="s">
        <v>58</v>
      </c>
      <c r="B3" s="43">
        <v>1</v>
      </c>
      <c r="C3" s="4"/>
      <c r="D3" s="4"/>
      <c r="E3" s="4"/>
    </row>
    <row r="4" spans="1:5" x14ac:dyDescent="0.3">
      <c r="A4" s="40" t="s">
        <v>107</v>
      </c>
      <c r="B4" s="43">
        <v>1.2</v>
      </c>
      <c r="C4" s="4"/>
      <c r="D4" s="4"/>
      <c r="E4" s="4"/>
    </row>
    <row r="5" spans="1:5" x14ac:dyDescent="0.3">
      <c r="A5" s="40" t="s">
        <v>41</v>
      </c>
      <c r="B5" s="43">
        <v>1.2</v>
      </c>
      <c r="C5" s="4"/>
      <c r="D5" s="4"/>
      <c r="E5" s="4"/>
    </row>
    <row r="6" spans="1:5" x14ac:dyDescent="0.3">
      <c r="A6" s="40" t="s">
        <v>108</v>
      </c>
      <c r="B6" s="43">
        <v>1.1499999999999999</v>
      </c>
      <c r="C6" s="4"/>
      <c r="D6" s="4"/>
      <c r="E6" s="4"/>
    </row>
    <row r="7" spans="1:5" x14ac:dyDescent="0.3">
      <c r="A7" s="40" t="s">
        <v>109</v>
      </c>
      <c r="B7" s="43">
        <v>1.08</v>
      </c>
      <c r="C7" s="4"/>
      <c r="D7" s="4"/>
      <c r="E7" s="4"/>
    </row>
    <row r="8" spans="1:5" x14ac:dyDescent="0.3">
      <c r="A8" s="40" t="s">
        <v>110</v>
      </c>
      <c r="B8" s="43">
        <v>0.95</v>
      </c>
      <c r="C8" s="4"/>
      <c r="D8" s="4"/>
      <c r="E8" s="4"/>
    </row>
    <row r="9" spans="1:5" x14ac:dyDescent="0.3">
      <c r="A9" s="4"/>
      <c r="B9" s="4"/>
      <c r="C9" s="4"/>
      <c r="D9" s="4"/>
      <c r="E9" s="4"/>
    </row>
    <row r="10" spans="1:5" x14ac:dyDescent="0.3">
      <c r="A10" s="4"/>
      <c r="B10" s="4"/>
      <c r="C10" s="4"/>
      <c r="D10" s="4"/>
      <c r="E10" s="4"/>
    </row>
    <row r="11" spans="1:5" ht="22.05" customHeight="1" x14ac:dyDescent="0.3">
      <c r="A11" s="37" t="s">
        <v>136</v>
      </c>
      <c r="B11" s="37"/>
      <c r="C11" s="37"/>
      <c r="D11" s="37" t="s">
        <v>137</v>
      </c>
      <c r="E11" s="37"/>
    </row>
    <row r="12" spans="1:5" ht="22.05" customHeight="1" x14ac:dyDescent="0.3">
      <c r="A12" s="37" t="s">
        <v>37</v>
      </c>
      <c r="B12" s="37" t="s">
        <v>138</v>
      </c>
      <c r="C12" s="37"/>
      <c r="D12" s="37" t="s">
        <v>37</v>
      </c>
      <c r="E12" s="37" t="s">
        <v>139</v>
      </c>
    </row>
    <row r="13" spans="1:5" ht="19.95" customHeight="1" x14ac:dyDescent="0.3">
      <c r="A13" s="38">
        <v>10</v>
      </c>
      <c r="B13" s="39">
        <v>275</v>
      </c>
      <c r="C13" s="39"/>
      <c r="D13" s="39">
        <v>10</v>
      </c>
      <c r="E13" s="39">
        <v>0.5</v>
      </c>
    </row>
    <row r="14" spans="1:5" x14ac:dyDescent="0.3">
      <c r="A14" s="40">
        <v>20</v>
      </c>
      <c r="B14" s="43">
        <v>350</v>
      </c>
      <c r="C14" s="4"/>
      <c r="D14" s="43">
        <v>20</v>
      </c>
      <c r="E14" s="43">
        <v>0.6</v>
      </c>
    </row>
    <row r="15" spans="1:5" x14ac:dyDescent="0.3">
      <c r="A15" s="40">
        <v>30</v>
      </c>
      <c r="B15" s="43">
        <v>425</v>
      </c>
      <c r="C15" s="4"/>
      <c r="D15" s="43">
        <v>30</v>
      </c>
      <c r="E15" s="43">
        <v>0.7</v>
      </c>
    </row>
    <row r="16" spans="1:5" x14ac:dyDescent="0.3">
      <c r="A16" s="40">
        <v>50</v>
      </c>
      <c r="B16" s="43">
        <v>575</v>
      </c>
      <c r="C16" s="4"/>
      <c r="D16" s="43">
        <v>40</v>
      </c>
      <c r="E16" s="43">
        <v>0.8</v>
      </c>
    </row>
    <row r="17" spans="1:5" x14ac:dyDescent="0.3">
      <c r="A17" s="40">
        <v>100</v>
      </c>
      <c r="B17" s="43">
        <v>700</v>
      </c>
      <c r="C17" s="4"/>
      <c r="D17" s="43">
        <v>50</v>
      </c>
      <c r="E17" s="43">
        <v>0.9</v>
      </c>
    </row>
    <row r="18" spans="1:5" x14ac:dyDescent="0.3">
      <c r="A18" s="40">
        <v>200</v>
      </c>
      <c r="B18" s="43">
        <v>725</v>
      </c>
      <c r="C18" s="4"/>
      <c r="D18" s="43">
        <v>100</v>
      </c>
      <c r="E18" s="43">
        <v>1.1000000000000001</v>
      </c>
    </row>
    <row r="19" spans="1:5" x14ac:dyDescent="0.3">
      <c r="A19" s="40">
        <v>500</v>
      </c>
      <c r="B19" s="43">
        <v>750</v>
      </c>
      <c r="C19" s="4"/>
      <c r="D19" s="43">
        <v>200</v>
      </c>
      <c r="E19" s="43">
        <v>1.25</v>
      </c>
    </row>
    <row r="20" spans="1:5" x14ac:dyDescent="0.3">
      <c r="A20" s="4"/>
      <c r="B20" s="4"/>
      <c r="C20" s="4"/>
      <c r="D20" s="4"/>
      <c r="E20" s="4"/>
    </row>
    <row r="21" spans="1:5" x14ac:dyDescent="0.3">
      <c r="A21" s="4"/>
      <c r="B21" s="4"/>
      <c r="C21" s="4"/>
      <c r="D21" s="4"/>
      <c r="E21" s="4"/>
    </row>
    <row r="22" spans="1:5" ht="22.05" customHeight="1" x14ac:dyDescent="0.3">
      <c r="A22" s="37" t="s">
        <v>140</v>
      </c>
      <c r="B22" s="37"/>
      <c r="C22" s="37"/>
      <c r="D22" s="37"/>
      <c r="E22" s="37"/>
    </row>
    <row r="23" spans="1:5" ht="19.95" customHeight="1" x14ac:dyDescent="0.3">
      <c r="A23" s="38" t="s">
        <v>134</v>
      </c>
      <c r="B23" s="39" t="s">
        <v>141</v>
      </c>
      <c r="C23" s="39" t="s">
        <v>142</v>
      </c>
      <c r="D23" s="39"/>
      <c r="E23" s="39"/>
    </row>
    <row r="24" spans="1:5" x14ac:dyDescent="0.3">
      <c r="A24" s="40">
        <v>1</v>
      </c>
      <c r="B24" s="43">
        <v>-0.15</v>
      </c>
      <c r="C24" s="43">
        <v>-0.2</v>
      </c>
      <c r="D24" s="4"/>
      <c r="E24" s="4"/>
    </row>
    <row r="25" spans="1:5" x14ac:dyDescent="0.3">
      <c r="A25" s="40">
        <v>2</v>
      </c>
      <c r="B25" s="43">
        <v>-0.08</v>
      </c>
      <c r="C25" s="43">
        <v>-0.1</v>
      </c>
      <c r="D25" s="4"/>
      <c r="E25" s="4"/>
    </row>
    <row r="26" spans="1:5" x14ac:dyDescent="0.3">
      <c r="A26" s="40">
        <v>3</v>
      </c>
      <c r="B26" s="43">
        <v>0</v>
      </c>
      <c r="C26" s="43">
        <v>0</v>
      </c>
      <c r="D26" s="4"/>
      <c r="E26" s="4"/>
    </row>
    <row r="27" spans="1:5" x14ac:dyDescent="0.3">
      <c r="A27" s="40">
        <v>4</v>
      </c>
      <c r="B27" s="43">
        <v>0.12</v>
      </c>
      <c r="C27" s="43">
        <v>0.2</v>
      </c>
      <c r="D27" s="4"/>
      <c r="E27" s="4"/>
    </row>
    <row r="28" spans="1:5" x14ac:dyDescent="0.3">
      <c r="A28" s="40">
        <v>5</v>
      </c>
      <c r="B28" s="43">
        <v>0.25</v>
      </c>
      <c r="C28" s="43">
        <v>0.4</v>
      </c>
      <c r="D28" s="4"/>
      <c r="E28" s="4"/>
    </row>
    <row r="29" spans="1:5" x14ac:dyDescent="0.3">
      <c r="A29" s="4"/>
      <c r="B29" s="4"/>
      <c r="C29" s="4"/>
      <c r="D29" s="4"/>
      <c r="E29" s="4"/>
    </row>
    <row r="30" spans="1:5" x14ac:dyDescent="0.3">
      <c r="A30" s="4"/>
      <c r="B30" s="4"/>
      <c r="C30" s="4"/>
      <c r="D30" s="4"/>
      <c r="E30" s="4"/>
    </row>
    <row r="31" spans="1:5" ht="22.05" customHeight="1" x14ac:dyDescent="0.3">
      <c r="A31" s="37" t="s">
        <v>111</v>
      </c>
      <c r="B31" s="37"/>
      <c r="C31" s="37"/>
      <c r="D31" s="37"/>
      <c r="E31" s="37"/>
    </row>
    <row r="32" spans="1:5" ht="19.95" customHeight="1" x14ac:dyDescent="0.3">
      <c r="A32" s="38" t="s">
        <v>12</v>
      </c>
      <c r="B32" s="39" t="s">
        <v>143</v>
      </c>
      <c r="C32" s="39" t="s">
        <v>144</v>
      </c>
      <c r="D32" s="39" t="s">
        <v>145</v>
      </c>
      <c r="E32" s="39"/>
    </row>
    <row r="33" spans="1:5" x14ac:dyDescent="0.3">
      <c r="A33" s="40" t="s">
        <v>119</v>
      </c>
      <c r="B33" s="43" t="s">
        <v>18</v>
      </c>
      <c r="C33" s="43">
        <v>0.12</v>
      </c>
      <c r="D33" s="43" t="s">
        <v>27</v>
      </c>
      <c r="E33" s="4"/>
    </row>
    <row r="34" spans="1:5" x14ac:dyDescent="0.3">
      <c r="A34" s="40" t="s">
        <v>120</v>
      </c>
      <c r="B34" s="43" t="s">
        <v>19</v>
      </c>
      <c r="C34" s="43">
        <v>0.155</v>
      </c>
      <c r="D34" s="43" t="s">
        <v>28</v>
      </c>
      <c r="E34" s="4"/>
    </row>
    <row r="35" spans="1:5" x14ac:dyDescent="0.3">
      <c r="A35" s="40" t="s">
        <v>121</v>
      </c>
      <c r="B35" s="43" t="s">
        <v>20</v>
      </c>
      <c r="C35" s="43">
        <v>0.2</v>
      </c>
      <c r="D35" s="43" t="s">
        <v>29</v>
      </c>
      <c r="E35" s="4"/>
    </row>
    <row r="36" spans="1:5" x14ac:dyDescent="0.3">
      <c r="A36" s="40" t="s">
        <v>122</v>
      </c>
      <c r="B36" s="43" t="s">
        <v>47</v>
      </c>
      <c r="C36" s="43">
        <v>0.27</v>
      </c>
      <c r="D36" s="43" t="s">
        <v>67</v>
      </c>
      <c r="E36" s="4"/>
    </row>
    <row r="37" spans="1:5" x14ac:dyDescent="0.3">
      <c r="A37" s="40" t="s">
        <v>123</v>
      </c>
      <c r="B37" s="43" t="s">
        <v>48</v>
      </c>
      <c r="C37" s="43">
        <v>0.37</v>
      </c>
      <c r="D37" s="43" t="s">
        <v>68</v>
      </c>
      <c r="E37" s="4"/>
    </row>
    <row r="38" spans="1:5" x14ac:dyDescent="0.3">
      <c r="A38" s="40" t="s">
        <v>124</v>
      </c>
      <c r="B38" s="43" t="s">
        <v>65</v>
      </c>
      <c r="C38" s="43">
        <v>0.5</v>
      </c>
      <c r="D38" s="43" t="s">
        <v>69</v>
      </c>
      <c r="E38" s="4"/>
    </row>
    <row r="39" spans="1:5" x14ac:dyDescent="0.3">
      <c r="A39" s="40" t="s">
        <v>125</v>
      </c>
      <c r="B39" s="43" t="s">
        <v>66</v>
      </c>
      <c r="C39" s="43">
        <v>0.7</v>
      </c>
      <c r="D39" s="43" t="s">
        <v>54</v>
      </c>
      <c r="E39" s="4"/>
    </row>
    <row r="40" spans="1:5" x14ac:dyDescent="0.3">
      <c r="A40" s="40" t="s">
        <v>126</v>
      </c>
      <c r="B40" s="43" t="s">
        <v>51</v>
      </c>
      <c r="C40" s="43">
        <v>1</v>
      </c>
      <c r="D40" s="4"/>
      <c r="E40" s="4"/>
    </row>
    <row r="41" spans="1:5" x14ac:dyDescent="0.3">
      <c r="A41" s="4"/>
      <c r="B41" s="4"/>
      <c r="C41" s="4"/>
      <c r="D41" s="4"/>
      <c r="E41" s="4"/>
    </row>
    <row r="42" spans="1:5" x14ac:dyDescent="0.3">
      <c r="A42" s="4"/>
      <c r="B42" s="4"/>
      <c r="C42" s="4"/>
      <c r="D42" s="4"/>
      <c r="E42" s="4"/>
    </row>
    <row r="43" spans="1:5" ht="22.05" customHeight="1" x14ac:dyDescent="0.3">
      <c r="A43" s="37" t="s">
        <v>146</v>
      </c>
      <c r="B43" s="37"/>
      <c r="C43" s="37"/>
      <c r="D43" s="37"/>
      <c r="E43" s="37"/>
    </row>
    <row r="44" spans="1:5" ht="19.95" customHeight="1" x14ac:dyDescent="0.3">
      <c r="A44" s="38" t="s">
        <v>147</v>
      </c>
      <c r="B44" s="39" t="s">
        <v>148</v>
      </c>
      <c r="C44" s="39"/>
      <c r="D44" s="39"/>
      <c r="E44" s="39"/>
    </row>
    <row r="45" spans="1:5" x14ac:dyDescent="0.3">
      <c r="A45" s="40" t="s">
        <v>13</v>
      </c>
      <c r="B45" s="43">
        <v>0.45</v>
      </c>
      <c r="C45" s="4"/>
      <c r="D45" s="4"/>
      <c r="E45" s="4"/>
    </row>
    <row r="46" spans="1:5" x14ac:dyDescent="0.3">
      <c r="A46" s="40" t="s">
        <v>14</v>
      </c>
      <c r="B46" s="43">
        <v>0.55000000000000004</v>
      </c>
      <c r="C46" s="4"/>
      <c r="D46" s="4"/>
      <c r="E46" s="4"/>
    </row>
    <row r="47" spans="1:5" x14ac:dyDescent="0.3">
      <c r="A47" s="40" t="s">
        <v>15</v>
      </c>
      <c r="B47" s="43">
        <v>0.6</v>
      </c>
      <c r="C47" s="4"/>
      <c r="D47" s="4"/>
      <c r="E47" s="4"/>
    </row>
    <row r="48" spans="1:5" x14ac:dyDescent="0.3">
      <c r="A48" s="40" t="s">
        <v>16</v>
      </c>
      <c r="B48" s="43">
        <v>0.7</v>
      </c>
      <c r="C48" s="4"/>
      <c r="D48" s="4"/>
      <c r="E48" s="4"/>
    </row>
    <row r="49" spans="1:8" x14ac:dyDescent="0.3">
      <c r="A49" s="40" t="s">
        <v>17</v>
      </c>
      <c r="B49" s="43">
        <v>0.75</v>
      </c>
      <c r="C49" s="4"/>
      <c r="D49" s="4"/>
      <c r="E49" s="4"/>
    </row>
    <row r="50" spans="1:8" x14ac:dyDescent="0.3">
      <c r="A50" s="4"/>
      <c r="B50" s="4"/>
      <c r="C50" s="4"/>
      <c r="D50" s="4"/>
      <c r="E50" s="4"/>
    </row>
    <row r="51" spans="1:8" x14ac:dyDescent="0.3">
      <c r="A51" s="4"/>
      <c r="B51" s="4"/>
      <c r="C51" s="4"/>
      <c r="D51" s="4"/>
      <c r="E51" s="4"/>
    </row>
    <row r="52" spans="1:8" ht="22.05" customHeight="1" x14ac:dyDescent="0.3">
      <c r="A52" s="37" t="s">
        <v>128</v>
      </c>
      <c r="B52" s="37"/>
      <c r="C52" s="37"/>
      <c r="D52" s="37"/>
      <c r="E52" s="37"/>
    </row>
    <row r="53" spans="1:8" ht="19.95" customHeight="1" x14ac:dyDescent="0.3">
      <c r="A53" s="38" t="s">
        <v>129</v>
      </c>
      <c r="B53" s="39">
        <f>POWER(1.04, 0.5)</f>
        <v>1.019803902718557</v>
      </c>
      <c r="C53" s="39"/>
      <c r="D53" s="39"/>
      <c r="E53" s="39"/>
    </row>
    <row r="54" spans="1:8" x14ac:dyDescent="0.3">
      <c r="A54" s="40" t="s">
        <v>130</v>
      </c>
      <c r="B54" s="43">
        <v>0.25</v>
      </c>
      <c r="C54" s="4"/>
      <c r="D54" s="4"/>
      <c r="E54" s="4"/>
    </row>
    <row r="55" spans="1:8" x14ac:dyDescent="0.3">
      <c r="A55" s="4"/>
      <c r="B55" s="4"/>
      <c r="C55" s="4"/>
      <c r="D55" s="4"/>
      <c r="E55" s="4"/>
    </row>
    <row r="56" spans="1:8" ht="22.05" customHeight="1" x14ac:dyDescent="0.3">
      <c r="A56" s="37" t="s">
        <v>131</v>
      </c>
      <c r="B56" s="37"/>
      <c r="C56" s="37"/>
      <c r="D56" s="37"/>
      <c r="E56" s="37"/>
    </row>
    <row r="57" spans="1:8" ht="19.95" customHeight="1" x14ac:dyDescent="0.3">
      <c r="A57" s="38" t="s">
        <v>13</v>
      </c>
      <c r="B57" s="39" t="s">
        <v>14</v>
      </c>
      <c r="C57" s="39" t="s">
        <v>15</v>
      </c>
      <c r="D57" s="39" t="s">
        <v>16</v>
      </c>
      <c r="E57" s="39" t="s">
        <v>17</v>
      </c>
    </row>
    <row r="58" spans="1:8" x14ac:dyDescent="0.3">
      <c r="A58" s="40">
        <v>-1.282</v>
      </c>
      <c r="B58" s="43">
        <v>-0.67400000000000004</v>
      </c>
      <c r="C58" s="43">
        <v>0</v>
      </c>
      <c r="D58" s="43">
        <v>0.67400000000000004</v>
      </c>
      <c r="E58" s="43">
        <v>1.282</v>
      </c>
    </row>
    <row r="59" spans="1:8" x14ac:dyDescent="0.3">
      <c r="A59" s="80" t="s">
        <v>132</v>
      </c>
    </row>
    <row r="60" spans="1:8" x14ac:dyDescent="0.3">
      <c r="A60" s="81" t="s">
        <v>119</v>
      </c>
      <c r="B60" s="81" t="s">
        <v>120</v>
      </c>
      <c r="C60" s="81" t="s">
        <v>121</v>
      </c>
      <c r="D60" s="81" t="s">
        <v>122</v>
      </c>
      <c r="E60" s="81" t="s">
        <v>123</v>
      </c>
      <c r="F60" s="81" t="s">
        <v>124</v>
      </c>
      <c r="G60" s="81" t="s">
        <v>125</v>
      </c>
      <c r="H60" s="81" t="s">
        <v>126</v>
      </c>
    </row>
    <row r="61" spans="1:8" x14ac:dyDescent="0.3">
      <c r="A61" s="82">
        <v>0</v>
      </c>
      <c r="B61" s="82">
        <v>0.05</v>
      </c>
      <c r="C61" s="82">
        <v>0.15</v>
      </c>
      <c r="D61" s="82">
        <v>0.25</v>
      </c>
      <c r="E61" s="82">
        <v>0.4</v>
      </c>
      <c r="F61" s="82">
        <v>0.6</v>
      </c>
      <c r="G61" s="82">
        <v>0.8</v>
      </c>
      <c r="H61" s="82">
        <v>1</v>
      </c>
    </row>
  </sheetData>
  <pageMargins left="0.75" right="0.75" top="1" bottom="1" header="0.5" footer="0.5"/>
  <ignoredErrors>
    <ignoredError sqref="A1:U60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EFS</vt:lpstr>
      <vt:lpstr>PF</vt:lpstr>
      <vt:lpstr>CAD</vt:lpstr>
      <vt:lpstr>FO</vt:lpstr>
      <vt:lpstr>AM</vt:lpstr>
      <vt:lpstr>PE</vt:lpstr>
      <vt:lpstr>HF</vt:lpstr>
      <vt:lpstr>EFS_Params</vt:lpstr>
      <vt:lpstr>PF_Params</vt:lpstr>
      <vt:lpstr>CAD_Params</vt:lpstr>
      <vt:lpstr>FO_Params</vt:lpstr>
      <vt:lpstr>AM_Params</vt:lpstr>
      <vt:lpstr>PE_Params</vt:lpstr>
      <vt:lpstr>HF_Params</vt:lpstr>
      <vt:lpstr>EFS!Print_Area</vt:lpstr>
      <vt:lpstr>EFS!Print_Titles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 Oak</cp:lastModifiedBy>
  <cp:lastPrinted>2026-03-13T22:30:23Z</cp:lastPrinted>
  <dcterms:created xsi:type="dcterms:W3CDTF">2026-03-13T22:12:45Z</dcterms:created>
  <dcterms:modified xsi:type="dcterms:W3CDTF">2026-04-09T23:22:07Z</dcterms:modified>
</cp:coreProperties>
</file>