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tchell\Desktop\Temp\"/>
    </mc:Choice>
  </mc:AlternateContent>
  <xr:revisionPtr revIDLastSave="0" documentId="13_ncr:1_{27CAB7A7-6360-4A5F-A500-0233364FB66E}" xr6:coauthVersionLast="46" xr6:coauthVersionMax="46" xr10:uidLastSave="{00000000-0000-0000-0000-000000000000}"/>
  <bookViews>
    <workbookView xWindow="-120" yWindow="-120" windowWidth="29040" windowHeight="15840" tabRatio="501" xr2:uid="{68CE12E8-739C-48C1-9EDF-6EC2A9C672F2}"/>
  </bookViews>
  <sheets>
    <sheet name="Sheet1" sheetId="1" r:id="rId1"/>
  </sheets>
  <definedNames>
    <definedName name="_xlnm.Print_Area" localSheetId="0">Sheet1!$A$1:$G$67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63" i="1" l="1"/>
  <c r="F11" i="1"/>
  <c r="G62" i="1" l="1"/>
  <c r="B56" i="1"/>
  <c r="B43" i="1"/>
  <c r="G40" i="1"/>
  <c r="B39" i="1"/>
  <c r="B38" i="1"/>
  <c r="G60" i="1"/>
  <c r="B46" i="1"/>
  <c r="B37" i="1"/>
  <c r="B30" i="1"/>
  <c r="B29" i="1"/>
  <c r="B17" i="1"/>
  <c r="B57" i="1" l="1"/>
  <c r="B36" i="1"/>
  <c r="B35" i="1"/>
  <c r="B34" i="1"/>
  <c r="B33" i="1"/>
  <c r="B53" i="1" s="1"/>
  <c r="B13" i="1"/>
  <c r="E13" i="1" s="1"/>
  <c r="G13" i="1" s="1"/>
  <c r="B12" i="1"/>
  <c r="G14" i="1"/>
  <c r="E11" i="1"/>
  <c r="G11" i="1" l="1"/>
  <c r="G17" i="1"/>
  <c r="F12" i="1"/>
  <c r="B32" i="1"/>
  <c r="B45" i="1"/>
  <c r="B44" i="1"/>
  <c r="B58" i="1" s="1"/>
  <c r="B59" i="1" s="1"/>
  <c r="E59" i="1"/>
  <c r="E58" i="1"/>
  <c r="E57" i="1"/>
  <c r="C48" i="1"/>
  <c r="C46" i="1"/>
  <c r="J46" i="1"/>
  <c r="J47" i="1" s="1"/>
  <c r="B49" i="1"/>
  <c r="B50" i="1"/>
  <c r="G18" i="1"/>
  <c r="F10" i="1"/>
  <c r="E12" i="1"/>
  <c r="E10" i="1"/>
  <c r="B52" i="1" l="1"/>
  <c r="G10" i="1"/>
  <c r="G12" i="1"/>
  <c r="G67" i="1"/>
  <c r="G19" i="1" l="1"/>
  <c r="G65" i="1" s="1"/>
  <c r="G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Isaac Mitchell</author>
  </authors>
  <commentList>
    <comment ref="E39" authorId="0" shapeId="0" xr:uid="{10012C3F-3096-4897-8CA6-D94C8314751B}">
      <text>
        <r>
          <rPr>
            <b/>
            <sz val="9"/>
            <color indexed="81"/>
            <rFont val="Tahoma"/>
            <family val="2"/>
          </rPr>
          <t>Isaac Mitchell:</t>
        </r>
        <r>
          <rPr>
            <sz val="9"/>
            <color indexed="81"/>
            <rFont val="Tahoma"/>
            <family val="2"/>
          </rPr>
          <t xml:space="preserve">
2080 Total Hours in a Year
- 80 (10 Holidays)
- 80 (10 PTO)
- 120 (30 minute break/day)
_______________________
1800 Working Hours</t>
        </r>
      </text>
    </comment>
    <comment ref="E59" authorId="0" shapeId="0" xr:uid="{917F1B5F-2F03-472C-802C-C5F7CF572EC1}">
      <text>
        <r>
          <rPr>
            <b/>
            <sz val="9"/>
            <color indexed="81"/>
            <rFont val="Tahoma"/>
            <family val="2"/>
          </rPr>
          <t>Isaac Mitchell:</t>
        </r>
        <r>
          <rPr>
            <sz val="9"/>
            <color indexed="81"/>
            <rFont val="Tahoma"/>
            <family val="2"/>
          </rPr>
          <t xml:space="preserve">
2080 Total Hours in a Year
- 80 (10 Holidays)
- 80 (10 PTO)
- 120 (30 minute break/day)
_______________________
1800 Working Hours</t>
        </r>
      </text>
    </comment>
  </commentList>
</comments>
</file>

<file path=xl/sharedStrings.xml><?xml version="1.0" encoding="utf-8"?>
<sst xmlns="http://schemas.openxmlformats.org/spreadsheetml/2006/main" count="109" uniqueCount="78">
  <si>
    <t>Customer Name</t>
  </si>
  <si>
    <t>Continuum Kanban Main</t>
  </si>
  <si>
    <t>Continuum Kanban Add On</t>
  </si>
  <si>
    <t>Continuum Print Utility Purchase</t>
  </si>
  <si>
    <t>Target Inventory Value</t>
  </si>
  <si>
    <t>Customer Information</t>
  </si>
  <si>
    <t>Hardware Cost</t>
  </si>
  <si>
    <t>Revision Date:</t>
  </si>
  <si>
    <t>Contract Length (Months)</t>
  </si>
  <si>
    <t>Qty</t>
  </si>
  <si>
    <t>Number of Unique Item location (RFID Bins)</t>
  </si>
  <si>
    <t>Continuum Devices</t>
  </si>
  <si>
    <t>Rate</t>
  </si>
  <si>
    <t xml:space="preserve">Custom Development </t>
  </si>
  <si>
    <t>Total</t>
  </si>
  <si>
    <t xml:space="preserve">Continuum RFID Tags (Box of 10,000)  </t>
  </si>
  <si>
    <t>Bins</t>
  </si>
  <si>
    <t>Continuum Services:</t>
  </si>
  <si>
    <t>Continuum Devices:</t>
  </si>
  <si>
    <t>Customer Location</t>
  </si>
  <si>
    <t>Monthly Software Fees</t>
  </si>
  <si>
    <t>Total Hardware Cost</t>
  </si>
  <si>
    <t>Total Software Cost</t>
  </si>
  <si>
    <t>Qty. (hours)</t>
  </si>
  <si>
    <t>Customer Investment</t>
  </si>
  <si>
    <t>Customer Current State</t>
  </si>
  <si>
    <t>Inventory Locations</t>
  </si>
  <si>
    <t>Cost Associated with Inventory</t>
  </si>
  <si>
    <t>Yearly Rush Shipping</t>
  </si>
  <si>
    <t>Expiration Rate</t>
  </si>
  <si>
    <t xml:space="preserve">Labor Hour Dedicated to Inventory </t>
  </si>
  <si>
    <t>Continuum Future State</t>
  </si>
  <si>
    <t>Yearly Holding Cost</t>
  </si>
  <si>
    <t>Average Inventory Time per room</t>
  </si>
  <si>
    <t xml:space="preserve">Average Travel Time to each room </t>
  </si>
  <si>
    <t>Average Time to Restock Supplies</t>
  </si>
  <si>
    <t>Days a year worked</t>
  </si>
  <si>
    <t>FTEs/year</t>
  </si>
  <si>
    <t>hours over contract term</t>
  </si>
  <si>
    <t>dollars over contract term</t>
  </si>
  <si>
    <t xml:space="preserve">Average wage for FTEs </t>
  </si>
  <si>
    <t>(minutes)</t>
  </si>
  <si>
    <t xml:space="preserve">Expired Items Cost </t>
  </si>
  <si>
    <t>Contract Term Rush Shipping</t>
  </si>
  <si>
    <t xml:space="preserve">Future State Inventory Value </t>
  </si>
  <si>
    <t>Average Time to Order Supplies</t>
  </si>
  <si>
    <t>Total Current State Cost over Contract Term</t>
  </si>
  <si>
    <t>Total Future State Cost over Contract Term</t>
  </si>
  <si>
    <t>One Time Inventory Reduction</t>
  </si>
  <si>
    <t>Inventory Cost Savings over Contract Term</t>
  </si>
  <si>
    <t>Continuum RFID Kanban Savings Worksheet</t>
  </si>
  <si>
    <t>Note: 1,800 working hours a year</t>
  </si>
  <si>
    <t>Times a day each location stocked</t>
  </si>
  <si>
    <t>Note: 7 days/wk. = 365, 6 days/wk. = 312, 5 days/wk. = 260</t>
  </si>
  <si>
    <t>Redeployable FTEs :</t>
  </si>
  <si>
    <t>Professional Consulting Services</t>
  </si>
  <si>
    <t>Note: Wage x Inv. Times x Locations x Visit per day x Contract Days</t>
  </si>
  <si>
    <t>Total Inventory Associated Cost Savings :</t>
  </si>
  <si>
    <t>Savings with Continuum RFID Kanban</t>
  </si>
  <si>
    <t xml:space="preserve">Note: Rented Storage Space, Transportation Cost, 3PL, Consignment Inventory, etc. </t>
  </si>
  <si>
    <t>Note:  Inv. Times x Locations x Visit per day x Contract Days</t>
  </si>
  <si>
    <t>Continuum Investment</t>
  </si>
  <si>
    <t>Total Investment:</t>
  </si>
  <si>
    <t>One-time Inventory Reduction</t>
  </si>
  <si>
    <t>Inventory Demographics:</t>
  </si>
  <si>
    <t>Inventory Value:</t>
  </si>
  <si>
    <t>Labor To Count:</t>
  </si>
  <si>
    <t>Discount</t>
  </si>
  <si>
    <t>Note: Value Added Time</t>
  </si>
  <si>
    <t>Note: Inventory</t>
  </si>
  <si>
    <t>Note: Overproduction, Transportation and Motion</t>
  </si>
  <si>
    <t>Note: Waiting</t>
  </si>
  <si>
    <t>Current Vendor Hardware and Software Cost over Contract Term</t>
  </si>
  <si>
    <t>Note: One Time Inventory Reduction</t>
  </si>
  <si>
    <t>Note: No trips for inventory counts</t>
  </si>
  <si>
    <t>Wage ($/hr.) + Benefits</t>
  </si>
  <si>
    <t>0% Hardware Discount</t>
  </si>
  <si>
    <t xml:space="preserve">Confidential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</si>
</sst>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4" fontId="0" fillId="0" borderId="1" xfId="0" applyNumberFormat="1" applyBorder="1" applyAlignment="1">
      <alignment horizontal="center"/>
    </xf>
    <xf numFmtId="9" fontId="0" fillId="0" borderId="0" xfId="2" applyFont="1"/>
    <xf numFmtId="0" fontId="0" fillId="0" borderId="2" xfId="0" applyBorder="1"/>
    <xf numFmtId="8" fontId="0" fillId="0" borderId="2" xfId="0" applyNumberFormat="1" applyBorder="1"/>
    <xf numFmtId="165" fontId="0" fillId="0" borderId="2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0" fillId="0" borderId="0" xfId="0" applyFill="1"/>
    <xf numFmtId="0" fontId="0" fillId="0" borderId="2" xfId="0" applyFont="1" applyBorder="1" applyAlignment="1">
      <alignment horizontal="right"/>
    </xf>
    <xf numFmtId="8" fontId="0" fillId="0" borderId="2" xfId="0" applyNumberFormat="1" applyFont="1" applyBorder="1" applyAlignment="1">
      <alignment horizontal="right"/>
    </xf>
    <xf numFmtId="6" fontId="0" fillId="0" borderId="2" xfId="0" applyNumberFormat="1" applyFont="1" applyBorder="1" applyAlignment="1">
      <alignment horizontal="right"/>
    </xf>
    <xf numFmtId="0" fontId="2" fillId="7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right"/>
    </xf>
    <xf numFmtId="0" fontId="0" fillId="7" borderId="2" xfId="0" applyFill="1" applyBorder="1"/>
    <xf numFmtId="0" fontId="2" fillId="6" borderId="2" xfId="0" applyFont="1" applyFill="1" applyBorder="1" applyAlignment="1">
      <alignment horizontal="center" wrapText="1"/>
    </xf>
    <xf numFmtId="6" fontId="2" fillId="7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2" xfId="0" applyNumberFormat="1" applyFont="1" applyBorder="1" applyAlignment="1">
      <alignment horizontal="right"/>
    </xf>
    <xf numFmtId="165" fontId="6" fillId="0" borderId="2" xfId="1" applyNumberFormat="1" applyFont="1" applyBorder="1"/>
    <xf numFmtId="0" fontId="6" fillId="0" borderId="2" xfId="1" applyNumberFormat="1" applyFont="1" applyBorder="1" applyAlignment="1">
      <alignment horizontal="center"/>
    </xf>
    <xf numFmtId="9" fontId="6" fillId="0" borderId="2" xfId="2" applyFont="1" applyBorder="1" applyAlignment="1">
      <alignment horizontal="right"/>
    </xf>
    <xf numFmtId="165" fontId="8" fillId="0" borderId="2" xfId="1" applyNumberFormat="1" applyFont="1" applyBorder="1"/>
    <xf numFmtId="164" fontId="6" fillId="0" borderId="2" xfId="0" applyNumberFormat="1" applyFont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2" fontId="2" fillId="0" borderId="2" xfId="0" applyNumberFormat="1" applyFont="1" applyBorder="1"/>
    <xf numFmtId="165" fontId="0" fillId="0" borderId="1" xfId="1" applyNumberFormat="1" applyFont="1" applyBorder="1"/>
    <xf numFmtId="0" fontId="0" fillId="0" borderId="7" xfId="0" applyBorder="1"/>
    <xf numFmtId="0" fontId="0" fillId="0" borderId="0" xfId="0" applyBorder="1" applyAlignment="1">
      <alignment horizontal="right"/>
    </xf>
    <xf numFmtId="8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2" fillId="8" borderId="4" xfId="0" applyFont="1" applyFill="1" applyBorder="1" applyAlignment="1">
      <alignment horizontal="left"/>
    </xf>
    <xf numFmtId="8" fontId="0" fillId="8" borderId="5" xfId="0" applyNumberFormat="1" applyFill="1" applyBorder="1"/>
    <xf numFmtId="0" fontId="0" fillId="8" borderId="5" xfId="0" applyFill="1" applyBorder="1"/>
    <xf numFmtId="0" fontId="0" fillId="8" borderId="6" xfId="0" applyFill="1" applyBorder="1"/>
    <xf numFmtId="0" fontId="0" fillId="0" borderId="8" xfId="0" applyBorder="1"/>
    <xf numFmtId="0" fontId="0" fillId="0" borderId="12" xfId="0" applyFont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8" fontId="0" fillId="0" borderId="10" xfId="0" applyNumberFormat="1" applyBorder="1"/>
    <xf numFmtId="0" fontId="2" fillId="6" borderId="1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center"/>
    </xf>
    <xf numFmtId="0" fontId="0" fillId="0" borderId="12" xfId="0" applyFont="1" applyBorder="1" applyAlignment="1">
      <alignment horizontal="left" indent="1"/>
    </xf>
    <xf numFmtId="8" fontId="0" fillId="0" borderId="13" xfId="0" applyNumberFormat="1" applyBorder="1"/>
    <xf numFmtId="0" fontId="0" fillId="0" borderId="12" xfId="0" applyFont="1" applyBorder="1" applyAlignment="1">
      <alignment horizontal="left" indent="2"/>
    </xf>
    <xf numFmtId="0" fontId="2" fillId="7" borderId="12" xfId="0" applyFont="1" applyFill="1" applyBorder="1"/>
    <xf numFmtId="0" fontId="0" fillId="7" borderId="13" xfId="0" applyFill="1" applyBorder="1"/>
    <xf numFmtId="0" fontId="0" fillId="0" borderId="12" xfId="0" applyFont="1" applyFill="1" applyBorder="1" applyAlignment="1">
      <alignment horizontal="left" indent="1"/>
    </xf>
    <xf numFmtId="6" fontId="0" fillId="0" borderId="13" xfId="0" applyNumberFormat="1" applyBorder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7" borderId="0" xfId="0" applyFont="1" applyFill="1" applyBorder="1"/>
    <xf numFmtId="0" fontId="2" fillId="7" borderId="10" xfId="0" applyFont="1" applyFill="1" applyBorder="1"/>
    <xf numFmtId="0" fontId="2" fillId="7" borderId="10" xfId="0" applyFont="1" applyFill="1" applyBorder="1" applyAlignment="1">
      <alignment horizontal="right"/>
    </xf>
    <xf numFmtId="0" fontId="2" fillId="7" borderId="7" xfId="0" applyFont="1" applyFill="1" applyBorder="1"/>
    <xf numFmtId="0" fontId="2" fillId="7" borderId="9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8" fontId="0" fillId="0" borderId="14" xfId="0" applyNumberFormat="1" applyBorder="1"/>
    <xf numFmtId="0" fontId="5" fillId="9" borderId="0" xfId="0" applyFont="1" applyFill="1" applyBorder="1"/>
    <xf numFmtId="0" fontId="3" fillId="7" borderId="0" xfId="0" applyFont="1" applyFill="1" applyBorder="1" applyAlignment="1">
      <alignment horizontal="right"/>
    </xf>
    <xf numFmtId="0" fontId="3" fillId="7" borderId="10" xfId="0" applyFont="1" applyFill="1" applyBorder="1" applyAlignment="1">
      <alignment horizontal="right"/>
    </xf>
    <xf numFmtId="0" fontId="11" fillId="0" borderId="0" xfId="0" applyFont="1" applyBorder="1"/>
    <xf numFmtId="0" fontId="11" fillId="0" borderId="8" xfId="0" applyFont="1" applyBorder="1"/>
    <xf numFmtId="165" fontId="11" fillId="0" borderId="0" xfId="1" applyNumberFormat="1" applyFont="1" applyBorder="1"/>
    <xf numFmtId="0" fontId="12" fillId="0" borderId="0" xfId="0" applyFont="1" applyAlignment="1"/>
    <xf numFmtId="8" fontId="3" fillId="7" borderId="8" xfId="0" applyNumberFormat="1" applyFont="1" applyFill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0" fontId="4" fillId="9" borderId="7" xfId="0" applyFont="1" applyFill="1" applyBorder="1"/>
    <xf numFmtId="0" fontId="5" fillId="9" borderId="8" xfId="0" applyFont="1" applyFill="1" applyBorder="1"/>
    <xf numFmtId="0" fontId="0" fillId="4" borderId="0" xfId="0" applyFill="1" applyBorder="1"/>
    <xf numFmtId="8" fontId="2" fillId="4" borderId="13" xfId="0" applyNumberFormat="1" applyFont="1" applyFill="1" applyBorder="1"/>
    <xf numFmtId="0" fontId="0" fillId="0" borderId="18" xfId="0" applyBorder="1"/>
    <xf numFmtId="0" fontId="0" fillId="4" borderId="8" xfId="0" applyFill="1" applyBorder="1"/>
    <xf numFmtId="0" fontId="2" fillId="4" borderId="7" xfId="0" applyFont="1" applyFill="1" applyBorder="1" applyAlignment="1"/>
    <xf numFmtId="0" fontId="2" fillId="0" borderId="19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6" fillId="0" borderId="22" xfId="1" applyNumberFormat="1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8" fontId="7" fillId="8" borderId="20" xfId="0" applyNumberFormat="1" applyFont="1" applyFill="1" applyBorder="1"/>
    <xf numFmtId="8" fontId="7" fillId="5" borderId="20" xfId="0" applyNumberFormat="1" applyFont="1" applyFill="1" applyBorder="1"/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/>
    <xf numFmtId="8" fontId="8" fillId="0" borderId="8" xfId="0" applyNumberFormat="1" applyFont="1" applyBorder="1"/>
    <xf numFmtId="8" fontId="2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5" borderId="16" xfId="0" applyFont="1" applyFill="1" applyBorder="1" applyAlignment="1">
      <alignment horizontal="right"/>
    </xf>
    <xf numFmtId="0" fontId="7" fillId="8" borderId="16" xfId="0" applyFont="1" applyFill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2" fontId="8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2" fillId="4" borderId="17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57151</xdr:rowOff>
    </xdr:from>
    <xdr:to>
      <xdr:col>6</xdr:col>
      <xdr:colOff>1961858</xdr:colOff>
      <xdr:row>0</xdr:row>
      <xdr:rowOff>376215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285D1-0DEC-493A-A2D3-B71B7C6F9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57151"/>
          <a:ext cx="2171408" cy="319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089E-EAD8-4BC2-9045-32BBABB755D7}">
  <sheetPr>
    <pageSetUpPr fitToPage="1"/>
  </sheetPr>
  <dimension ref="A1:J67"/>
  <sheetViews>
    <sheetView tabSelected="1" zoomScaleNormal="100" workbookViewId="0">
      <selection activeCell="G53" sqref="G53"/>
    </sheetView>
  </sheetViews>
  <sheetFormatPr defaultRowHeight="15" x14ac:dyDescent="0.25"/>
  <cols>
    <col min="1" max="1" width="41.5703125" customWidth="1"/>
    <col min="2" max="2" width="13.42578125" customWidth="1"/>
    <col min="3" max="3" width="14" bestFit="1" customWidth="1"/>
    <col min="4" max="4" width="13.5703125" customWidth="1"/>
    <col min="5" max="6" width="14.7109375" customWidth="1"/>
    <col min="7" max="7" width="34.85546875" customWidth="1"/>
    <col min="10" max="10" width="9.140625" hidden="1" customWidth="1"/>
  </cols>
  <sheetData>
    <row r="1" spans="1:8" ht="31.5" customHeight="1" x14ac:dyDescent="0.4">
      <c r="A1" s="78" t="s">
        <v>50</v>
      </c>
      <c r="B1" s="2"/>
      <c r="C1" s="2"/>
      <c r="D1" s="2"/>
      <c r="E1" s="2"/>
    </row>
    <row r="2" spans="1:8" ht="15.75" thickBot="1" x14ac:dyDescent="0.3">
      <c r="C2" s="1"/>
      <c r="D2" s="1"/>
      <c r="E2" s="1"/>
      <c r="F2" s="3" t="s">
        <v>7</v>
      </c>
      <c r="G2" s="4">
        <v>44273</v>
      </c>
    </row>
    <row r="3" spans="1:8" s="11" customFormat="1" x14ac:dyDescent="0.25">
      <c r="A3" s="60" t="s">
        <v>5</v>
      </c>
      <c r="B3" s="61"/>
      <c r="C3" s="62"/>
      <c r="D3" s="62"/>
      <c r="E3" s="61"/>
      <c r="F3" s="61"/>
      <c r="G3" s="63"/>
    </row>
    <row r="4" spans="1:8" x14ac:dyDescent="0.25">
      <c r="A4" s="44" t="s">
        <v>0</v>
      </c>
      <c r="B4" s="110" t="s">
        <v>77</v>
      </c>
      <c r="C4" s="110"/>
      <c r="D4" s="110"/>
      <c r="E4" s="110"/>
      <c r="F4" s="110"/>
      <c r="G4" s="111"/>
    </row>
    <row r="5" spans="1:8" x14ac:dyDescent="0.25">
      <c r="A5" s="44" t="s">
        <v>19</v>
      </c>
      <c r="B5" s="110" t="s">
        <v>77</v>
      </c>
      <c r="C5" s="110"/>
      <c r="D5" s="110"/>
      <c r="E5" s="110"/>
      <c r="F5" s="110"/>
      <c r="G5" s="111"/>
    </row>
    <row r="6" spans="1:8" ht="16.5" customHeight="1" thickBot="1" x14ac:dyDescent="0.3">
      <c r="A6" s="88" t="s">
        <v>8</v>
      </c>
      <c r="B6" s="112">
        <v>60</v>
      </c>
      <c r="C6" s="112"/>
      <c r="D6" s="112"/>
      <c r="E6" s="112"/>
      <c r="F6" s="112"/>
      <c r="G6" s="113"/>
    </row>
    <row r="7" spans="1:8" ht="16.5" customHeight="1" x14ac:dyDescent="0.25">
      <c r="A7" s="87" t="s">
        <v>24</v>
      </c>
      <c r="B7" s="83"/>
      <c r="C7" s="83"/>
      <c r="D7" s="83"/>
      <c r="E7" s="83"/>
      <c r="F7" s="83"/>
      <c r="G7" s="86"/>
    </row>
    <row r="8" spans="1:8" ht="32.25" customHeight="1" x14ac:dyDescent="0.25">
      <c r="A8" s="49" t="s">
        <v>11</v>
      </c>
      <c r="B8" s="18" t="s">
        <v>9</v>
      </c>
      <c r="C8" s="18" t="s">
        <v>6</v>
      </c>
      <c r="D8" s="18" t="s">
        <v>20</v>
      </c>
      <c r="E8" s="18" t="s">
        <v>21</v>
      </c>
      <c r="F8" s="18" t="s">
        <v>22</v>
      </c>
      <c r="G8" s="50" t="s">
        <v>14</v>
      </c>
      <c r="H8" t="s">
        <v>67</v>
      </c>
    </row>
    <row r="9" spans="1:8" ht="16.5" customHeight="1" x14ac:dyDescent="0.25">
      <c r="A9" s="51" t="s">
        <v>18</v>
      </c>
      <c r="B9" s="15"/>
      <c r="C9" s="15"/>
      <c r="D9" s="15"/>
      <c r="E9" s="15"/>
      <c r="F9" s="15"/>
      <c r="G9" s="52" t="s">
        <v>76</v>
      </c>
    </row>
    <row r="10" spans="1:8" ht="16.5" customHeight="1" x14ac:dyDescent="0.25">
      <c r="A10" s="53" t="s">
        <v>3</v>
      </c>
      <c r="B10" s="21">
        <v>0</v>
      </c>
      <c r="C10" s="13">
        <v>9500</v>
      </c>
      <c r="D10" s="13">
        <v>200</v>
      </c>
      <c r="E10" s="7">
        <f>B10*C10</f>
        <v>0</v>
      </c>
      <c r="F10" s="7">
        <f>B10*D10*B6</f>
        <v>0</v>
      </c>
      <c r="G10" s="54">
        <f>(E10+F10)*(1-H10)</f>
        <v>0</v>
      </c>
      <c r="H10" s="5">
        <v>0</v>
      </c>
    </row>
    <row r="11" spans="1:8" x14ac:dyDescent="0.25">
      <c r="A11" s="53" t="s">
        <v>1</v>
      </c>
      <c r="B11" s="21">
        <v>62</v>
      </c>
      <c r="C11" s="13">
        <v>9500</v>
      </c>
      <c r="D11" s="13">
        <v>400</v>
      </c>
      <c r="E11" s="7">
        <f>B11*C11</f>
        <v>589000</v>
      </c>
      <c r="F11" s="7">
        <f>B11*D11*B6</f>
        <v>1488000</v>
      </c>
      <c r="G11" s="54">
        <f>(E11+F11)*(1-H11)</f>
        <v>2077000</v>
      </c>
      <c r="H11" s="5">
        <v>0</v>
      </c>
    </row>
    <row r="12" spans="1:8" x14ac:dyDescent="0.25">
      <c r="A12" s="53" t="s">
        <v>2</v>
      </c>
      <c r="B12" s="21">
        <f>B11*3</f>
        <v>186</v>
      </c>
      <c r="C12" s="13">
        <v>1500</v>
      </c>
      <c r="D12" s="13">
        <v>50</v>
      </c>
      <c r="E12" s="7">
        <f t="shared" ref="E12" si="0">B12*C12</f>
        <v>279000</v>
      </c>
      <c r="F12" s="7">
        <f>B12*D12*B6</f>
        <v>558000</v>
      </c>
      <c r="G12" s="54">
        <f>(E12+F12)*(1-H12)</f>
        <v>837000</v>
      </c>
      <c r="H12" s="5">
        <v>0</v>
      </c>
    </row>
    <row r="13" spans="1:8" x14ac:dyDescent="0.25">
      <c r="A13" s="53" t="s">
        <v>10</v>
      </c>
      <c r="B13" s="21">
        <f>B24*2</f>
        <v>9184</v>
      </c>
      <c r="C13" s="13">
        <v>2</v>
      </c>
      <c r="D13" s="13">
        <v>0</v>
      </c>
      <c r="E13" s="7">
        <f>B13*C13</f>
        <v>18368</v>
      </c>
      <c r="F13" s="6"/>
      <c r="G13" s="54">
        <f>(E13+F13)*(1-H13)</f>
        <v>18368</v>
      </c>
      <c r="H13" s="5">
        <v>0</v>
      </c>
    </row>
    <row r="14" spans="1:8" x14ac:dyDescent="0.25">
      <c r="A14" s="55" t="s">
        <v>15</v>
      </c>
      <c r="B14" s="22">
        <v>0</v>
      </c>
      <c r="C14" s="14">
        <v>1200</v>
      </c>
      <c r="D14" s="12"/>
      <c r="E14" s="6"/>
      <c r="F14" s="6"/>
      <c r="G14" s="54">
        <f>(E14+F14)*(1-H14)</f>
        <v>0</v>
      </c>
      <c r="H14" s="5">
        <v>0</v>
      </c>
    </row>
    <row r="15" spans="1:8" x14ac:dyDescent="0.25">
      <c r="A15" s="53" t="s">
        <v>16</v>
      </c>
      <c r="B15" s="14"/>
      <c r="C15" s="14"/>
      <c r="D15" s="12"/>
      <c r="E15" s="6"/>
      <c r="F15" s="6"/>
      <c r="G15" s="54"/>
    </row>
    <row r="16" spans="1:8" x14ac:dyDescent="0.25">
      <c r="A16" s="56" t="s">
        <v>17</v>
      </c>
      <c r="B16" s="18" t="s">
        <v>23</v>
      </c>
      <c r="C16" s="19" t="s">
        <v>12</v>
      </c>
      <c r="D16" s="16"/>
      <c r="E16" s="17"/>
      <c r="F16" s="17"/>
      <c r="G16" s="57"/>
    </row>
    <row r="17" spans="1:7" x14ac:dyDescent="0.25">
      <c r="A17" s="58" t="s">
        <v>55</v>
      </c>
      <c r="B17" s="22">
        <f>B11*4</f>
        <v>248</v>
      </c>
      <c r="C17" s="14">
        <v>185</v>
      </c>
      <c r="D17" s="12"/>
      <c r="E17" s="6"/>
      <c r="F17" s="6"/>
      <c r="G17" s="59">
        <f>B17*C17</f>
        <v>45880</v>
      </c>
    </row>
    <row r="18" spans="1:7" x14ac:dyDescent="0.25">
      <c r="A18" s="58" t="s">
        <v>13</v>
      </c>
      <c r="B18" s="22">
        <v>0</v>
      </c>
      <c r="C18" s="14">
        <v>185</v>
      </c>
      <c r="D18" s="12"/>
      <c r="E18" s="6"/>
      <c r="F18" s="6"/>
      <c r="G18" s="59">
        <f>B18*C18</f>
        <v>0</v>
      </c>
    </row>
    <row r="19" spans="1:7" ht="15.75" thickBot="1" x14ac:dyDescent="0.3">
      <c r="A19" s="32"/>
      <c r="B19" s="9"/>
      <c r="C19" s="9"/>
      <c r="D19" s="9"/>
      <c r="E19" s="108" t="s">
        <v>62</v>
      </c>
      <c r="F19" s="109"/>
      <c r="G19" s="84">
        <f>SUM(G10:G18)</f>
        <v>2978248</v>
      </c>
    </row>
    <row r="20" spans="1:7" s="11" customFormat="1" x14ac:dyDescent="0.25">
      <c r="A20" s="45" t="s">
        <v>25</v>
      </c>
      <c r="B20" s="46"/>
      <c r="C20" s="46"/>
      <c r="D20" s="46"/>
      <c r="E20" s="46"/>
      <c r="F20" s="46"/>
      <c r="G20" s="47"/>
    </row>
    <row r="21" spans="1:7" x14ac:dyDescent="0.25">
      <c r="A21" s="89" t="s">
        <v>64</v>
      </c>
      <c r="B21" s="69"/>
      <c r="C21" s="9"/>
      <c r="D21" s="9"/>
      <c r="E21" s="9"/>
      <c r="F21" s="9"/>
      <c r="G21" s="41"/>
    </row>
    <row r="22" spans="1:7" x14ac:dyDescent="0.25">
      <c r="A22" s="42" t="s">
        <v>4</v>
      </c>
      <c r="B22" s="23">
        <v>409165.88</v>
      </c>
      <c r="C22" s="10"/>
      <c r="D22" s="9"/>
      <c r="E22" s="9"/>
      <c r="F22" s="9"/>
      <c r="G22" s="41"/>
    </row>
    <row r="23" spans="1:7" x14ac:dyDescent="0.25">
      <c r="A23" s="42" t="s">
        <v>26</v>
      </c>
      <c r="B23" s="24">
        <v>62</v>
      </c>
      <c r="C23" s="10"/>
      <c r="D23" s="9"/>
      <c r="E23" s="9"/>
      <c r="F23" s="9"/>
      <c r="G23" s="41"/>
    </row>
    <row r="24" spans="1:7" x14ac:dyDescent="0.25">
      <c r="A24" s="42" t="s">
        <v>10</v>
      </c>
      <c r="B24" s="24">
        <v>4592</v>
      </c>
      <c r="C24" s="10"/>
      <c r="D24" s="9"/>
      <c r="E24" s="9"/>
      <c r="F24" s="9"/>
      <c r="G24" s="41"/>
    </row>
    <row r="25" spans="1:7" x14ac:dyDescent="0.25">
      <c r="A25" s="42" t="s">
        <v>52</v>
      </c>
      <c r="B25" s="24">
        <v>2</v>
      </c>
      <c r="C25" s="10"/>
      <c r="D25" s="9"/>
      <c r="E25" s="9"/>
      <c r="F25" s="9"/>
      <c r="G25" s="41"/>
    </row>
    <row r="26" spans="1:7" x14ac:dyDescent="0.25">
      <c r="A26" s="42" t="s">
        <v>36</v>
      </c>
      <c r="B26" s="24">
        <v>260</v>
      </c>
      <c r="C26" s="77" t="s">
        <v>53</v>
      </c>
      <c r="D26" s="9"/>
      <c r="E26" s="9"/>
      <c r="F26" s="9"/>
      <c r="G26" s="41"/>
    </row>
    <row r="27" spans="1:7" x14ac:dyDescent="0.25">
      <c r="A27" s="91" t="s">
        <v>65</v>
      </c>
      <c r="B27" s="90"/>
      <c r="C27" s="10"/>
      <c r="D27" s="9"/>
      <c r="E27" s="9"/>
      <c r="F27" s="9"/>
      <c r="G27" s="41"/>
    </row>
    <row r="28" spans="1:7" x14ac:dyDescent="0.25">
      <c r="A28" s="42" t="s">
        <v>32</v>
      </c>
      <c r="B28" s="23">
        <v>0</v>
      </c>
      <c r="C28" s="77" t="s">
        <v>59</v>
      </c>
      <c r="D28" s="9"/>
      <c r="E28" s="9"/>
      <c r="F28" s="9"/>
      <c r="G28" s="41"/>
    </row>
    <row r="29" spans="1:7" x14ac:dyDescent="0.25">
      <c r="A29" s="42" t="s">
        <v>42</v>
      </c>
      <c r="B29" s="8">
        <f>B22*C29*($B$6/12)</f>
        <v>204582.94</v>
      </c>
      <c r="C29" s="25">
        <v>0.1</v>
      </c>
      <c r="D29" s="98" t="s">
        <v>29</v>
      </c>
      <c r="E29" s="98"/>
      <c r="F29" s="9"/>
      <c r="G29" s="41"/>
    </row>
    <row r="30" spans="1:7" x14ac:dyDescent="0.25">
      <c r="A30" s="42" t="s">
        <v>43</v>
      </c>
      <c r="B30" s="26">
        <f>C30*( $B$6/12)</f>
        <v>5000</v>
      </c>
      <c r="C30" s="23">
        <v>1000</v>
      </c>
      <c r="D30" s="106" t="s">
        <v>28</v>
      </c>
      <c r="E30" s="106"/>
      <c r="F30" s="9"/>
      <c r="G30" s="41"/>
    </row>
    <row r="31" spans="1:7" x14ac:dyDescent="0.25">
      <c r="A31" s="91" t="s">
        <v>66</v>
      </c>
      <c r="B31" s="31"/>
      <c r="C31" s="10"/>
      <c r="D31" s="9"/>
      <c r="E31" s="9"/>
      <c r="F31" s="9"/>
      <c r="G31" s="41"/>
    </row>
    <row r="32" spans="1:7" x14ac:dyDescent="0.25">
      <c r="A32" s="42" t="s">
        <v>40</v>
      </c>
      <c r="B32" s="27">
        <f>12*1.3</f>
        <v>15.600000000000001</v>
      </c>
      <c r="C32" s="107" t="s">
        <v>75</v>
      </c>
      <c r="D32" s="107"/>
      <c r="E32" s="9"/>
      <c r="F32" s="9"/>
      <c r="G32" s="41"/>
    </row>
    <row r="33" spans="1:10" x14ac:dyDescent="0.25">
      <c r="A33" s="42" t="s">
        <v>34</v>
      </c>
      <c r="B33" s="95">
        <f>(55+38+10)/9</f>
        <v>11.444444444444445</v>
      </c>
      <c r="C33" s="104" t="s">
        <v>41</v>
      </c>
      <c r="D33" s="104"/>
      <c r="E33" s="75" t="s">
        <v>70</v>
      </c>
      <c r="F33" s="9"/>
      <c r="G33" s="41"/>
    </row>
    <row r="34" spans="1:10" x14ac:dyDescent="0.25">
      <c r="A34" s="42" t="s">
        <v>33</v>
      </c>
      <c r="B34" s="95">
        <f>(44+12)/9</f>
        <v>6.2222222222222223</v>
      </c>
      <c r="C34" s="104" t="s">
        <v>41</v>
      </c>
      <c r="D34" s="104"/>
      <c r="E34" s="75" t="s">
        <v>69</v>
      </c>
      <c r="F34" s="9"/>
      <c r="G34" s="41"/>
    </row>
    <row r="35" spans="1:10" x14ac:dyDescent="0.25">
      <c r="A35" s="42" t="s">
        <v>45</v>
      </c>
      <c r="B35" s="95">
        <f>(12)/9</f>
        <v>1.3333333333333333</v>
      </c>
      <c r="C35" s="104" t="s">
        <v>41</v>
      </c>
      <c r="D35" s="104"/>
      <c r="E35" s="75" t="s">
        <v>71</v>
      </c>
      <c r="F35" s="9"/>
      <c r="G35" s="41"/>
    </row>
    <row r="36" spans="1:10" x14ac:dyDescent="0.25">
      <c r="A36" s="42" t="s">
        <v>35</v>
      </c>
      <c r="B36" s="94">
        <f>149/9</f>
        <v>16.555555555555557</v>
      </c>
      <c r="C36" s="104" t="s">
        <v>41</v>
      </c>
      <c r="D36" s="104"/>
      <c r="E36" s="75" t="s">
        <v>68</v>
      </c>
      <c r="F36" s="9"/>
      <c r="G36" s="41"/>
    </row>
    <row r="37" spans="1:10" x14ac:dyDescent="0.25">
      <c r="A37" s="43" t="s">
        <v>27</v>
      </c>
      <c r="B37" s="28">
        <f>(B32*(SUM(B33:B36)/60)*(B23*B25)*(($B$6/12)*$B$26))</f>
        <v>1490204.4444444447</v>
      </c>
      <c r="C37" s="105" t="s">
        <v>39</v>
      </c>
      <c r="D37" s="105"/>
      <c r="E37" s="75" t="s">
        <v>56</v>
      </c>
      <c r="F37" s="75"/>
      <c r="G37" s="76"/>
    </row>
    <row r="38" spans="1:10" x14ac:dyDescent="0.25">
      <c r="A38" s="44" t="s">
        <v>30</v>
      </c>
      <c r="B38" s="29">
        <f>((SUM(B33:B36)/60)*(B23*B25)*(($B$6/12)*$B$26))</f>
        <v>95525.925925925942</v>
      </c>
      <c r="C38" s="105" t="s">
        <v>38</v>
      </c>
      <c r="D38" s="105"/>
      <c r="E38" s="75" t="s">
        <v>60</v>
      </c>
      <c r="F38" s="75"/>
      <c r="G38" s="76"/>
    </row>
    <row r="39" spans="1:10" x14ac:dyDescent="0.25">
      <c r="A39" s="42"/>
      <c r="B39" s="30">
        <f>B38/1800/($B$6/12)</f>
        <v>10.613991769547328</v>
      </c>
      <c r="C39" s="97" t="s">
        <v>37</v>
      </c>
      <c r="D39" s="97"/>
      <c r="E39" s="101" t="s">
        <v>51</v>
      </c>
      <c r="F39" s="102"/>
      <c r="G39" s="103"/>
    </row>
    <row r="40" spans="1:10" ht="15.75" thickBot="1" x14ac:dyDescent="0.3">
      <c r="A40" s="35"/>
      <c r="B40" s="36"/>
      <c r="C40" s="48"/>
      <c r="D40" s="99" t="s">
        <v>46</v>
      </c>
      <c r="E40" s="99"/>
      <c r="F40" s="99"/>
      <c r="G40" s="93">
        <f>B28+B29+B30+B37</f>
        <v>1699787.3844444447</v>
      </c>
    </row>
    <row r="41" spans="1:10" x14ac:dyDescent="0.25">
      <c r="A41" s="37" t="s">
        <v>31</v>
      </c>
      <c r="B41" s="38"/>
      <c r="C41" s="38"/>
      <c r="D41" s="39"/>
      <c r="E41" s="39"/>
      <c r="F41" s="39"/>
      <c r="G41" s="40"/>
    </row>
    <row r="42" spans="1:10" x14ac:dyDescent="0.25">
      <c r="A42" s="89" t="s">
        <v>64</v>
      </c>
      <c r="B42" s="69"/>
      <c r="C42" s="9"/>
      <c r="D42" s="9"/>
      <c r="E42" s="9"/>
      <c r="F42" s="9"/>
      <c r="G42" s="41"/>
    </row>
    <row r="43" spans="1:10" x14ac:dyDescent="0.25">
      <c r="A43" s="42" t="s">
        <v>44</v>
      </c>
      <c r="B43" s="23">
        <f>$B$22*(1-C43)</f>
        <v>245499.52799999999</v>
      </c>
      <c r="C43" s="25">
        <v>0.4</v>
      </c>
      <c r="D43" s="98" t="s">
        <v>63</v>
      </c>
      <c r="E43" s="98"/>
      <c r="F43" s="9"/>
      <c r="G43" s="41"/>
      <c r="J43">
        <v>2080</v>
      </c>
    </row>
    <row r="44" spans="1:10" x14ac:dyDescent="0.25">
      <c r="A44" s="42" t="s">
        <v>26</v>
      </c>
      <c r="B44" s="24">
        <f>B23</f>
        <v>62</v>
      </c>
      <c r="C44" s="10"/>
      <c r="D44" s="9"/>
      <c r="E44" s="9"/>
      <c r="F44" s="9"/>
      <c r="G44" s="41"/>
      <c r="J44">
        <v>80</v>
      </c>
    </row>
    <row r="45" spans="1:10" x14ac:dyDescent="0.25">
      <c r="A45" s="42" t="s">
        <v>52</v>
      </c>
      <c r="B45" s="24">
        <f>B25</f>
        <v>2</v>
      </c>
      <c r="C45" s="10"/>
      <c r="D45" s="9"/>
      <c r="E45" s="9"/>
      <c r="F45" s="9"/>
      <c r="G45" s="41"/>
      <c r="J45">
        <v>80</v>
      </c>
    </row>
    <row r="46" spans="1:10" x14ac:dyDescent="0.25">
      <c r="A46" s="42" t="s">
        <v>36</v>
      </c>
      <c r="B46" s="24">
        <f>B26</f>
        <v>260</v>
      </c>
      <c r="C46" s="77" t="str">
        <f>C26</f>
        <v>Note: 7 days/wk. = 365, 6 days/wk. = 312, 5 days/wk. = 260</v>
      </c>
      <c r="D46" s="9"/>
      <c r="E46" s="9"/>
      <c r="F46" s="9"/>
      <c r="G46" s="41"/>
      <c r="J46">
        <f>0.5*5*48</f>
        <v>120</v>
      </c>
    </row>
    <row r="47" spans="1:10" x14ac:dyDescent="0.25">
      <c r="A47" s="91" t="s">
        <v>65</v>
      </c>
      <c r="B47" s="90"/>
      <c r="C47" s="10"/>
      <c r="D47" s="9"/>
      <c r="E47" s="9"/>
      <c r="F47" s="9"/>
      <c r="G47" s="41"/>
      <c r="J47">
        <f>J43-J44-J45-J46</f>
        <v>1800</v>
      </c>
    </row>
    <row r="48" spans="1:10" x14ac:dyDescent="0.25">
      <c r="A48" s="42" t="s">
        <v>32</v>
      </c>
      <c r="B48" s="23">
        <v>0</v>
      </c>
      <c r="C48" s="77" t="str">
        <f>C28</f>
        <v xml:space="preserve">Note: Rented Storage Space, Transportation Cost, 3PL, Consignment Inventory, etc. </v>
      </c>
      <c r="D48" s="9"/>
      <c r="E48" s="9"/>
      <c r="F48" s="9"/>
      <c r="G48" s="41"/>
    </row>
    <row r="49" spans="1:7" x14ac:dyDescent="0.25">
      <c r="A49" s="42" t="s">
        <v>42</v>
      </c>
      <c r="B49" s="8">
        <f>B43*C49*($B$6/12)</f>
        <v>12274.9764</v>
      </c>
      <c r="C49" s="25">
        <v>0.01</v>
      </c>
      <c r="D49" s="98" t="s">
        <v>29</v>
      </c>
      <c r="E49" s="98"/>
      <c r="F49" s="9"/>
      <c r="G49" s="41"/>
    </row>
    <row r="50" spans="1:7" x14ac:dyDescent="0.25">
      <c r="A50" s="42" t="s">
        <v>43</v>
      </c>
      <c r="B50" s="26">
        <f>C50*( $B$6/12)</f>
        <v>0</v>
      </c>
      <c r="C50" s="23">
        <v>0</v>
      </c>
      <c r="D50" s="106" t="s">
        <v>28</v>
      </c>
      <c r="E50" s="106"/>
      <c r="F50" s="9"/>
      <c r="G50" s="41"/>
    </row>
    <row r="51" spans="1:7" x14ac:dyDescent="0.25">
      <c r="A51" s="91" t="s">
        <v>66</v>
      </c>
      <c r="B51" s="31"/>
      <c r="C51" s="10"/>
      <c r="D51" s="9"/>
      <c r="E51" s="9"/>
      <c r="F51" s="9"/>
      <c r="G51" s="41"/>
    </row>
    <row r="52" spans="1:7" x14ac:dyDescent="0.25">
      <c r="A52" s="42" t="s">
        <v>40</v>
      </c>
      <c r="B52" s="27">
        <f>B32</f>
        <v>15.600000000000001</v>
      </c>
      <c r="C52" s="107" t="s">
        <v>75</v>
      </c>
      <c r="D52" s="107"/>
      <c r="E52" s="9"/>
      <c r="F52" s="9"/>
      <c r="G52" s="41"/>
    </row>
    <row r="53" spans="1:7" x14ac:dyDescent="0.25">
      <c r="A53" s="42" t="s">
        <v>34</v>
      </c>
      <c r="B53" s="95">
        <f>B33/2</f>
        <v>5.7222222222222223</v>
      </c>
      <c r="C53" s="104" t="s">
        <v>41</v>
      </c>
      <c r="D53" s="104"/>
      <c r="E53" s="75" t="s">
        <v>74</v>
      </c>
      <c r="F53" s="9"/>
      <c r="G53" s="41"/>
    </row>
    <row r="54" spans="1:7" x14ac:dyDescent="0.25">
      <c r="A54" s="42" t="s">
        <v>33</v>
      </c>
      <c r="B54" s="20">
        <v>0</v>
      </c>
      <c r="C54" s="104" t="s">
        <v>41</v>
      </c>
      <c r="D54" s="104"/>
      <c r="E54" s="9"/>
      <c r="F54" s="9"/>
      <c r="G54" s="41"/>
    </row>
    <row r="55" spans="1:7" x14ac:dyDescent="0.25">
      <c r="A55" s="42" t="s">
        <v>45</v>
      </c>
      <c r="B55" s="20">
        <v>0</v>
      </c>
      <c r="C55" s="104" t="s">
        <v>41</v>
      </c>
      <c r="D55" s="104"/>
      <c r="E55" s="9"/>
      <c r="F55" s="9"/>
      <c r="G55" s="41"/>
    </row>
    <row r="56" spans="1:7" x14ac:dyDescent="0.25">
      <c r="A56" s="42" t="s">
        <v>35</v>
      </c>
      <c r="B56" s="95">
        <f>B36*(1-C43)</f>
        <v>9.9333333333333336</v>
      </c>
      <c r="C56" s="104" t="s">
        <v>41</v>
      </c>
      <c r="D56" s="104"/>
      <c r="E56" s="75" t="s">
        <v>73</v>
      </c>
      <c r="F56" s="9"/>
      <c r="G56" s="41"/>
    </row>
    <row r="57" spans="1:7" x14ac:dyDescent="0.25">
      <c r="A57" s="43" t="s">
        <v>27</v>
      </c>
      <c r="B57" s="28">
        <f>(B52*(SUM(B53:B56)/60)*(B44*B45)*(($B$6/12)*$B$46))</f>
        <v>656155.64444444433</v>
      </c>
      <c r="C57" s="105" t="s">
        <v>39</v>
      </c>
      <c r="D57" s="105"/>
      <c r="E57" s="75" t="str">
        <f>E37</f>
        <v>Note: Wage x Inv. Times x Locations x Visit per day x Contract Days</v>
      </c>
      <c r="F57" s="75"/>
      <c r="G57" s="76"/>
    </row>
    <row r="58" spans="1:7" x14ac:dyDescent="0.25">
      <c r="A58" s="44" t="s">
        <v>30</v>
      </c>
      <c r="B58" s="29">
        <f>((SUM(B53:B56)/60)*(B44*B45)*(($B$6/12)*$B$46))</f>
        <v>42061.259259259248</v>
      </c>
      <c r="C58" s="105" t="s">
        <v>38</v>
      </c>
      <c r="D58" s="105"/>
      <c r="E58" s="75" t="str">
        <f>E38</f>
        <v>Note:  Inv. Times x Locations x Visit per day x Contract Days</v>
      </c>
      <c r="F58" s="75"/>
      <c r="G58" s="76"/>
    </row>
    <row r="59" spans="1:7" x14ac:dyDescent="0.25">
      <c r="A59" s="42"/>
      <c r="B59" s="30">
        <f>B58/1800/($B$6/12)</f>
        <v>4.6734732510288053</v>
      </c>
      <c r="C59" s="97" t="s">
        <v>37</v>
      </c>
      <c r="D59" s="97"/>
      <c r="E59" s="101" t="str">
        <f>E39</f>
        <v>Note: 1,800 working hours a year</v>
      </c>
      <c r="F59" s="102"/>
      <c r="G59" s="103"/>
    </row>
    <row r="60" spans="1:7" ht="15.75" thickBot="1" x14ac:dyDescent="0.3">
      <c r="A60" s="35"/>
      <c r="B60" s="36"/>
      <c r="C60" s="48"/>
      <c r="D60" s="100" t="s">
        <v>47</v>
      </c>
      <c r="E60" s="100"/>
      <c r="F60" s="100"/>
      <c r="G60" s="92">
        <f>B48+B49+B50+B57</f>
        <v>668430.62084444438</v>
      </c>
    </row>
    <row r="61" spans="1:7" x14ac:dyDescent="0.25">
      <c r="A61" s="81" t="s">
        <v>58</v>
      </c>
      <c r="B61" s="72"/>
      <c r="C61" s="72"/>
      <c r="D61" s="72"/>
      <c r="E61" s="72"/>
      <c r="F61" s="72"/>
      <c r="G61" s="82"/>
    </row>
    <row r="62" spans="1:7" x14ac:dyDescent="0.25">
      <c r="A62" s="32"/>
      <c r="B62" s="9"/>
      <c r="C62" s="9"/>
      <c r="D62" s="9"/>
      <c r="E62" s="9"/>
      <c r="F62" s="33" t="s">
        <v>49</v>
      </c>
      <c r="G62" s="34">
        <f>G40-G60</f>
        <v>1031356.7636000003</v>
      </c>
    </row>
    <row r="63" spans="1:7" ht="15.75" customHeight="1" x14ac:dyDescent="0.25">
      <c r="A63" s="32"/>
      <c r="B63" s="9"/>
      <c r="C63" s="9"/>
      <c r="D63" s="9"/>
      <c r="E63" s="9"/>
      <c r="F63" s="33" t="s">
        <v>48</v>
      </c>
      <c r="G63" s="34">
        <f>($B$22-$B$43)*($B$6/12)</f>
        <v>818331.76</v>
      </c>
    </row>
    <row r="64" spans="1:7" ht="15.75" customHeight="1" x14ac:dyDescent="0.25">
      <c r="A64" s="32"/>
      <c r="B64" s="9"/>
      <c r="C64" s="9"/>
      <c r="D64" s="9"/>
      <c r="E64" s="9"/>
      <c r="F64" s="33" t="s">
        <v>72</v>
      </c>
      <c r="G64" s="96">
        <f>112000*4*5</f>
        <v>2240000</v>
      </c>
    </row>
    <row r="65" spans="1:7" x14ac:dyDescent="0.25">
      <c r="A65" s="85"/>
      <c r="B65" s="69"/>
      <c r="C65" s="69"/>
      <c r="D65" s="69"/>
      <c r="E65" s="69"/>
      <c r="F65" s="70" t="s">
        <v>61</v>
      </c>
      <c r="G65" s="71">
        <f>-G19</f>
        <v>-2978248</v>
      </c>
    </row>
    <row r="66" spans="1:7" ht="18.75" x14ac:dyDescent="0.3">
      <c r="A66" s="67"/>
      <c r="B66" s="64"/>
      <c r="C66" s="64"/>
      <c r="D66" s="64"/>
      <c r="E66" s="64"/>
      <c r="F66" s="73" t="s">
        <v>57</v>
      </c>
      <c r="G66" s="79">
        <f>SUM(G62:G65)</f>
        <v>1111440.5236000004</v>
      </c>
    </row>
    <row r="67" spans="1:7" ht="19.5" thickBot="1" x14ac:dyDescent="0.35">
      <c r="A67" s="68"/>
      <c r="B67" s="66"/>
      <c r="C67" s="66"/>
      <c r="D67" s="65"/>
      <c r="E67" s="65"/>
      <c r="F67" s="74" t="s">
        <v>54</v>
      </c>
      <c r="G67" s="80">
        <f>B39-B59</f>
        <v>5.9405185185185223</v>
      </c>
    </row>
  </sheetData>
  <mergeCells count="29">
    <mergeCell ref="D29:E29"/>
    <mergeCell ref="D30:E30"/>
    <mergeCell ref="C37:D37"/>
    <mergeCell ref="E19:F19"/>
    <mergeCell ref="B4:G4"/>
    <mergeCell ref="B5:G5"/>
    <mergeCell ref="B6:G6"/>
    <mergeCell ref="C38:D38"/>
    <mergeCell ref="C32:D32"/>
    <mergeCell ref="C33:D33"/>
    <mergeCell ref="C34:D34"/>
    <mergeCell ref="C35:D35"/>
    <mergeCell ref="C36:D36"/>
    <mergeCell ref="C39:D39"/>
    <mergeCell ref="D49:E49"/>
    <mergeCell ref="D50:E50"/>
    <mergeCell ref="C52:D52"/>
    <mergeCell ref="C53:D53"/>
    <mergeCell ref="E39:G39"/>
    <mergeCell ref="C59:D59"/>
    <mergeCell ref="D43:E43"/>
    <mergeCell ref="D40:F40"/>
    <mergeCell ref="D60:F60"/>
    <mergeCell ref="E59:G59"/>
    <mergeCell ref="C54:D54"/>
    <mergeCell ref="C55:D55"/>
    <mergeCell ref="C56:D56"/>
    <mergeCell ref="C57:D57"/>
    <mergeCell ref="C58:D58"/>
  </mergeCells>
  <pageMargins left="0.7" right="0.7" top="0.75" bottom="0.75" header="0.3" footer="0.3"/>
  <pageSetup scale="61"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Mitchell</dc:creator>
  <cp:lastModifiedBy>Isaac Mitchell</cp:lastModifiedBy>
  <cp:lastPrinted>2021-03-18T17:19:56Z</cp:lastPrinted>
  <dcterms:created xsi:type="dcterms:W3CDTF">2020-10-15T16:53:36Z</dcterms:created>
  <dcterms:modified xsi:type="dcterms:W3CDTF">2021-03-22T15:21:35Z</dcterms:modified>
</cp:coreProperties>
</file>