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eva\Desktop\WSM\White Sheep Consulting\Resources\Accounting\"/>
    </mc:Choice>
  </mc:AlternateContent>
  <xr:revisionPtr revIDLastSave="0" documentId="13_ncr:1_{A716D235-00A4-4394-B8EF-BF5DA06E8071}" xr6:coauthVersionLast="47" xr6:coauthVersionMax="47" xr10:uidLastSave="{00000000-0000-0000-0000-000000000000}"/>
  <bookViews>
    <workbookView xWindow="-120" yWindow="-120" windowWidth="29040" windowHeight="15720" activeTab="1" xr2:uid="{BF3D2BD5-3565-4B0B-8265-0C0C1F0B094C}"/>
  </bookViews>
  <sheets>
    <sheet name="4 Year IS Model" sheetId="3" r:id="rId1"/>
    <sheet name="Completed 4 Year IS Model" sheetId="4" r:id="rId2"/>
  </sheets>
  <definedNames>
    <definedName name="CIQWBGuid" hidden="1">"2cd8126d-26c3-430c-b7fa-a069e3a1fc62"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43412.7003240741</definedName>
    <definedName name="IQ_QTD" hidden="1">750000</definedName>
    <definedName name="IQ_TODAY" hidden="1">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3" l="1"/>
  <c r="E19" i="3"/>
  <c r="D19" i="3"/>
  <c r="C19" i="3"/>
  <c r="C14" i="3"/>
  <c r="G54" i="4"/>
  <c r="H54" i="4"/>
  <c r="G53" i="4"/>
  <c r="H53" i="4"/>
  <c r="D51" i="4"/>
  <c r="E51" i="4"/>
  <c r="F51" i="4"/>
  <c r="G51" i="4"/>
  <c r="H51" i="4"/>
  <c r="I51" i="4"/>
  <c r="I53" i="4" s="1"/>
  <c r="I54" i="4" s="1"/>
  <c r="C51" i="4"/>
  <c r="H50" i="4"/>
  <c r="I50" i="4"/>
  <c r="J50" i="4"/>
  <c r="G50" i="4"/>
  <c r="G48" i="4"/>
  <c r="H48" i="4"/>
  <c r="I48" i="4"/>
  <c r="H46" i="4"/>
  <c r="I46" i="4"/>
  <c r="J46" i="4"/>
  <c r="G46" i="4"/>
  <c r="H45" i="4"/>
  <c r="I45" i="4"/>
  <c r="J45" i="4"/>
  <c r="G45" i="4"/>
  <c r="D15" i="4"/>
  <c r="E15" i="4"/>
  <c r="F15" i="4"/>
  <c r="H40" i="4"/>
  <c r="I40" i="4"/>
  <c r="J40" i="4"/>
  <c r="G40" i="4"/>
  <c r="H39" i="4"/>
  <c r="I39" i="4"/>
  <c r="G39" i="4"/>
  <c r="H38" i="4"/>
  <c r="I38" i="4"/>
  <c r="J38" i="4" s="1"/>
  <c r="G38" i="4"/>
  <c r="H37" i="4"/>
  <c r="I37" i="4"/>
  <c r="J37" i="4"/>
  <c r="G37" i="4"/>
  <c r="H36" i="4"/>
  <c r="I36" i="4"/>
  <c r="J36" i="4"/>
  <c r="G36" i="4"/>
  <c r="G28" i="4"/>
  <c r="G27" i="4"/>
  <c r="H22" i="4"/>
  <c r="H28" i="4" s="1"/>
  <c r="I22" i="4"/>
  <c r="I28" i="4" s="1"/>
  <c r="G22" i="4"/>
  <c r="G23" i="4" s="1"/>
  <c r="G24" i="4" s="1"/>
  <c r="F50" i="4"/>
  <c r="E50" i="4"/>
  <c r="D50" i="4"/>
  <c r="C50" i="4"/>
  <c r="F35" i="4"/>
  <c r="F41" i="4" s="1"/>
  <c r="E35" i="4"/>
  <c r="D35" i="4"/>
  <c r="C35" i="4"/>
  <c r="C41" i="4" s="1"/>
  <c r="F30" i="4"/>
  <c r="E30" i="4"/>
  <c r="D30" i="4"/>
  <c r="C30" i="4"/>
  <c r="F23" i="4"/>
  <c r="F24" i="4" s="1"/>
  <c r="E23" i="4"/>
  <c r="E4" i="4" s="1"/>
  <c r="D23" i="4"/>
  <c r="D4" i="4" s="1"/>
  <c r="C23" i="4"/>
  <c r="C24" i="4" s="1"/>
  <c r="F17" i="4"/>
  <c r="F18" i="4" s="1"/>
  <c r="E17" i="4"/>
  <c r="E18" i="4" s="1"/>
  <c r="D17" i="4"/>
  <c r="D18" i="4" s="1"/>
  <c r="C17" i="4"/>
  <c r="C18" i="4" s="1"/>
  <c r="F16" i="4"/>
  <c r="E16" i="4"/>
  <c r="D16" i="4"/>
  <c r="C16" i="4"/>
  <c r="C15" i="4"/>
  <c r="F13" i="4"/>
  <c r="E13" i="4"/>
  <c r="D13" i="4"/>
  <c r="C13" i="4"/>
  <c r="F12" i="4"/>
  <c r="E12" i="4"/>
  <c r="D12" i="4"/>
  <c r="F11" i="4"/>
  <c r="E11" i="4"/>
  <c r="D11" i="4"/>
  <c r="F10" i="4"/>
  <c r="E10" i="4"/>
  <c r="D10" i="4"/>
  <c r="F9" i="4"/>
  <c r="E9" i="4"/>
  <c r="C8" i="4"/>
  <c r="F7" i="4"/>
  <c r="E7" i="4"/>
  <c r="D7" i="4"/>
  <c r="C7" i="4"/>
  <c r="F6" i="4"/>
  <c r="E6" i="4"/>
  <c r="D6" i="4"/>
  <c r="C6" i="4"/>
  <c r="F5" i="4"/>
  <c r="E5" i="4"/>
  <c r="D5" i="4"/>
  <c r="C5" i="4"/>
  <c r="F4" i="4"/>
  <c r="C4" i="4"/>
  <c r="F3" i="4"/>
  <c r="E3" i="4"/>
  <c r="D3" i="4"/>
  <c r="D17" i="3"/>
  <c r="D18" i="3" s="1"/>
  <c r="E17" i="3"/>
  <c r="F17" i="3"/>
  <c r="C17" i="3"/>
  <c r="D16" i="3"/>
  <c r="E16" i="3"/>
  <c r="F16" i="3"/>
  <c r="C16" i="3"/>
  <c r="F9" i="3"/>
  <c r="E9" i="3"/>
  <c r="D7" i="3"/>
  <c r="E7" i="3"/>
  <c r="F7" i="3"/>
  <c r="C7" i="3"/>
  <c r="D5" i="3"/>
  <c r="E5" i="3"/>
  <c r="F5" i="3"/>
  <c r="C5" i="3"/>
  <c r="D6" i="3"/>
  <c r="E6" i="3"/>
  <c r="F6" i="3"/>
  <c r="C6" i="3"/>
  <c r="D8" i="3"/>
  <c r="E8" i="3"/>
  <c r="F8" i="3"/>
  <c r="C8" i="3"/>
  <c r="E10" i="3"/>
  <c r="F10" i="3"/>
  <c r="D10" i="3"/>
  <c r="D13" i="3"/>
  <c r="E13" i="3"/>
  <c r="F13" i="3"/>
  <c r="C13" i="3"/>
  <c r="E12" i="3"/>
  <c r="F12" i="3"/>
  <c r="D12" i="3"/>
  <c r="C51" i="3"/>
  <c r="E18" i="3"/>
  <c r="F18" i="3"/>
  <c r="C18" i="3"/>
  <c r="E11" i="3"/>
  <c r="F11" i="3"/>
  <c r="D11" i="3"/>
  <c r="E3" i="3"/>
  <c r="F3" i="3"/>
  <c r="D3" i="3"/>
  <c r="F50" i="3"/>
  <c r="E50" i="3"/>
  <c r="D50" i="3"/>
  <c r="C50" i="3"/>
  <c r="D35" i="3"/>
  <c r="D41" i="3" s="1"/>
  <c r="E35" i="3"/>
  <c r="E41" i="3" s="1"/>
  <c r="F35" i="3"/>
  <c r="F41" i="3" s="1"/>
  <c r="C35" i="3"/>
  <c r="C41" i="3" s="1"/>
  <c r="D30" i="3"/>
  <c r="E30" i="3"/>
  <c r="F30" i="3"/>
  <c r="C30" i="3"/>
  <c r="D24" i="3"/>
  <c r="D32" i="3" s="1"/>
  <c r="F23" i="3"/>
  <c r="F24" i="3" s="1"/>
  <c r="E23" i="3"/>
  <c r="E4" i="3" s="1"/>
  <c r="D23" i="3"/>
  <c r="D4" i="3" s="1"/>
  <c r="C23" i="3"/>
  <c r="C24" i="3" s="1"/>
  <c r="E8" i="4" l="1"/>
  <c r="F8" i="4"/>
  <c r="G29" i="4"/>
  <c r="G30" i="4" s="1"/>
  <c r="D8" i="4"/>
  <c r="J22" i="4"/>
  <c r="J28" i="4" s="1"/>
  <c r="J39" i="4"/>
  <c r="I23" i="4"/>
  <c r="I24" i="4" s="1"/>
  <c r="J27" i="4"/>
  <c r="I27" i="4"/>
  <c r="H23" i="4"/>
  <c r="H24" i="4" s="1"/>
  <c r="H27" i="4"/>
  <c r="C43" i="4"/>
  <c r="C48" i="4" s="1"/>
  <c r="C32" i="4"/>
  <c r="F43" i="4"/>
  <c r="F48" i="4" s="1"/>
  <c r="F32" i="4"/>
  <c r="D24" i="4"/>
  <c r="D41" i="4"/>
  <c r="E24" i="4"/>
  <c r="E41" i="4"/>
  <c r="F43" i="3"/>
  <c r="F48" i="3" s="1"/>
  <c r="F32" i="3"/>
  <c r="C43" i="3"/>
  <c r="C48" i="3" s="1"/>
  <c r="C32" i="3"/>
  <c r="D43" i="3"/>
  <c r="D48" i="3" s="1"/>
  <c r="C4" i="3"/>
  <c r="F4" i="3"/>
  <c r="E24" i="3"/>
  <c r="G35" i="4" l="1"/>
  <c r="G41" i="4" s="1"/>
  <c r="G43" i="4"/>
  <c r="G32" i="4"/>
  <c r="J23" i="4"/>
  <c r="J24" i="4" s="1"/>
  <c r="J32" i="4" s="1"/>
  <c r="I29" i="4"/>
  <c r="I30" i="4"/>
  <c r="I35" i="4" s="1"/>
  <c r="I41" i="4" s="1"/>
  <c r="J29" i="4"/>
  <c r="J30" i="4"/>
  <c r="J35" i="4" s="1"/>
  <c r="J41" i="4" s="1"/>
  <c r="H29" i="4"/>
  <c r="H30" i="4"/>
  <c r="H35" i="4" s="1"/>
  <c r="H41" i="4" s="1"/>
  <c r="H43" i="4"/>
  <c r="I32" i="4"/>
  <c r="D43" i="4"/>
  <c r="D48" i="4" s="1"/>
  <c r="D32" i="4"/>
  <c r="C53" i="4"/>
  <c r="C54" i="4" s="1"/>
  <c r="E43" i="4"/>
  <c r="E48" i="4" s="1"/>
  <c r="E32" i="4"/>
  <c r="F53" i="4"/>
  <c r="F54" i="4" s="1"/>
  <c r="E43" i="3"/>
  <c r="E48" i="3" s="1"/>
  <c r="E32" i="3"/>
  <c r="C53" i="3"/>
  <c r="C54" i="3" s="1"/>
  <c r="D51" i="3"/>
  <c r="D53" i="3" s="1"/>
  <c r="D54" i="3" s="1"/>
  <c r="F51" i="3"/>
  <c r="F53" i="3" s="1"/>
  <c r="F54" i="3" s="1"/>
  <c r="I43" i="4" l="1"/>
  <c r="J43" i="4"/>
  <c r="J48" i="4" s="1"/>
  <c r="H32" i="4"/>
  <c r="E53" i="4"/>
  <c r="E54" i="4" s="1"/>
  <c r="D53" i="4"/>
  <c r="D54" i="4" s="1"/>
  <c r="E51" i="3"/>
  <c r="E53" i="3" s="1"/>
  <c r="E54" i="3" s="1"/>
  <c r="J51" i="4" l="1"/>
  <c r="J53" i="4" s="1"/>
  <c r="J54" i="4" s="1"/>
  <c r="K54" i="4" s="1"/>
</calcChain>
</file>

<file path=xl/sharedStrings.xml><?xml version="1.0" encoding="utf-8"?>
<sst xmlns="http://schemas.openxmlformats.org/spreadsheetml/2006/main" count="92" uniqueCount="47">
  <si>
    <t>Income Statement</t>
  </si>
  <si>
    <t>Gross Margin</t>
  </si>
  <si>
    <t>Long Term Debt</t>
  </si>
  <si>
    <t>Depreciation</t>
  </si>
  <si>
    <t>Interest</t>
  </si>
  <si>
    <t>Taxes</t>
  </si>
  <si>
    <t>EBITDA</t>
  </si>
  <si>
    <t>Sales</t>
  </si>
  <si>
    <t>Discounts</t>
  </si>
  <si>
    <t>Gross Sales</t>
  </si>
  <si>
    <t>Net Sales</t>
  </si>
  <si>
    <t>COGS</t>
  </si>
  <si>
    <t>Material</t>
  </si>
  <si>
    <t>Total COGS</t>
  </si>
  <si>
    <t>Wages &amp; Salaries</t>
  </si>
  <si>
    <t>Insurance</t>
  </si>
  <si>
    <t>Rent</t>
  </si>
  <si>
    <t>Utilities</t>
  </si>
  <si>
    <t>Other</t>
  </si>
  <si>
    <t>Waste</t>
  </si>
  <si>
    <t>Sub-Contractors</t>
  </si>
  <si>
    <t>SGA</t>
  </si>
  <si>
    <t>Total SGA</t>
  </si>
  <si>
    <t>Marketing</t>
  </si>
  <si>
    <t>Amortization</t>
  </si>
  <si>
    <t>EBIT</t>
  </si>
  <si>
    <t>Net Income (Loss)</t>
  </si>
  <si>
    <t>Sales Growth Rate</t>
  </si>
  <si>
    <t>Discount Rate</t>
  </si>
  <si>
    <t>Return On Sales</t>
  </si>
  <si>
    <t>Material Rate (% of Sales)</t>
  </si>
  <si>
    <t>Sub-Contractor Rate (% of Sales)</t>
  </si>
  <si>
    <t>Wages &amp; Salaries Rate (% of COGS)</t>
  </si>
  <si>
    <t>Utilities (@ 50% of 2016 by 2023)</t>
  </si>
  <si>
    <t>Marketing (Not to Exceed 3% of Sales)</t>
  </si>
  <si>
    <t>Other (% of Sales)</t>
  </si>
  <si>
    <t>Depreciation Rate (% of Fixed Assets)</t>
  </si>
  <si>
    <t>Amortization (Fixed)</t>
  </si>
  <si>
    <t>Percent of Average Debt</t>
  </si>
  <si>
    <t>Corporate Tax Rate</t>
  </si>
  <si>
    <t>Assumptions</t>
  </si>
  <si>
    <t>Fiscal Year -&gt;</t>
  </si>
  <si>
    <t>Waste Rate (% of Material)</t>
  </si>
  <si>
    <t>Total</t>
  </si>
  <si>
    <t>Insurance Rate (Fixed for 6 Years after 2023)</t>
  </si>
  <si>
    <t>Rent (Fixed After 2022)</t>
  </si>
  <si>
    <t>Fixed Assets (No CAPEX until 2028)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</si>
</sst>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</numFmts>
  <fonts count="16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ookman"/>
      <family val="1"/>
    </font>
    <font>
      <sz val="10"/>
      <name val="Bookman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sz val="10"/>
      <color theme="0"/>
      <name val="Arial"/>
      <family val="2"/>
    </font>
    <font>
      <sz val="10"/>
      <color rgb="FF0000FF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left" indent="4"/>
    </xf>
    <xf numFmtId="0" fontId="8" fillId="0" borderId="0" xfId="0" applyFont="1"/>
    <xf numFmtId="0" fontId="7" fillId="0" borderId="0" xfId="0" applyFont="1" applyAlignment="1">
      <alignment horizontal="left" indent="2"/>
    </xf>
    <xf numFmtId="0" fontId="9" fillId="0" borderId="0" xfId="0" applyFont="1"/>
    <xf numFmtId="166" fontId="0" fillId="0" borderId="0" xfId="1" applyNumberFormat="1" applyFont="1"/>
    <xf numFmtId="166" fontId="0" fillId="0" borderId="0" xfId="0" applyNumberFormat="1"/>
    <xf numFmtId="166" fontId="7" fillId="0" borderId="0" xfId="0" applyNumberFormat="1" applyFont="1"/>
    <xf numFmtId="0" fontId="10" fillId="4" borderId="0" xfId="0" applyFont="1" applyFill="1"/>
    <xf numFmtId="0" fontId="12" fillId="4" borderId="0" xfId="0" applyFont="1" applyFill="1"/>
    <xf numFmtId="0" fontId="13" fillId="3" borderId="0" xfId="0" applyFont="1" applyFill="1"/>
    <xf numFmtId="0" fontId="14" fillId="3" borderId="0" xfId="0" applyFont="1" applyFill="1" applyAlignment="1">
      <alignment horizontal="right"/>
    </xf>
    <xf numFmtId="0" fontId="6" fillId="0" borderId="0" xfId="0" applyFont="1"/>
    <xf numFmtId="165" fontId="6" fillId="0" borderId="0" xfId="2" applyNumberFormat="1" applyFont="1" applyFill="1"/>
    <xf numFmtId="0" fontId="10" fillId="0" borderId="0" xfId="0" applyFont="1"/>
    <xf numFmtId="9" fontId="6" fillId="0" borderId="0" xfId="2" applyFont="1" applyFill="1"/>
    <xf numFmtId="166" fontId="6" fillId="0" borderId="0" xfId="1" applyNumberFormat="1" applyFont="1" applyFill="1"/>
    <xf numFmtId="166" fontId="6" fillId="0" borderId="0" xfId="0" applyNumberFormat="1" applyFont="1"/>
    <xf numFmtId="10" fontId="6" fillId="0" borderId="0" xfId="2" applyNumberFormat="1" applyFont="1" applyFill="1"/>
    <xf numFmtId="9" fontId="11" fillId="0" borderId="0" xfId="2" applyFont="1" applyFill="1"/>
    <xf numFmtId="0" fontId="15" fillId="2" borderId="0" xfId="0" applyFont="1" applyFill="1"/>
    <xf numFmtId="0" fontId="0" fillId="5" borderId="0" xfId="0" applyFill="1"/>
    <xf numFmtId="165" fontId="11" fillId="0" borderId="0" xfId="0" applyNumberFormat="1" applyFont="1"/>
    <xf numFmtId="166" fontId="11" fillId="0" borderId="0" xfId="1" applyNumberFormat="1" applyFont="1" applyFill="1"/>
    <xf numFmtId="166" fontId="7" fillId="0" borderId="0" xfId="1" applyNumberFormat="1" applyFont="1"/>
    <xf numFmtId="166" fontId="9" fillId="0" borderId="1" xfId="0" applyNumberFormat="1" applyFont="1" applyBorder="1"/>
    <xf numFmtId="166" fontId="0" fillId="0" borderId="1" xfId="0" applyNumberFormat="1" applyBorder="1"/>
    <xf numFmtId="166" fontId="0" fillId="0" borderId="1" xfId="1" applyNumberFormat="1" applyFont="1" applyBorder="1"/>
    <xf numFmtId="0" fontId="0" fillId="0" borderId="1" xfId="0" applyBorder="1"/>
    <xf numFmtId="166" fontId="0" fillId="0" borderId="2" xfId="0" applyNumberFormat="1" applyBorder="1"/>
    <xf numFmtId="0" fontId="0" fillId="0" borderId="2" xfId="0" applyBorder="1"/>
    <xf numFmtId="0" fontId="13" fillId="3" borderId="3" xfId="0" applyFont="1" applyFill="1" applyBorder="1"/>
    <xf numFmtId="0" fontId="10" fillId="4" borderId="3" xfId="0" applyFont="1" applyFill="1" applyBorder="1"/>
    <xf numFmtId="165" fontId="11" fillId="0" borderId="3" xfId="0" applyNumberFormat="1" applyFont="1" applyBorder="1"/>
    <xf numFmtId="166" fontId="11" fillId="0" borderId="3" xfId="1" applyNumberFormat="1" applyFont="1" applyFill="1" applyBorder="1"/>
    <xf numFmtId="9" fontId="11" fillId="0" borderId="3" xfId="2" applyFont="1" applyFill="1" applyBorder="1"/>
    <xf numFmtId="0" fontId="0" fillId="0" borderId="3" xfId="0" applyBorder="1"/>
    <xf numFmtId="166" fontId="0" fillId="0" borderId="3" xfId="1" applyNumberFormat="1" applyFont="1" applyBorder="1"/>
    <xf numFmtId="166" fontId="7" fillId="0" borderId="3" xfId="1" applyNumberFormat="1" applyFont="1" applyBorder="1"/>
    <xf numFmtId="166" fontId="0" fillId="0" borderId="3" xfId="0" applyNumberFormat="1" applyBorder="1"/>
    <xf numFmtId="166" fontId="7" fillId="0" borderId="3" xfId="0" applyNumberFormat="1" applyFont="1" applyBorder="1"/>
    <xf numFmtId="166" fontId="9" fillId="0" borderId="4" xfId="0" applyNumberFormat="1" applyFont="1" applyBorder="1"/>
    <xf numFmtId="166" fontId="0" fillId="0" borderId="4" xfId="0" applyNumberFormat="1" applyBorder="1"/>
    <xf numFmtId="166" fontId="0" fillId="0" borderId="4" xfId="1" applyNumberFormat="1" applyFont="1" applyBorder="1"/>
    <xf numFmtId="166" fontId="0" fillId="0" borderId="5" xfId="0" applyNumberFormat="1" applyBorder="1"/>
    <xf numFmtId="0" fontId="10" fillId="0" borderId="3" xfId="0" applyFont="1" applyBorder="1"/>
    <xf numFmtId="0" fontId="0" fillId="0" borderId="4" xfId="0" applyBorder="1"/>
    <xf numFmtId="0" fontId="0" fillId="0" borderId="5" xfId="0" applyBorder="1"/>
    <xf numFmtId="165" fontId="7" fillId="5" borderId="0" xfId="2" applyNumberFormat="1" applyFont="1" applyFill="1"/>
    <xf numFmtId="0" fontId="7" fillId="5" borderId="3" xfId="0" applyFont="1" applyFill="1" applyBorder="1"/>
    <xf numFmtId="0" fontId="7" fillId="5" borderId="0" xfId="0" applyFont="1" applyFill="1"/>
    <xf numFmtId="165" fontId="7" fillId="5" borderId="3" xfId="2" applyNumberFormat="1" applyFont="1" applyFill="1" applyBorder="1"/>
    <xf numFmtId="0" fontId="6" fillId="6" borderId="0" xfId="0" applyFont="1" applyFill="1"/>
    <xf numFmtId="165" fontId="6" fillId="6" borderId="0" xfId="2" applyNumberFormat="1" applyFont="1" applyFill="1"/>
    <xf numFmtId="9" fontId="6" fillId="6" borderId="0" xfId="2" applyFont="1" applyFill="1"/>
    <xf numFmtId="10" fontId="6" fillId="6" borderId="0" xfId="2" applyNumberFormat="1" applyFont="1" applyFill="1"/>
    <xf numFmtId="166" fontId="6" fillId="6" borderId="0" xfId="1" applyNumberFormat="1" applyFont="1" applyFill="1"/>
    <xf numFmtId="165" fontId="7" fillId="5" borderId="0" xfId="2" applyNumberFormat="1" applyFont="1" applyFill="1" applyBorder="1"/>
  </cellXfs>
  <cellStyles count="6">
    <cellStyle name="Comma" xfId="1" builtinId="3"/>
    <cellStyle name="Comma 2" xfId="3" xr:uid="{7B55658A-63F6-4A23-9179-88B5E6431BBC}"/>
    <cellStyle name="Hyperlink 2 2" xfId="5" xr:uid="{C47D507C-18CD-474D-ACA9-329B8E602D73}"/>
    <cellStyle name="Normal" xfId="0" builtinId="0"/>
    <cellStyle name="Normal 2 2" xfId="4" xr:uid="{F2F78BBF-65EF-46DA-BA07-F729A84321DF}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FD9BD-D797-4C4A-9507-6E73D3DC9DD0}">
  <dimension ref="B1:J54"/>
  <sheetViews>
    <sheetView showGridLines="0" zoomScale="85" zoomScaleNormal="85" workbookViewId="0">
      <selection activeCell="B3" sqref="B3:B19"/>
    </sheetView>
  </sheetViews>
  <sheetFormatPr defaultRowHeight="12.75"/>
  <cols>
    <col min="2" max="2" width="39" bestFit="1" customWidth="1"/>
    <col min="3" max="3" width="13.7109375" bestFit="1" customWidth="1"/>
    <col min="4" max="4" width="18.85546875" bestFit="1" customWidth="1"/>
    <col min="5" max="5" width="11.85546875" bestFit="1" customWidth="1"/>
    <col min="6" max="6" width="13" bestFit="1" customWidth="1"/>
    <col min="7" max="10" width="11.28515625" bestFit="1" customWidth="1"/>
  </cols>
  <sheetData>
    <row r="1" spans="2:10" ht="15.75">
      <c r="B1" s="11" t="s">
        <v>41</v>
      </c>
      <c r="C1" s="20">
        <v>2021</v>
      </c>
      <c r="D1" s="20">
        <v>2022</v>
      </c>
      <c r="E1" s="20">
        <v>2023</v>
      </c>
      <c r="F1" s="20">
        <v>2024</v>
      </c>
      <c r="G1" s="31">
        <v>2025</v>
      </c>
      <c r="H1" s="10">
        <v>2026</v>
      </c>
      <c r="I1" s="10">
        <v>2027</v>
      </c>
      <c r="J1" s="10">
        <v>2028</v>
      </c>
    </row>
    <row r="2" spans="2:10" ht="23.25">
      <c r="B2" s="9" t="s">
        <v>40</v>
      </c>
      <c r="C2" s="8"/>
      <c r="D2" s="8"/>
      <c r="E2" s="8"/>
      <c r="F2" s="8"/>
      <c r="G2" s="32"/>
      <c r="H2" s="8"/>
      <c r="I2" s="8"/>
      <c r="J2" s="8"/>
    </row>
    <row r="3" spans="2:10">
      <c r="B3" t="s">
        <v>27</v>
      </c>
      <c r="C3" s="52"/>
      <c r="D3" s="53">
        <f>D22/C22-1</f>
        <v>1.9269776876267741E-2</v>
      </c>
      <c r="E3" s="53">
        <f>E22/D22-1</f>
        <v>-1.3930348258706426E-2</v>
      </c>
      <c r="F3" s="53">
        <f>F22/E22-1</f>
        <v>6.8617558022199709E-2</v>
      </c>
      <c r="G3" s="45"/>
      <c r="H3" s="14"/>
      <c r="I3" s="14"/>
      <c r="J3" s="14"/>
    </row>
    <row r="4" spans="2:10">
      <c r="B4" t="s">
        <v>28</v>
      </c>
      <c r="C4" s="53">
        <f>-C23/C22</f>
        <v>0.05</v>
      </c>
      <c r="D4" s="53">
        <f t="shared" ref="D4:F4" si="0">-D23/D22</f>
        <v>4.5499999999999999E-2</v>
      </c>
      <c r="E4" s="53">
        <f t="shared" si="0"/>
        <v>6.5000000000000002E-2</v>
      </c>
      <c r="F4" s="53">
        <f t="shared" si="0"/>
        <v>0.05</v>
      </c>
      <c r="G4" s="45"/>
      <c r="H4" s="14"/>
      <c r="I4" s="14"/>
      <c r="J4" s="14"/>
    </row>
    <row r="5" spans="2:10">
      <c r="B5" t="s">
        <v>30</v>
      </c>
      <c r="C5" s="54">
        <f>C27/C22</f>
        <v>0.27</v>
      </c>
      <c r="D5" s="54">
        <f t="shared" ref="D5:F5" si="1">D27/D22</f>
        <v>0.31</v>
      </c>
      <c r="E5" s="54">
        <f t="shared" si="1"/>
        <v>0.32</v>
      </c>
      <c r="F5" s="54">
        <f t="shared" si="1"/>
        <v>0.28000000000000003</v>
      </c>
      <c r="G5" s="45"/>
      <c r="H5" s="14"/>
      <c r="I5" s="14"/>
      <c r="J5" s="14"/>
    </row>
    <row r="6" spans="2:10">
      <c r="B6" t="s">
        <v>31</v>
      </c>
      <c r="C6" s="54">
        <f>C28/C22</f>
        <v>0.16</v>
      </c>
      <c r="D6" s="54">
        <f t="shared" ref="D6:F6" si="2">D28/D22</f>
        <v>0.14000000000000001</v>
      </c>
      <c r="E6" s="54">
        <f t="shared" si="2"/>
        <v>0.15</v>
      </c>
      <c r="F6" s="54">
        <f t="shared" si="2"/>
        <v>0.19</v>
      </c>
      <c r="G6" s="45"/>
      <c r="H6" s="14"/>
      <c r="I6" s="14"/>
      <c r="J6" s="14"/>
    </row>
    <row r="7" spans="2:10">
      <c r="B7" t="s">
        <v>42</v>
      </c>
      <c r="C7" s="53">
        <f>C29/C27</f>
        <v>7.407407407407407E-2</v>
      </c>
      <c r="D7" s="53">
        <f t="shared" ref="D7:F7" si="3">D29/D27</f>
        <v>4.8387096774193547E-2</v>
      </c>
      <c r="E7" s="53">
        <f t="shared" si="3"/>
        <v>7.8125E-2</v>
      </c>
      <c r="F7" s="53">
        <f t="shared" si="3"/>
        <v>7.1428571428571425E-2</v>
      </c>
      <c r="G7" s="45"/>
      <c r="H7" s="14"/>
      <c r="I7" s="14"/>
      <c r="J7" s="14"/>
    </row>
    <row r="8" spans="2:10">
      <c r="B8" t="s">
        <v>32</v>
      </c>
      <c r="C8" s="54">
        <f>C35/C30</f>
        <v>0.46666666666666667</v>
      </c>
      <c r="D8" s="54">
        <f t="shared" ref="D8:F8" si="4">D35/D30</f>
        <v>0.45161290322580644</v>
      </c>
      <c r="E8" s="54">
        <f t="shared" si="4"/>
        <v>0.42424242424242425</v>
      </c>
      <c r="F8" s="54">
        <f t="shared" si="4"/>
        <v>0.42857142857142855</v>
      </c>
      <c r="G8" s="45"/>
      <c r="H8" s="14"/>
      <c r="I8" s="14"/>
      <c r="J8" s="14"/>
    </row>
    <row r="9" spans="2:10">
      <c r="B9" t="s">
        <v>44</v>
      </c>
      <c r="C9" s="12"/>
      <c r="D9" s="12"/>
      <c r="E9" s="16">
        <f>E36</f>
        <v>58000</v>
      </c>
      <c r="F9" s="16">
        <f>F36</f>
        <v>58000</v>
      </c>
      <c r="G9" s="45"/>
      <c r="H9" s="14"/>
      <c r="I9" s="14"/>
      <c r="J9" s="14"/>
    </row>
    <row r="10" spans="2:10">
      <c r="B10" t="s">
        <v>45</v>
      </c>
      <c r="C10" s="12"/>
      <c r="D10" s="17">
        <f>D37</f>
        <v>22000</v>
      </c>
      <c r="E10" s="17">
        <f t="shared" ref="E10:F10" si="5">E37</f>
        <v>22000</v>
      </c>
      <c r="F10" s="17">
        <f t="shared" si="5"/>
        <v>22000</v>
      </c>
      <c r="G10" s="45"/>
      <c r="H10" s="14"/>
      <c r="I10" s="14"/>
      <c r="J10" s="14"/>
    </row>
    <row r="11" spans="2:10">
      <c r="B11" t="s">
        <v>33</v>
      </c>
      <c r="C11" s="52"/>
      <c r="D11" s="54">
        <f>D38/C38-1</f>
        <v>-0.13548387096774195</v>
      </c>
      <c r="E11" s="54">
        <f t="shared" ref="E11:F11" si="6">E38/D38-1</f>
        <v>1.4925373134328401E-2</v>
      </c>
      <c r="F11" s="54">
        <f t="shared" si="6"/>
        <v>-0.19117647058823528</v>
      </c>
      <c r="G11" s="45"/>
      <c r="H11" s="14"/>
      <c r="I11" s="14"/>
      <c r="J11" s="14"/>
    </row>
    <row r="12" spans="2:10">
      <c r="B12" t="s">
        <v>34</v>
      </c>
      <c r="C12" s="52"/>
      <c r="D12" s="53">
        <f>D39/C22</f>
        <v>2.9411764705882353E-2</v>
      </c>
      <c r="E12" s="53">
        <f t="shared" ref="E12:F12" si="7">E39/D22</f>
        <v>1.5920398009950248E-2</v>
      </c>
      <c r="F12" s="53">
        <f t="shared" si="7"/>
        <v>2.5227043390514632E-2</v>
      </c>
      <c r="G12" s="45"/>
      <c r="H12" s="14"/>
      <c r="I12" s="14"/>
      <c r="J12" s="14"/>
    </row>
    <row r="13" spans="2:10">
      <c r="B13" t="s">
        <v>35</v>
      </c>
      <c r="C13" s="55">
        <f>C40/C22</f>
        <v>5.0709939148073022E-3</v>
      </c>
      <c r="D13" s="55">
        <f t="shared" ref="D13:F13" si="8">D40/D22</f>
        <v>3.9800995024875619E-3</v>
      </c>
      <c r="E13" s="55">
        <f t="shared" si="8"/>
        <v>4.0363269424823411E-3</v>
      </c>
      <c r="F13" s="55">
        <f t="shared" si="8"/>
        <v>7.5542965061378663E-3</v>
      </c>
      <c r="G13" s="45"/>
      <c r="H13" s="14"/>
      <c r="I13" s="14"/>
      <c r="J13" s="14"/>
    </row>
    <row r="14" spans="2:10">
      <c r="B14" t="s">
        <v>36</v>
      </c>
      <c r="C14" s="55">
        <f>C45/C15</f>
        <v>0.1</v>
      </c>
      <c r="D14" s="55">
        <v>0.1</v>
      </c>
      <c r="E14" s="55">
        <v>0.1</v>
      </c>
      <c r="F14" s="55">
        <v>0.1</v>
      </c>
      <c r="G14" s="45"/>
      <c r="H14" s="14"/>
      <c r="I14" s="14"/>
      <c r="J14" s="14"/>
    </row>
    <row r="15" spans="2:10">
      <c r="B15" t="s">
        <v>46</v>
      </c>
      <c r="C15" s="16">
        <v>406000</v>
      </c>
      <c r="D15" s="16">
        <v>406000</v>
      </c>
      <c r="E15" s="16">
        <v>406000</v>
      </c>
      <c r="F15" s="16">
        <v>406000</v>
      </c>
      <c r="G15" s="45"/>
      <c r="H15" s="14"/>
      <c r="I15" s="14"/>
      <c r="J15" s="14"/>
    </row>
    <row r="16" spans="2:10">
      <c r="B16" t="s">
        <v>37</v>
      </c>
      <c r="C16" s="16">
        <f>C46</f>
        <v>4000</v>
      </c>
      <c r="D16" s="16">
        <f t="shared" ref="D16:F16" si="9">D46</f>
        <v>4000</v>
      </c>
      <c r="E16" s="16">
        <f t="shared" si="9"/>
        <v>4000</v>
      </c>
      <c r="F16" s="16">
        <f t="shared" si="9"/>
        <v>4000</v>
      </c>
      <c r="G16" s="45"/>
      <c r="H16" s="14"/>
      <c r="I16" s="14"/>
      <c r="J16" s="14"/>
    </row>
    <row r="17" spans="2:10">
      <c r="B17" t="s">
        <v>2</v>
      </c>
      <c r="C17" s="56">
        <f>C50/0.055</f>
        <v>175687.27272727271</v>
      </c>
      <c r="D17" s="56">
        <f t="shared" ref="D17:F17" si="10">D50/0.055</f>
        <v>201000</v>
      </c>
      <c r="E17" s="56">
        <f t="shared" si="10"/>
        <v>234236.36363636365</v>
      </c>
      <c r="F17" s="56">
        <f t="shared" si="10"/>
        <v>154036.36363636365</v>
      </c>
      <c r="G17" s="45"/>
      <c r="H17" s="14"/>
      <c r="I17" s="14"/>
      <c r="J17" s="14"/>
    </row>
    <row r="18" spans="2:10">
      <c r="B18" t="s">
        <v>38</v>
      </c>
      <c r="C18" s="13">
        <f>C50/C17</f>
        <v>5.5E-2</v>
      </c>
      <c r="D18" s="13">
        <f t="shared" ref="D18:F18" si="11">D50/D17</f>
        <v>5.5E-2</v>
      </c>
      <c r="E18" s="13">
        <f t="shared" si="11"/>
        <v>5.5E-2</v>
      </c>
      <c r="F18" s="13">
        <f t="shared" si="11"/>
        <v>5.4999999999999993E-2</v>
      </c>
      <c r="G18" s="45"/>
      <c r="H18" s="14"/>
      <c r="I18" s="14"/>
      <c r="J18" s="14"/>
    </row>
    <row r="19" spans="2:10">
      <c r="B19" t="s">
        <v>39</v>
      </c>
      <c r="C19" s="15">
        <f>C51/(C48-C50)</f>
        <v>0.35</v>
      </c>
      <c r="D19" s="15">
        <f t="shared" ref="D19:F19" si="12">D51/(D48-D50)</f>
        <v>0.21</v>
      </c>
      <c r="E19" s="15">
        <f t="shared" si="12"/>
        <v>0.21</v>
      </c>
      <c r="F19" s="15">
        <f t="shared" si="12"/>
        <v>0.21000000000000002</v>
      </c>
      <c r="G19" s="45"/>
      <c r="H19" s="14"/>
      <c r="I19" s="14"/>
      <c r="J19" s="14"/>
    </row>
    <row r="20" spans="2:10" ht="23.25">
      <c r="B20" s="9" t="s">
        <v>0</v>
      </c>
      <c r="C20" s="8"/>
      <c r="D20" s="8"/>
      <c r="E20" s="8"/>
      <c r="F20" s="8"/>
      <c r="G20" s="32"/>
      <c r="H20" s="8"/>
      <c r="I20" s="8"/>
      <c r="J20" s="8"/>
    </row>
    <row r="21" spans="2:10" ht="18">
      <c r="B21" s="2" t="s">
        <v>7</v>
      </c>
      <c r="G21" s="36"/>
    </row>
    <row r="22" spans="2:10">
      <c r="B22" s="1" t="s">
        <v>9</v>
      </c>
      <c r="C22" s="5">
        <v>986000</v>
      </c>
      <c r="D22" s="5">
        <v>1005000</v>
      </c>
      <c r="E22" s="5">
        <v>991000</v>
      </c>
      <c r="F22" s="5">
        <v>1059000</v>
      </c>
      <c r="G22" s="36"/>
    </row>
    <row r="23" spans="2:10">
      <c r="B23" s="1" t="s">
        <v>8</v>
      </c>
      <c r="C23" s="6">
        <f>-C22*0.05</f>
        <v>-49300</v>
      </c>
      <c r="D23" s="6">
        <f>-D22*0.0455</f>
        <v>-45727.5</v>
      </c>
      <c r="E23" s="6">
        <f>-E22*0.065</f>
        <v>-64415</v>
      </c>
      <c r="F23" s="6">
        <f>-F22*0.05</f>
        <v>-52950</v>
      </c>
      <c r="G23" s="36"/>
    </row>
    <row r="24" spans="2:10">
      <c r="B24" s="3" t="s">
        <v>10</v>
      </c>
      <c r="C24" s="7">
        <f>SUM(C22:C23)</f>
        <v>936700</v>
      </c>
      <c r="D24" s="7">
        <f t="shared" ref="D24:F24" si="13">SUM(D22:D23)</f>
        <v>959272.5</v>
      </c>
      <c r="E24" s="7">
        <f t="shared" si="13"/>
        <v>926585</v>
      </c>
      <c r="F24" s="7">
        <f t="shared" si="13"/>
        <v>1006050</v>
      </c>
      <c r="G24" s="36"/>
    </row>
    <row r="25" spans="2:10">
      <c r="C25" s="6"/>
      <c r="D25" s="6"/>
      <c r="E25" s="6"/>
      <c r="F25" s="6"/>
      <c r="G25" s="36"/>
    </row>
    <row r="26" spans="2:10" ht="18">
      <c r="B26" s="2" t="s">
        <v>11</v>
      </c>
      <c r="C26" s="6"/>
      <c r="D26" s="6"/>
      <c r="E26" s="6"/>
      <c r="F26" s="6"/>
      <c r="G26" s="36"/>
    </row>
    <row r="27" spans="2:10">
      <c r="B27" s="1" t="s">
        <v>12</v>
      </c>
      <c r="C27" s="5">
        <v>266220</v>
      </c>
      <c r="D27" s="5">
        <v>311550</v>
      </c>
      <c r="E27" s="5">
        <v>317120</v>
      </c>
      <c r="F27" s="5">
        <v>296520</v>
      </c>
      <c r="G27" s="36"/>
    </row>
    <row r="28" spans="2:10">
      <c r="B28" s="1" t="s">
        <v>20</v>
      </c>
      <c r="C28" s="5">
        <v>157760</v>
      </c>
      <c r="D28" s="5">
        <v>140700</v>
      </c>
      <c r="E28" s="5">
        <v>148650</v>
      </c>
      <c r="F28" s="5">
        <v>201210</v>
      </c>
      <c r="G28" s="36"/>
    </row>
    <row r="29" spans="2:10">
      <c r="B29" s="1" t="s">
        <v>19</v>
      </c>
      <c r="C29" s="5">
        <v>19720</v>
      </c>
      <c r="D29" s="5">
        <v>15075</v>
      </c>
      <c r="E29" s="5">
        <v>24775</v>
      </c>
      <c r="F29" s="5">
        <v>21180</v>
      </c>
      <c r="G29" s="36"/>
    </row>
    <row r="30" spans="2:10">
      <c r="B30" s="3" t="s">
        <v>13</v>
      </c>
      <c r="C30" s="7">
        <f>SUM(C27:C29)</f>
        <v>443700</v>
      </c>
      <c r="D30" s="7">
        <f t="shared" ref="D30:F30" si="14">SUM(D27:D29)</f>
        <v>467325</v>
      </c>
      <c r="E30" s="7">
        <f t="shared" si="14"/>
        <v>490545</v>
      </c>
      <c r="F30" s="7">
        <f t="shared" si="14"/>
        <v>518910</v>
      </c>
      <c r="G30" s="36"/>
    </row>
    <row r="31" spans="2:10">
      <c r="C31" s="6"/>
      <c r="D31" s="6"/>
      <c r="E31" s="6"/>
      <c r="F31" s="6"/>
      <c r="G31" s="36"/>
    </row>
    <row r="32" spans="2:10">
      <c r="B32" s="4" t="s">
        <v>1</v>
      </c>
      <c r="C32" s="25">
        <f>C24-C30</f>
        <v>493000</v>
      </c>
      <c r="D32" s="25">
        <f t="shared" ref="D32:F32" si="15">D24-D30</f>
        <v>491947.5</v>
      </c>
      <c r="E32" s="25">
        <f t="shared" si="15"/>
        <v>436040</v>
      </c>
      <c r="F32" s="25">
        <f t="shared" si="15"/>
        <v>487140</v>
      </c>
      <c r="G32" s="46"/>
      <c r="H32" s="28"/>
      <c r="I32" s="28"/>
      <c r="J32" s="28"/>
    </row>
    <row r="33" spans="2:10">
      <c r="C33" s="6"/>
      <c r="D33" s="6"/>
      <c r="E33" s="6"/>
      <c r="F33" s="6"/>
      <c r="G33" s="36"/>
    </row>
    <row r="34" spans="2:10" ht="18">
      <c r="B34" s="2" t="s">
        <v>21</v>
      </c>
      <c r="C34" s="6"/>
      <c r="D34" s="6"/>
      <c r="E34" s="6"/>
      <c r="F34" s="6"/>
      <c r="G34" s="36"/>
    </row>
    <row r="35" spans="2:10">
      <c r="B35" s="1" t="s">
        <v>14</v>
      </c>
      <c r="C35" s="5">
        <f>0.21*C22</f>
        <v>207060</v>
      </c>
      <c r="D35" s="5">
        <f t="shared" ref="D35:F35" si="16">0.21*D22</f>
        <v>211050</v>
      </c>
      <c r="E35" s="5">
        <f t="shared" si="16"/>
        <v>208110</v>
      </c>
      <c r="F35" s="5">
        <f t="shared" si="16"/>
        <v>222390</v>
      </c>
      <c r="G35" s="36"/>
    </row>
    <row r="36" spans="2:10">
      <c r="B36" s="1" t="s">
        <v>15</v>
      </c>
      <c r="C36" s="5">
        <v>56000</v>
      </c>
      <c r="D36" s="5">
        <v>55500</v>
      </c>
      <c r="E36" s="5">
        <v>58000</v>
      </c>
      <c r="F36" s="5">
        <v>58000</v>
      </c>
      <c r="G36" s="36"/>
    </row>
    <row r="37" spans="2:10">
      <c r="B37" s="1" t="s">
        <v>16</v>
      </c>
      <c r="C37" s="5">
        <v>20000</v>
      </c>
      <c r="D37" s="5">
        <v>22000</v>
      </c>
      <c r="E37" s="5">
        <v>22000</v>
      </c>
      <c r="F37" s="5">
        <v>22000</v>
      </c>
      <c r="G37" s="36"/>
    </row>
    <row r="38" spans="2:10">
      <c r="B38" s="1" t="s">
        <v>17</v>
      </c>
      <c r="C38" s="5">
        <v>15500</v>
      </c>
      <c r="D38" s="5">
        <v>13400</v>
      </c>
      <c r="E38" s="5">
        <v>13600</v>
      </c>
      <c r="F38" s="5">
        <v>11000</v>
      </c>
      <c r="G38" s="36"/>
    </row>
    <row r="39" spans="2:10">
      <c r="B39" s="1" t="s">
        <v>23</v>
      </c>
      <c r="C39" s="5">
        <v>23000</v>
      </c>
      <c r="D39" s="5">
        <v>29000</v>
      </c>
      <c r="E39" s="5">
        <v>16000</v>
      </c>
      <c r="F39" s="5">
        <v>25000</v>
      </c>
      <c r="G39" s="36"/>
    </row>
    <row r="40" spans="2:10">
      <c r="B40" s="1" t="s">
        <v>18</v>
      </c>
      <c r="C40" s="5">
        <v>5000</v>
      </c>
      <c r="D40" s="5">
        <v>4000</v>
      </c>
      <c r="E40" s="5">
        <v>4000</v>
      </c>
      <c r="F40" s="5">
        <v>8000</v>
      </c>
      <c r="G40" s="36"/>
    </row>
    <row r="41" spans="2:10">
      <c r="B41" s="3" t="s">
        <v>43</v>
      </c>
      <c r="C41" s="7">
        <f>SUM(C35:C40)</f>
        <v>326560</v>
      </c>
      <c r="D41" s="7">
        <f t="shared" ref="D41:F41" si="17">SUM(D35:D40)</f>
        <v>334950</v>
      </c>
      <c r="E41" s="7">
        <f t="shared" si="17"/>
        <v>321710</v>
      </c>
      <c r="F41" s="7">
        <f t="shared" si="17"/>
        <v>346390</v>
      </c>
      <c r="G41" s="36"/>
    </row>
    <row r="42" spans="2:10">
      <c r="C42" s="6"/>
      <c r="D42" s="6"/>
      <c r="E42" s="6"/>
      <c r="F42" s="6"/>
      <c r="G42" s="36"/>
    </row>
    <row r="43" spans="2:10" ht="18">
      <c r="B43" s="2" t="s">
        <v>6</v>
      </c>
      <c r="C43" s="26">
        <f>C24-C30-C41</f>
        <v>166440</v>
      </c>
      <c r="D43" s="26">
        <f t="shared" ref="D43:F43" si="18">D24-D30-D41</f>
        <v>156997.5</v>
      </c>
      <c r="E43" s="26">
        <f t="shared" si="18"/>
        <v>114330</v>
      </c>
      <c r="F43" s="26">
        <f t="shared" si="18"/>
        <v>140750</v>
      </c>
      <c r="G43" s="46"/>
      <c r="H43" s="28"/>
      <c r="I43" s="28"/>
      <c r="J43" s="28"/>
    </row>
    <row r="44" spans="2:10" ht="18">
      <c r="B44" s="2"/>
      <c r="C44" s="6"/>
      <c r="D44" s="6"/>
      <c r="E44" s="6"/>
      <c r="F44" s="6"/>
      <c r="G44" s="36"/>
    </row>
    <row r="45" spans="2:10">
      <c r="B45" s="1" t="s">
        <v>3</v>
      </c>
      <c r="C45" s="5">
        <v>40600</v>
      </c>
      <c r="D45" s="5">
        <v>40600</v>
      </c>
      <c r="E45" s="5">
        <v>40600</v>
      </c>
      <c r="F45" s="5">
        <v>40600</v>
      </c>
      <c r="G45" s="36"/>
    </row>
    <row r="46" spans="2:10">
      <c r="B46" s="1" t="s">
        <v>24</v>
      </c>
      <c r="C46" s="5">
        <v>4000</v>
      </c>
      <c r="D46" s="5">
        <v>4000</v>
      </c>
      <c r="E46" s="5">
        <v>4000</v>
      </c>
      <c r="F46" s="5">
        <v>4000</v>
      </c>
      <c r="G46" s="36"/>
    </row>
    <row r="47" spans="2:10">
      <c r="B47" s="1"/>
      <c r="C47" s="5"/>
      <c r="D47" s="5"/>
      <c r="E47" s="5"/>
      <c r="F47" s="5"/>
      <c r="G47" s="36"/>
    </row>
    <row r="48" spans="2:10" ht="18">
      <c r="B48" s="2" t="s">
        <v>25</v>
      </c>
      <c r="C48" s="27">
        <f>C43-C45-C46</f>
        <v>121840</v>
      </c>
      <c r="D48" s="27">
        <f t="shared" ref="D48:F48" si="19">D43-D45-D46</f>
        <v>112397.5</v>
      </c>
      <c r="E48" s="27">
        <f t="shared" si="19"/>
        <v>69730</v>
      </c>
      <c r="F48" s="27">
        <f t="shared" si="19"/>
        <v>96150</v>
      </c>
      <c r="G48" s="46"/>
      <c r="H48" s="28"/>
      <c r="I48" s="28"/>
      <c r="J48" s="28"/>
    </row>
    <row r="49" spans="2:10">
      <c r="B49" s="3"/>
      <c r="C49" s="6"/>
      <c r="D49" s="6"/>
      <c r="E49" s="6"/>
      <c r="F49" s="6"/>
      <c r="G49" s="36"/>
    </row>
    <row r="50" spans="2:10">
      <c r="B50" t="s">
        <v>4</v>
      </c>
      <c r="C50" s="6">
        <f>C22*0.0098</f>
        <v>9662.7999999999993</v>
      </c>
      <c r="D50" s="6">
        <f>D22*0.011</f>
        <v>11055</v>
      </c>
      <c r="E50" s="6">
        <f>E22*0.013</f>
        <v>12883</v>
      </c>
      <c r="F50" s="6">
        <f>F22*0.008</f>
        <v>8472</v>
      </c>
      <c r="G50" s="36"/>
    </row>
    <row r="51" spans="2:10">
      <c r="B51" t="s">
        <v>5</v>
      </c>
      <c r="C51" s="6">
        <f>(C48-C50)*0.35</f>
        <v>39262.019999999997</v>
      </c>
      <c r="D51" s="6">
        <f t="shared" ref="D51:F51" si="20">(D48-D50)*0.21</f>
        <v>21281.924999999999</v>
      </c>
      <c r="E51" s="6">
        <f t="shared" si="20"/>
        <v>11937.869999999999</v>
      </c>
      <c r="F51" s="6">
        <f t="shared" si="20"/>
        <v>18412.38</v>
      </c>
      <c r="G51" s="36"/>
    </row>
    <row r="52" spans="2:10">
      <c r="C52" s="6"/>
      <c r="D52" s="6"/>
      <c r="E52" s="6"/>
      <c r="F52" s="6"/>
      <c r="G52" s="36"/>
    </row>
    <row r="53" spans="2:10" ht="18.75" thickBot="1">
      <c r="B53" s="2" t="s">
        <v>26</v>
      </c>
      <c r="C53" s="29">
        <f>C48-C50-C51</f>
        <v>72915.179999999993</v>
      </c>
      <c r="D53" s="29">
        <f t="shared" ref="D53:F53" si="21">D48-D50-D51</f>
        <v>80060.574999999997</v>
      </c>
      <c r="E53" s="29">
        <f t="shared" si="21"/>
        <v>44909.130000000005</v>
      </c>
      <c r="F53" s="29">
        <f t="shared" si="21"/>
        <v>69265.62</v>
      </c>
      <c r="G53" s="47"/>
      <c r="H53" s="30"/>
      <c r="I53" s="30"/>
      <c r="J53" s="30"/>
    </row>
    <row r="54" spans="2:10" ht="13.5" thickTop="1">
      <c r="B54" s="21" t="s">
        <v>29</v>
      </c>
      <c r="C54" s="48">
        <f>C53/C24</f>
        <v>7.7842617700437697E-2</v>
      </c>
      <c r="D54" s="48">
        <f t="shared" ref="D54:F54" si="22">D53/D24</f>
        <v>8.3459679079719268E-2</v>
      </c>
      <c r="E54" s="48">
        <f t="shared" si="22"/>
        <v>4.8467361332203744E-2</v>
      </c>
      <c r="F54" s="48">
        <f t="shared" si="22"/>
        <v>6.8849083047562237E-2</v>
      </c>
      <c r="G54" s="49"/>
      <c r="H54" s="50"/>
      <c r="I54" s="50"/>
      <c r="J54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98154-44E6-4496-BF96-553996A1AF71}">
  <dimension ref="B1:K54"/>
  <sheetViews>
    <sheetView showGridLines="0" tabSelected="1" zoomScale="70" zoomScaleNormal="70" workbookViewId="0">
      <selection activeCell="B3" sqref="B3:B19"/>
    </sheetView>
  </sheetViews>
  <sheetFormatPr defaultRowHeight="12.75"/>
  <cols>
    <col min="2" max="2" width="39" bestFit="1" customWidth="1"/>
    <col min="3" max="3" width="13.7109375" bestFit="1" customWidth="1"/>
    <col min="4" max="4" width="18.85546875" bestFit="1" customWidth="1"/>
    <col min="5" max="5" width="11.85546875" bestFit="1" customWidth="1"/>
    <col min="6" max="6" width="13" bestFit="1" customWidth="1"/>
    <col min="7" max="7" width="15.5703125" bestFit="1" customWidth="1"/>
    <col min="8" max="10" width="14.28515625" bestFit="1" customWidth="1"/>
    <col min="11" max="11" width="19.5703125" bestFit="1" customWidth="1"/>
  </cols>
  <sheetData>
    <row r="1" spans="2:10" ht="15.75">
      <c r="B1" s="11" t="s">
        <v>41</v>
      </c>
      <c r="C1" s="20">
        <v>2021</v>
      </c>
      <c r="D1" s="20">
        <v>2022</v>
      </c>
      <c r="E1" s="20">
        <v>2023</v>
      </c>
      <c r="F1" s="20">
        <v>2024</v>
      </c>
      <c r="G1" s="31">
        <v>2025</v>
      </c>
      <c r="H1" s="10">
        <v>2026</v>
      </c>
      <c r="I1" s="10">
        <v>2027</v>
      </c>
      <c r="J1" s="10">
        <v>2028</v>
      </c>
    </row>
    <row r="2" spans="2:10" ht="23.25">
      <c r="B2" s="9" t="s">
        <v>40</v>
      </c>
      <c r="C2" s="8"/>
      <c r="D2" s="8"/>
      <c r="E2" s="8"/>
      <c r="F2" s="8"/>
      <c r="G2" s="32"/>
      <c r="H2" s="8"/>
      <c r="I2" s="8"/>
      <c r="J2" s="8"/>
    </row>
    <row r="3" spans="2:10">
      <c r="B3" t="s">
        <v>27</v>
      </c>
      <c r="C3" s="12"/>
      <c r="D3" s="13">
        <f>D22/C22-1</f>
        <v>1.9269776876267741E-2</v>
      </c>
      <c r="E3" s="13">
        <f>E22/D22-1</f>
        <v>-1.3930348258706426E-2</v>
      </c>
      <c r="F3" s="13">
        <f>F22/E22-1</f>
        <v>6.8617558022199709E-2</v>
      </c>
      <c r="G3" s="33">
        <v>1.8509127789046675E-2</v>
      </c>
      <c r="H3" s="22">
        <v>1.8509127789046675E-2</v>
      </c>
      <c r="I3" s="22">
        <v>1.8509127789046675E-2</v>
      </c>
      <c r="J3" s="22">
        <v>1.8509127789046675E-2</v>
      </c>
    </row>
    <row r="4" spans="2:10">
      <c r="B4" t="s">
        <v>28</v>
      </c>
      <c r="C4" s="13">
        <f>-C23/C22</f>
        <v>0.05</v>
      </c>
      <c r="D4" s="13">
        <f t="shared" ref="D4:F4" si="0">-D23/D22</f>
        <v>4.5499999999999999E-2</v>
      </c>
      <c r="E4" s="13">
        <f t="shared" si="0"/>
        <v>6.5000000000000002E-2</v>
      </c>
      <c r="F4" s="13">
        <f t="shared" si="0"/>
        <v>0.05</v>
      </c>
      <c r="G4" s="33">
        <v>5.2625000000000005E-2</v>
      </c>
      <c r="H4" s="22">
        <v>5.2625000000000005E-2</v>
      </c>
      <c r="I4" s="22">
        <v>5.2625000000000005E-2</v>
      </c>
      <c r="J4" s="22">
        <v>5.2625000000000005E-2</v>
      </c>
    </row>
    <row r="5" spans="2:10">
      <c r="B5" t="s">
        <v>30</v>
      </c>
      <c r="C5" s="15">
        <f>C27/C22</f>
        <v>0.27</v>
      </c>
      <c r="D5" s="15">
        <f t="shared" ref="D5:F5" si="1">D27/D22</f>
        <v>0.31</v>
      </c>
      <c r="E5" s="15">
        <f t="shared" si="1"/>
        <v>0.32</v>
      </c>
      <c r="F5" s="15">
        <f t="shared" si="1"/>
        <v>0.28000000000000003</v>
      </c>
      <c r="G5" s="33">
        <v>0.29500000000000004</v>
      </c>
      <c r="H5" s="22">
        <v>0.29500000000000004</v>
      </c>
      <c r="I5" s="22">
        <v>0.29500000000000004</v>
      </c>
      <c r="J5" s="22">
        <v>0.29500000000000004</v>
      </c>
    </row>
    <row r="6" spans="2:10">
      <c r="B6" t="s">
        <v>31</v>
      </c>
      <c r="C6" s="15">
        <f>C28/C22</f>
        <v>0.16</v>
      </c>
      <c r="D6" s="15">
        <f t="shared" ref="D6:F6" si="2">D28/D22</f>
        <v>0.14000000000000001</v>
      </c>
      <c r="E6" s="15">
        <f t="shared" si="2"/>
        <v>0.15</v>
      </c>
      <c r="F6" s="15">
        <f t="shared" si="2"/>
        <v>0.19</v>
      </c>
      <c r="G6" s="33">
        <v>0.16000000000000003</v>
      </c>
      <c r="H6" s="22">
        <v>0.16000000000000003</v>
      </c>
      <c r="I6" s="22">
        <v>0.16000000000000003</v>
      </c>
      <c r="J6" s="22">
        <v>0.16000000000000003</v>
      </c>
    </row>
    <row r="7" spans="2:10">
      <c r="B7" t="s">
        <v>42</v>
      </c>
      <c r="C7" s="13">
        <f>C29/C27</f>
        <v>7.407407407407407E-2</v>
      </c>
      <c r="D7" s="13">
        <f t="shared" ref="D7:F7" si="3">D29/D27</f>
        <v>4.8387096774193547E-2</v>
      </c>
      <c r="E7" s="13">
        <f t="shared" si="3"/>
        <v>7.8125E-2</v>
      </c>
      <c r="F7" s="13">
        <f t="shared" si="3"/>
        <v>7.1428571428571425E-2</v>
      </c>
      <c r="G7" s="33">
        <v>6.8003685569209771E-2</v>
      </c>
      <c r="H7" s="22">
        <v>6.8003685569209771E-2</v>
      </c>
      <c r="I7" s="22">
        <v>6.8003685569209771E-2</v>
      </c>
      <c r="J7" s="22">
        <v>6.8003685569209771E-2</v>
      </c>
    </row>
    <row r="8" spans="2:10">
      <c r="B8" t="s">
        <v>32</v>
      </c>
      <c r="C8" s="15">
        <f>C35/C30</f>
        <v>0.46666666666666667</v>
      </c>
      <c r="D8" s="15">
        <f t="shared" ref="D8:F8" si="4">D35/D30</f>
        <v>0.45161290322580644</v>
      </c>
      <c r="E8" s="15">
        <f t="shared" si="4"/>
        <v>0.42424242424242425</v>
      </c>
      <c r="F8" s="15">
        <f t="shared" si="4"/>
        <v>0.42857142857142855</v>
      </c>
      <c r="G8" s="33">
        <v>0.44277335567658149</v>
      </c>
      <c r="H8" s="22">
        <v>0.44277335567658149</v>
      </c>
      <c r="I8" s="22">
        <v>0.44277335567658149</v>
      </c>
      <c r="J8" s="22">
        <v>0.44277335567658149</v>
      </c>
    </row>
    <row r="9" spans="2:10">
      <c r="B9" t="s">
        <v>44</v>
      </c>
      <c r="C9" s="12"/>
      <c r="D9" s="12"/>
      <c r="E9" s="16">
        <f>E36</f>
        <v>58000</v>
      </c>
      <c r="F9" s="16">
        <f>F36</f>
        <v>58000</v>
      </c>
      <c r="G9" s="34">
        <v>58000</v>
      </c>
      <c r="H9" s="23">
        <v>58000</v>
      </c>
      <c r="I9" s="23">
        <v>58000</v>
      </c>
      <c r="J9" s="23">
        <v>58000</v>
      </c>
    </row>
    <row r="10" spans="2:10">
      <c r="B10" t="s">
        <v>45</v>
      </c>
      <c r="C10" s="12"/>
      <c r="D10" s="17">
        <f>D37</f>
        <v>22000</v>
      </c>
      <c r="E10" s="17">
        <f t="shared" ref="E10:F10" si="5">E37</f>
        <v>22000</v>
      </c>
      <c r="F10" s="17">
        <f t="shared" si="5"/>
        <v>22000</v>
      </c>
      <c r="G10" s="34">
        <v>22000</v>
      </c>
      <c r="H10" s="23">
        <v>22000</v>
      </c>
      <c r="I10" s="23">
        <v>22000</v>
      </c>
      <c r="J10" s="23">
        <v>22000</v>
      </c>
    </row>
    <row r="11" spans="2:10">
      <c r="B11" t="s">
        <v>33</v>
      </c>
      <c r="C11" s="12"/>
      <c r="D11" s="15">
        <f>D38/C38-1</f>
        <v>-0.13548387096774195</v>
      </c>
      <c r="E11" s="15">
        <f t="shared" ref="E11:F11" si="6">E38/D38-1</f>
        <v>1.4925373134328401E-2</v>
      </c>
      <c r="F11" s="15">
        <f t="shared" si="6"/>
        <v>-0.19117647058823528</v>
      </c>
      <c r="G11" s="33">
        <v>-0.1039116561405496</v>
      </c>
      <c r="H11" s="22">
        <v>-0.1039116561405496</v>
      </c>
      <c r="I11" s="22">
        <v>-0.1039116561405496</v>
      </c>
      <c r="J11" s="22">
        <v>-0.1039116561405496</v>
      </c>
    </row>
    <row r="12" spans="2:10">
      <c r="B12" t="s">
        <v>34</v>
      </c>
      <c r="C12" s="12"/>
      <c r="D12" s="13">
        <f>D39/C22</f>
        <v>2.9411764705882353E-2</v>
      </c>
      <c r="E12" s="13">
        <f t="shared" ref="E12:F12" si="7">E39/D22</f>
        <v>1.5920398009950248E-2</v>
      </c>
      <c r="F12" s="13">
        <f t="shared" si="7"/>
        <v>2.5227043390514632E-2</v>
      </c>
      <c r="G12" s="33">
        <v>2.3519735368782407E-2</v>
      </c>
      <c r="H12" s="22">
        <v>2.3519735368782407E-2</v>
      </c>
      <c r="I12" s="22">
        <v>2.3519735368782407E-2</v>
      </c>
      <c r="J12" s="22">
        <v>0.01</v>
      </c>
    </row>
    <row r="13" spans="2:10">
      <c r="B13" t="s">
        <v>35</v>
      </c>
      <c r="C13" s="18">
        <f>C40/C22</f>
        <v>5.0709939148073022E-3</v>
      </c>
      <c r="D13" s="18">
        <f t="shared" ref="D13:F13" si="8">D40/D22</f>
        <v>3.9800995024875619E-3</v>
      </c>
      <c r="E13" s="18">
        <f t="shared" si="8"/>
        <v>4.0363269424823411E-3</v>
      </c>
      <c r="F13" s="18">
        <f t="shared" si="8"/>
        <v>7.5542965061378663E-3</v>
      </c>
      <c r="G13" s="33">
        <v>5.1902409837025895E-3</v>
      </c>
      <c r="H13" s="22">
        <v>5.1902409837025895E-3</v>
      </c>
      <c r="I13" s="22">
        <v>5.1902409837025895E-3</v>
      </c>
      <c r="J13" s="22">
        <v>5.1902409837025895E-3</v>
      </c>
    </row>
    <row r="14" spans="2:10">
      <c r="B14" t="s">
        <v>36</v>
      </c>
      <c r="C14" s="19">
        <v>0.1</v>
      </c>
      <c r="D14" s="19">
        <v>0.1</v>
      </c>
      <c r="E14" s="19">
        <v>0.1</v>
      </c>
      <c r="F14" s="19">
        <v>0.1</v>
      </c>
      <c r="G14" s="35">
        <v>0.1</v>
      </c>
      <c r="H14" s="19">
        <v>0.1</v>
      </c>
      <c r="I14" s="19">
        <v>0.1</v>
      </c>
      <c r="J14" s="19">
        <v>0.1</v>
      </c>
    </row>
    <row r="15" spans="2:10">
      <c r="B15" t="s">
        <v>46</v>
      </c>
      <c r="C15" s="16">
        <f>C45/0.1</f>
        <v>406000</v>
      </c>
      <c r="D15" s="16">
        <f t="shared" ref="D15:F15" si="9">D45/0.1</f>
        <v>406000</v>
      </c>
      <c r="E15" s="16">
        <f t="shared" si="9"/>
        <v>406000</v>
      </c>
      <c r="F15" s="16">
        <f t="shared" si="9"/>
        <v>406000</v>
      </c>
      <c r="G15" s="34">
        <v>406000</v>
      </c>
      <c r="H15" s="23">
        <v>406000</v>
      </c>
      <c r="I15" s="23">
        <v>406000</v>
      </c>
      <c r="J15" s="23">
        <v>406000</v>
      </c>
    </row>
    <row r="16" spans="2:10">
      <c r="B16" t="s">
        <v>37</v>
      </c>
      <c r="C16" s="16">
        <f>C46</f>
        <v>4000</v>
      </c>
      <c r="D16" s="16">
        <f t="shared" ref="D16:F16" si="10">D46</f>
        <v>4000</v>
      </c>
      <c r="E16" s="16">
        <f t="shared" si="10"/>
        <v>4000</v>
      </c>
      <c r="F16" s="16">
        <f t="shared" si="10"/>
        <v>4000</v>
      </c>
      <c r="G16" s="34">
        <v>4000</v>
      </c>
      <c r="H16" s="23">
        <v>4000</v>
      </c>
      <c r="I16" s="23">
        <v>4000</v>
      </c>
      <c r="J16" s="23">
        <v>4000</v>
      </c>
    </row>
    <row r="17" spans="2:11">
      <c r="B17" t="s">
        <v>2</v>
      </c>
      <c r="C17" s="16">
        <f>C50/0.055</f>
        <v>175687.27272727271</v>
      </c>
      <c r="D17" s="16">
        <f t="shared" ref="D17:F17" si="11">D50/0.055</f>
        <v>201000</v>
      </c>
      <c r="E17" s="16">
        <f t="shared" si="11"/>
        <v>234236.36363636365</v>
      </c>
      <c r="F17" s="16">
        <f t="shared" si="11"/>
        <v>154036.36363636365</v>
      </c>
      <c r="G17" s="34">
        <v>191240</v>
      </c>
      <c r="H17" s="23">
        <v>191240</v>
      </c>
      <c r="I17" s="23">
        <v>191240</v>
      </c>
      <c r="J17" s="23">
        <v>191240</v>
      </c>
    </row>
    <row r="18" spans="2:11">
      <c r="B18" t="s">
        <v>38</v>
      </c>
      <c r="C18" s="13">
        <f>C50/C17</f>
        <v>5.5E-2</v>
      </c>
      <c r="D18" s="13">
        <f t="shared" ref="D18:F18" si="12">D50/D17</f>
        <v>5.5E-2</v>
      </c>
      <c r="E18" s="13">
        <f t="shared" si="12"/>
        <v>5.5E-2</v>
      </c>
      <c r="F18" s="13">
        <f t="shared" si="12"/>
        <v>5.4999999999999993E-2</v>
      </c>
      <c r="G18" s="33">
        <v>5.5E-2</v>
      </c>
      <c r="H18" s="22">
        <v>5.5E-2</v>
      </c>
      <c r="I18" s="22">
        <v>5.5E-2</v>
      </c>
      <c r="J18" s="22">
        <v>5.5E-2</v>
      </c>
    </row>
    <row r="19" spans="2:11">
      <c r="B19" t="s">
        <v>39</v>
      </c>
      <c r="C19" s="19">
        <v>0.35</v>
      </c>
      <c r="D19" s="19">
        <v>0.21</v>
      </c>
      <c r="E19" s="19">
        <v>0.21</v>
      </c>
      <c r="F19" s="19">
        <v>0.21</v>
      </c>
      <c r="G19" s="35">
        <v>0.21</v>
      </c>
      <c r="H19" s="19">
        <v>0.21</v>
      </c>
      <c r="I19" s="19">
        <v>0.21</v>
      </c>
      <c r="J19" s="19">
        <v>0.21</v>
      </c>
    </row>
    <row r="20" spans="2:11" ht="23.25">
      <c r="B20" s="9" t="s">
        <v>0</v>
      </c>
      <c r="C20" s="8"/>
      <c r="D20" s="8"/>
      <c r="E20" s="8"/>
      <c r="F20" s="8"/>
      <c r="G20" s="32"/>
      <c r="H20" s="8"/>
      <c r="I20" s="8"/>
      <c r="J20" s="8"/>
    </row>
    <row r="21" spans="2:11" ht="18">
      <c r="B21" s="2" t="s">
        <v>7</v>
      </c>
      <c r="G21" s="36"/>
    </row>
    <row r="22" spans="2:11">
      <c r="B22" s="1" t="s">
        <v>9</v>
      </c>
      <c r="C22" s="5">
        <v>986000</v>
      </c>
      <c r="D22" s="5">
        <v>1005000</v>
      </c>
      <c r="E22" s="5">
        <v>991000</v>
      </c>
      <c r="F22" s="5">
        <v>1059000</v>
      </c>
      <c r="G22" s="37">
        <f>F22*(1+G3)</f>
        <v>1078601.1663286006</v>
      </c>
      <c r="H22" s="5">
        <f>G22*(1+H3)</f>
        <v>1098565.1331495915</v>
      </c>
      <c r="I22" s="5">
        <f>H22*(1+I3)</f>
        <v>1118898.6155836484</v>
      </c>
      <c r="J22" s="5">
        <f>I22*(1+J3)</f>
        <v>1139608.4530424736</v>
      </c>
      <c r="K22" s="6"/>
    </row>
    <row r="23" spans="2:11">
      <c r="B23" s="1" t="s">
        <v>8</v>
      </c>
      <c r="C23" s="6">
        <f>-C22*0.05</f>
        <v>-49300</v>
      </c>
      <c r="D23" s="6">
        <f>-D22*0.0455</f>
        <v>-45727.5</v>
      </c>
      <c r="E23" s="6">
        <f>-E22*0.065</f>
        <v>-64415</v>
      </c>
      <c r="F23" s="6">
        <f>-F22*0.05</f>
        <v>-52950</v>
      </c>
      <c r="G23" s="37">
        <f>-G22*G4</f>
        <v>-56761.386378042611</v>
      </c>
      <c r="H23" s="5">
        <f>-H22*H4</f>
        <v>-57811.990131997256</v>
      </c>
      <c r="I23" s="5">
        <f>-I22*I4</f>
        <v>-58882.039645089506</v>
      </c>
      <c r="J23" s="5">
        <f>-J22*J4</f>
        <v>-59971.894841360183</v>
      </c>
    </row>
    <row r="24" spans="2:11">
      <c r="B24" s="3" t="s">
        <v>10</v>
      </c>
      <c r="C24" s="7">
        <f>SUM(C22:C23)</f>
        <v>936700</v>
      </c>
      <c r="D24" s="7">
        <f t="shared" ref="D24:F24" si="13">SUM(D22:D23)</f>
        <v>959272.5</v>
      </c>
      <c r="E24" s="7">
        <f t="shared" si="13"/>
        <v>926585</v>
      </c>
      <c r="F24" s="7">
        <f t="shared" si="13"/>
        <v>1006050</v>
      </c>
      <c r="G24" s="38">
        <f t="shared" ref="G24" si="14">SUM(G22:G23)</f>
        <v>1021839.779950558</v>
      </c>
      <c r="H24" s="24">
        <f t="shared" ref="H24" si="15">SUM(H22:H23)</f>
        <v>1040753.1430175942</v>
      </c>
      <c r="I24" s="24">
        <f t="shared" ref="I24" si="16">SUM(I22:I23)</f>
        <v>1060016.5759385589</v>
      </c>
      <c r="J24" s="24">
        <f t="shared" ref="J24" si="17">SUM(J22:J23)</f>
        <v>1079636.5582011135</v>
      </c>
    </row>
    <row r="25" spans="2:11">
      <c r="C25" s="6"/>
      <c r="D25" s="6"/>
      <c r="E25" s="6"/>
      <c r="F25" s="6"/>
      <c r="G25" s="36"/>
    </row>
    <row r="26" spans="2:11" ht="18">
      <c r="B26" s="2" t="s">
        <v>11</v>
      </c>
      <c r="C26" s="6"/>
      <c r="D26" s="6"/>
      <c r="E26" s="6"/>
      <c r="F26" s="6"/>
      <c r="G26" s="36"/>
    </row>
    <row r="27" spans="2:11">
      <c r="B27" s="1" t="s">
        <v>12</v>
      </c>
      <c r="C27" s="5">
        <v>266220</v>
      </c>
      <c r="D27" s="5">
        <v>311550</v>
      </c>
      <c r="E27" s="5">
        <v>317120</v>
      </c>
      <c r="F27" s="5">
        <v>296520</v>
      </c>
      <c r="G27" s="39">
        <f>G5*G22</f>
        <v>318187.34406693722</v>
      </c>
      <c r="H27" s="6">
        <f>H5*H22</f>
        <v>324076.71427912952</v>
      </c>
      <c r="I27" s="6">
        <f>I5*I22</f>
        <v>330075.09159717633</v>
      </c>
      <c r="J27" s="6">
        <f>J5*J22</f>
        <v>336184.49364752974</v>
      </c>
    </row>
    <row r="28" spans="2:11">
      <c r="B28" s="1" t="s">
        <v>20</v>
      </c>
      <c r="C28" s="5">
        <v>157760</v>
      </c>
      <c r="D28" s="5">
        <v>140700</v>
      </c>
      <c r="E28" s="5">
        <v>148650</v>
      </c>
      <c r="F28" s="5">
        <v>201210</v>
      </c>
      <c r="G28" s="39">
        <f>G6*G22</f>
        <v>172576.18661257613</v>
      </c>
      <c r="H28" s="6">
        <f>H6*H22</f>
        <v>175770.42130393468</v>
      </c>
      <c r="I28" s="6">
        <f>I6*I22</f>
        <v>179023.77849338378</v>
      </c>
      <c r="J28" s="6">
        <f>J6*J22</f>
        <v>182337.3524867958</v>
      </c>
    </row>
    <row r="29" spans="2:11">
      <c r="B29" s="1" t="s">
        <v>19</v>
      </c>
      <c r="C29" s="5">
        <v>19720</v>
      </c>
      <c r="D29" s="5">
        <v>15075</v>
      </c>
      <c r="E29" s="5">
        <v>24775</v>
      </c>
      <c r="F29" s="5">
        <v>21180</v>
      </c>
      <c r="G29" s="39">
        <f>G7*G27</f>
        <v>21637.912098029963</v>
      </c>
      <c r="H29" s="6">
        <f>H7*H27</f>
        <v>22038.410978140557</v>
      </c>
      <c r="I29" s="6">
        <f>I7*I27</f>
        <v>22446.322743202494</v>
      </c>
      <c r="J29" s="6">
        <f>J7*J27</f>
        <v>22861.784599250612</v>
      </c>
    </row>
    <row r="30" spans="2:11">
      <c r="B30" s="3" t="s">
        <v>13</v>
      </c>
      <c r="C30" s="7">
        <f>SUM(C27:C29)</f>
        <v>443700</v>
      </c>
      <c r="D30" s="7">
        <f t="shared" ref="D30:F30" si="18">SUM(D27:D29)</f>
        <v>467325</v>
      </c>
      <c r="E30" s="7">
        <f t="shared" si="18"/>
        <v>490545</v>
      </c>
      <c r="F30" s="7">
        <f t="shared" si="18"/>
        <v>518910</v>
      </c>
      <c r="G30" s="40">
        <f t="shared" ref="G30" si="19">SUM(G27:G29)</f>
        <v>512401.44277754333</v>
      </c>
      <c r="H30" s="7">
        <f t="shared" ref="H30" si="20">SUM(H27:H29)</f>
        <v>521885.54656120471</v>
      </c>
      <c r="I30" s="7">
        <f t="shared" ref="I30" si="21">SUM(I27:I29)</f>
        <v>531545.19283376262</v>
      </c>
      <c r="J30" s="7">
        <f t="shared" ref="J30" si="22">SUM(J27:J29)</f>
        <v>541383.63073357614</v>
      </c>
    </row>
    <row r="31" spans="2:11">
      <c r="C31" s="6"/>
      <c r="D31" s="6"/>
      <c r="E31" s="6"/>
      <c r="F31" s="6"/>
      <c r="G31" s="36"/>
    </row>
    <row r="32" spans="2:11">
      <c r="B32" s="4" t="s">
        <v>1</v>
      </c>
      <c r="C32" s="25">
        <f>C24-C30</f>
        <v>493000</v>
      </c>
      <c r="D32" s="25">
        <f t="shared" ref="D32:J32" si="23">D24-D30</f>
        <v>491947.5</v>
      </c>
      <c r="E32" s="25">
        <f t="shared" si="23"/>
        <v>436040</v>
      </c>
      <c r="F32" s="25">
        <f t="shared" si="23"/>
        <v>487140</v>
      </c>
      <c r="G32" s="41">
        <f t="shared" si="23"/>
        <v>509438.33717301465</v>
      </c>
      <c r="H32" s="25">
        <f t="shared" si="23"/>
        <v>518867.59645638952</v>
      </c>
      <c r="I32" s="25">
        <f t="shared" si="23"/>
        <v>528471.38310479629</v>
      </c>
      <c r="J32" s="25">
        <f t="shared" si="23"/>
        <v>538252.92746753735</v>
      </c>
    </row>
    <row r="33" spans="2:10">
      <c r="C33" s="6"/>
      <c r="D33" s="6"/>
      <c r="E33" s="6"/>
      <c r="F33" s="6"/>
      <c r="G33" s="36"/>
    </row>
    <row r="34" spans="2:10" ht="18">
      <c r="B34" s="2" t="s">
        <v>21</v>
      </c>
      <c r="C34" s="6"/>
      <c r="D34" s="6"/>
      <c r="E34" s="6"/>
      <c r="F34" s="6"/>
      <c r="G34" s="36"/>
    </row>
    <row r="35" spans="2:10">
      <c r="B35" s="1" t="s">
        <v>14</v>
      </c>
      <c r="C35" s="5">
        <f>0.21*C22</f>
        <v>207060</v>
      </c>
      <c r="D35" s="5">
        <f t="shared" ref="D35:F35" si="24">0.21*D22</f>
        <v>211050</v>
      </c>
      <c r="E35" s="5">
        <f t="shared" si="24"/>
        <v>208110</v>
      </c>
      <c r="F35" s="5">
        <f t="shared" si="24"/>
        <v>222390</v>
      </c>
      <c r="G35" s="39">
        <f>G8*G30</f>
        <v>226877.7062721347</v>
      </c>
      <c r="H35" s="6">
        <f>H8*H30</f>
        <v>231077.01473001143</v>
      </c>
      <c r="I35" s="6">
        <f>I8*I30</f>
        <v>235354.04872476068</v>
      </c>
      <c r="J35" s="6">
        <f>J8*J30</f>
        <v>239710.24688827677</v>
      </c>
    </row>
    <row r="36" spans="2:10">
      <c r="B36" s="1" t="s">
        <v>15</v>
      </c>
      <c r="C36" s="5">
        <v>56000</v>
      </c>
      <c r="D36" s="5">
        <v>55500</v>
      </c>
      <c r="E36" s="5">
        <v>58000</v>
      </c>
      <c r="F36" s="5">
        <v>58000</v>
      </c>
      <c r="G36" s="39">
        <f t="shared" ref="G36:J37" si="25">G9</f>
        <v>58000</v>
      </c>
      <c r="H36" s="6">
        <f t="shared" si="25"/>
        <v>58000</v>
      </c>
      <c r="I36" s="6">
        <f t="shared" si="25"/>
        <v>58000</v>
      </c>
      <c r="J36" s="6">
        <f t="shared" si="25"/>
        <v>58000</v>
      </c>
    </row>
    <row r="37" spans="2:10">
      <c r="B37" s="1" t="s">
        <v>16</v>
      </c>
      <c r="C37" s="5">
        <v>20000</v>
      </c>
      <c r="D37" s="5">
        <v>22000</v>
      </c>
      <c r="E37" s="5">
        <v>22000</v>
      </c>
      <c r="F37" s="5">
        <v>22000</v>
      </c>
      <c r="G37" s="39">
        <f t="shared" si="25"/>
        <v>22000</v>
      </c>
      <c r="H37" s="6">
        <f t="shared" si="25"/>
        <v>22000</v>
      </c>
      <c r="I37" s="6">
        <f t="shared" si="25"/>
        <v>22000</v>
      </c>
      <c r="J37" s="6">
        <f t="shared" si="25"/>
        <v>22000</v>
      </c>
    </row>
    <row r="38" spans="2:10">
      <c r="B38" s="1" t="s">
        <v>17</v>
      </c>
      <c r="C38" s="5">
        <v>15500</v>
      </c>
      <c r="D38" s="5">
        <v>13400</v>
      </c>
      <c r="E38" s="5">
        <v>13600</v>
      </c>
      <c r="F38" s="5">
        <v>11000</v>
      </c>
      <c r="G38" s="39">
        <f>F38*(1+G11)</f>
        <v>9856.971782453953</v>
      </c>
      <c r="H38" s="6">
        <f>G38*(1+H11)</f>
        <v>8832.7175200084966</v>
      </c>
      <c r="I38" s="6">
        <f>H38*(1+I11)</f>
        <v>7914.8952142827657</v>
      </c>
      <c r="J38" s="6">
        <f>I38*(1+J11)</f>
        <v>7092.4453443877328</v>
      </c>
    </row>
    <row r="39" spans="2:10">
      <c r="B39" s="1" t="s">
        <v>23</v>
      </c>
      <c r="C39" s="5">
        <v>23000</v>
      </c>
      <c r="D39" s="5">
        <v>29000</v>
      </c>
      <c r="E39" s="5">
        <v>16000</v>
      </c>
      <c r="F39" s="5">
        <v>25000</v>
      </c>
      <c r="G39" s="39">
        <f>G12*F22</f>
        <v>24907.399755540569</v>
      </c>
      <c r="H39" s="6">
        <f>H12*G22</f>
        <v>25368.414000508743</v>
      </c>
      <c r="I39" s="6">
        <f>I12*H22</f>
        <v>25837.9612170496</v>
      </c>
      <c r="J39" s="6">
        <f>J12*I22</f>
        <v>11188.986155836485</v>
      </c>
    </row>
    <row r="40" spans="2:10">
      <c r="B40" s="1" t="s">
        <v>18</v>
      </c>
      <c r="C40" s="5">
        <v>5000</v>
      </c>
      <c r="D40" s="5">
        <v>4000</v>
      </c>
      <c r="E40" s="5">
        <v>4000</v>
      </c>
      <c r="F40" s="5">
        <v>8000</v>
      </c>
      <c r="G40" s="39">
        <f>G16</f>
        <v>4000</v>
      </c>
      <c r="H40" s="6">
        <f t="shared" ref="H40:J40" si="26">H16</f>
        <v>4000</v>
      </c>
      <c r="I40" s="6">
        <f t="shared" si="26"/>
        <v>4000</v>
      </c>
      <c r="J40" s="6">
        <f t="shared" si="26"/>
        <v>4000</v>
      </c>
    </row>
    <row r="41" spans="2:10">
      <c r="B41" s="3" t="s">
        <v>22</v>
      </c>
      <c r="C41" s="7">
        <f>SUM(C35:C40)</f>
        <v>326560</v>
      </c>
      <c r="D41" s="7">
        <f t="shared" ref="D41:F41" si="27">SUM(D35:D40)</f>
        <v>334950</v>
      </c>
      <c r="E41" s="7">
        <f t="shared" si="27"/>
        <v>321710</v>
      </c>
      <c r="F41" s="7">
        <f t="shared" si="27"/>
        <v>346390</v>
      </c>
      <c r="G41" s="40">
        <f t="shared" ref="G41" si="28">SUM(G35:G40)</f>
        <v>345642.07781012921</v>
      </c>
      <c r="H41" s="7">
        <f t="shared" ref="H41" si="29">SUM(H35:H40)</f>
        <v>349278.14625052869</v>
      </c>
      <c r="I41" s="7">
        <f t="shared" ref="I41" si="30">SUM(I35:I40)</f>
        <v>353106.90515609307</v>
      </c>
      <c r="J41" s="7">
        <f t="shared" ref="J41" si="31">SUM(J35:J40)</f>
        <v>341991.67838850099</v>
      </c>
    </row>
    <row r="42" spans="2:10">
      <c r="C42" s="6"/>
      <c r="D42" s="6"/>
      <c r="E42" s="6"/>
      <c r="F42" s="6"/>
      <c r="G42" s="36"/>
    </row>
    <row r="43" spans="2:10" ht="18">
      <c r="B43" s="2" t="s">
        <v>6</v>
      </c>
      <c r="C43" s="26">
        <f>C24-C30-C41</f>
        <v>166440</v>
      </c>
      <c r="D43" s="26">
        <f t="shared" ref="D43:J43" si="32">D24-D30-D41</f>
        <v>156997.5</v>
      </c>
      <c r="E43" s="26">
        <f t="shared" si="32"/>
        <v>114330</v>
      </c>
      <c r="F43" s="26">
        <f t="shared" si="32"/>
        <v>140750</v>
      </c>
      <c r="G43" s="42">
        <f t="shared" si="32"/>
        <v>163796.25936288544</v>
      </c>
      <c r="H43" s="26">
        <f t="shared" si="32"/>
        <v>169589.45020586083</v>
      </c>
      <c r="I43" s="26">
        <f t="shared" si="32"/>
        <v>175364.47794870322</v>
      </c>
      <c r="J43" s="26">
        <f t="shared" si="32"/>
        <v>196261.24907903635</v>
      </c>
    </row>
    <row r="44" spans="2:10" ht="18">
      <c r="B44" s="2"/>
      <c r="C44" s="6"/>
      <c r="D44" s="6"/>
      <c r="E44" s="6"/>
      <c r="F44" s="6"/>
      <c r="G44" s="36"/>
    </row>
    <row r="45" spans="2:10">
      <c r="B45" s="1" t="s">
        <v>3</v>
      </c>
      <c r="C45" s="5">
        <v>40600</v>
      </c>
      <c r="D45" s="5">
        <v>40600</v>
      </c>
      <c r="E45" s="5">
        <v>40600</v>
      </c>
      <c r="F45" s="5">
        <v>40600</v>
      </c>
      <c r="G45" s="39">
        <f>G15*G14</f>
        <v>40600</v>
      </c>
      <c r="H45" s="6">
        <f t="shared" ref="H45:J45" si="33">H15*H14</f>
        <v>40600</v>
      </c>
      <c r="I45" s="6">
        <f t="shared" si="33"/>
        <v>40600</v>
      </c>
      <c r="J45" s="6">
        <f t="shared" si="33"/>
        <v>40600</v>
      </c>
    </row>
    <row r="46" spans="2:10">
      <c r="B46" s="1" t="s">
        <v>24</v>
      </c>
      <c r="C46" s="5">
        <v>4000</v>
      </c>
      <c r="D46" s="5">
        <v>4000</v>
      </c>
      <c r="E46" s="5">
        <v>4000</v>
      </c>
      <c r="F46" s="5">
        <v>4000</v>
      </c>
      <c r="G46" s="39">
        <f>G16</f>
        <v>4000</v>
      </c>
      <c r="H46" s="6">
        <f t="shared" ref="H46:J46" si="34">H16</f>
        <v>4000</v>
      </c>
      <c r="I46" s="6">
        <f t="shared" si="34"/>
        <v>4000</v>
      </c>
      <c r="J46" s="6">
        <f t="shared" si="34"/>
        <v>4000</v>
      </c>
    </row>
    <row r="47" spans="2:10">
      <c r="B47" s="1"/>
      <c r="C47" s="5"/>
      <c r="D47" s="5"/>
      <c r="E47" s="5"/>
      <c r="F47" s="5"/>
      <c r="G47" s="36"/>
    </row>
    <row r="48" spans="2:10" ht="18">
      <c r="B48" s="2" t="s">
        <v>25</v>
      </c>
      <c r="C48" s="27">
        <f>C43-C45-C46</f>
        <v>121840</v>
      </c>
      <c r="D48" s="27">
        <f t="shared" ref="D48:J48" si="35">D43-D45-D46</f>
        <v>112397.5</v>
      </c>
      <c r="E48" s="27">
        <f t="shared" si="35"/>
        <v>69730</v>
      </c>
      <c r="F48" s="27">
        <f t="shared" si="35"/>
        <v>96150</v>
      </c>
      <c r="G48" s="43">
        <f t="shared" si="35"/>
        <v>119196.25936288544</v>
      </c>
      <c r="H48" s="27">
        <f t="shared" si="35"/>
        <v>124989.45020586083</v>
      </c>
      <c r="I48" s="27">
        <f t="shared" si="35"/>
        <v>130764.47794870322</v>
      </c>
      <c r="J48" s="27">
        <f t="shared" si="35"/>
        <v>151661.24907903635</v>
      </c>
    </row>
    <row r="49" spans="2:11">
      <c r="B49" s="3"/>
      <c r="C49" s="6"/>
      <c r="D49" s="6"/>
      <c r="E49" s="6"/>
      <c r="F49" s="6"/>
      <c r="G49" s="36"/>
    </row>
    <row r="50" spans="2:11">
      <c r="B50" t="s">
        <v>4</v>
      </c>
      <c r="C50" s="6">
        <f>C22*0.0098</f>
        <v>9662.7999999999993</v>
      </c>
      <c r="D50" s="6">
        <f>D22*0.011</f>
        <v>11055</v>
      </c>
      <c r="E50" s="6">
        <f>E22*0.013</f>
        <v>12883</v>
      </c>
      <c r="F50" s="6">
        <f>F22*0.008</f>
        <v>8472</v>
      </c>
      <c r="G50" s="39">
        <f>G17*G18</f>
        <v>10518.2</v>
      </c>
      <c r="H50" s="6">
        <f t="shared" ref="H50:J50" si="36">H17*H18</f>
        <v>10518.2</v>
      </c>
      <c r="I50" s="6">
        <f t="shared" si="36"/>
        <v>10518.2</v>
      </c>
      <c r="J50" s="6">
        <f t="shared" si="36"/>
        <v>10518.2</v>
      </c>
    </row>
    <row r="51" spans="2:11">
      <c r="B51" t="s">
        <v>5</v>
      </c>
      <c r="C51" s="6">
        <f>(C48-C50)*C19</f>
        <v>39262.019999999997</v>
      </c>
      <c r="D51" s="6">
        <f t="shared" ref="D51:J51" si="37">(D48-D50)*D19</f>
        <v>21281.924999999999</v>
      </c>
      <c r="E51" s="6">
        <f t="shared" si="37"/>
        <v>11937.869999999999</v>
      </c>
      <c r="F51" s="6">
        <f t="shared" si="37"/>
        <v>18412.38</v>
      </c>
      <c r="G51" s="39">
        <f t="shared" si="37"/>
        <v>22822.39246620594</v>
      </c>
      <c r="H51" s="6">
        <f t="shared" si="37"/>
        <v>24038.962543230777</v>
      </c>
      <c r="I51" s="6">
        <f t="shared" si="37"/>
        <v>25251.718369227678</v>
      </c>
      <c r="J51" s="6">
        <f t="shared" si="37"/>
        <v>29640.040306597632</v>
      </c>
    </row>
    <row r="52" spans="2:11">
      <c r="C52" s="6"/>
      <c r="D52" s="6"/>
      <c r="E52" s="6"/>
      <c r="F52" s="6"/>
      <c r="G52" s="36"/>
    </row>
    <row r="53" spans="2:11" ht="18.75" thickBot="1">
      <c r="B53" s="2" t="s">
        <v>26</v>
      </c>
      <c r="C53" s="29">
        <f>C48-C50-C51</f>
        <v>72915.179999999993</v>
      </c>
      <c r="D53" s="29">
        <f t="shared" ref="D53:J53" si="38">D48-D50-D51</f>
        <v>80060.574999999997</v>
      </c>
      <c r="E53" s="29">
        <f t="shared" si="38"/>
        <v>44909.130000000005</v>
      </c>
      <c r="F53" s="29">
        <f t="shared" si="38"/>
        <v>69265.62</v>
      </c>
      <c r="G53" s="44">
        <f t="shared" si="38"/>
        <v>85855.666896679497</v>
      </c>
      <c r="H53" s="29">
        <f t="shared" si="38"/>
        <v>90432.287662630057</v>
      </c>
      <c r="I53" s="29">
        <f t="shared" si="38"/>
        <v>94994.55957947555</v>
      </c>
      <c r="J53" s="29">
        <f t="shared" si="38"/>
        <v>111503.00877243871</v>
      </c>
    </row>
    <row r="54" spans="2:11" ht="13.5" thickTop="1">
      <c r="B54" s="21" t="s">
        <v>29</v>
      </c>
      <c r="C54" s="48">
        <f>C53/C24</f>
        <v>7.7842617700437697E-2</v>
      </c>
      <c r="D54" s="48">
        <f t="shared" ref="D54:F54" si="39">D53/D24</f>
        <v>8.3459679079719268E-2</v>
      </c>
      <c r="E54" s="48">
        <f t="shared" si="39"/>
        <v>4.8467361332203744E-2</v>
      </c>
      <c r="F54" s="48">
        <f t="shared" si="39"/>
        <v>6.8849083047562237E-2</v>
      </c>
      <c r="G54" s="51">
        <f t="shared" ref="G54" si="40">G53/G24</f>
        <v>8.4020673868102538E-2</v>
      </c>
      <c r="H54" s="48">
        <f t="shared" ref="H54" si="41">H53/H24</f>
        <v>8.6891198234028563E-2</v>
      </c>
      <c r="I54" s="48">
        <f t="shared" ref="I54" si="42">I53/I24</f>
        <v>8.9616107649416285E-2</v>
      </c>
      <c r="J54" s="48">
        <f t="shared" ref="J54" si="43">J53/J24</f>
        <v>0.10327828186758016</v>
      </c>
      <c r="K54" s="57" t="str">
        <f>IF(J54&gt;0.1,"ROS Acceptable","ROS Not Acceptable")</f>
        <v>ROS Acceptable</v>
      </c>
    </row>
  </sheetData>
  <conditionalFormatting sqref="K54">
    <cfRule type="cellIs" dxfId="1" priority="1" operator="equal">
      <formula>"ROS Acceptable"</formula>
    </cfRule>
    <cfRule type="cellIs" dxfId="0" priority="2" operator="equal">
      <formula>"ROS Not Acceptable"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 Year IS Model</vt:lpstr>
      <vt:lpstr>Completed 4 Year IS 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Designer</dc:creator>
  <cp:lastModifiedBy>Ryan Evans</cp:lastModifiedBy>
  <dcterms:created xsi:type="dcterms:W3CDTF">2019-09-10T18:31:51Z</dcterms:created>
  <dcterms:modified xsi:type="dcterms:W3CDTF">2025-02-13T15:53:12Z</dcterms:modified>
</cp:coreProperties>
</file>