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ueyL\Desktop\Foresight\Property Investing Tool\"/>
    </mc:Choice>
  </mc:AlternateContent>
  <xr:revisionPtr revIDLastSave="0" documentId="13_ncr:1_{D34E7FE4-53CE-4C19-A665-3305CA3A7F05}" xr6:coauthVersionLast="47" xr6:coauthVersionMax="47" xr10:uidLastSave="{00000000-0000-0000-0000-000000000000}"/>
  <bookViews>
    <workbookView xWindow="28680" yWindow="-120" windowWidth="29040" windowHeight="15720" xr2:uid="{8F848E7B-3016-493D-B507-17B0924CE212}"/>
  </bookViews>
  <sheets>
    <sheet name="Property 1 Address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4" i="3" l="1"/>
  <c r="Y24" i="3"/>
  <c r="X24" i="3"/>
  <c r="W24" i="3"/>
  <c r="V24" i="3"/>
  <c r="U24" i="3"/>
  <c r="T24" i="3"/>
  <c r="S24" i="3"/>
  <c r="R24" i="3"/>
  <c r="Q24" i="3"/>
  <c r="Z23" i="3"/>
  <c r="Y23" i="3"/>
  <c r="X23" i="3"/>
  <c r="W23" i="3"/>
  <c r="V23" i="3"/>
  <c r="U23" i="3"/>
  <c r="T23" i="3"/>
  <c r="S23" i="3"/>
  <c r="R23" i="3"/>
  <c r="Q23" i="3"/>
  <c r="C23" i="3"/>
  <c r="Z22" i="3"/>
  <c r="Y22" i="3"/>
  <c r="X22" i="3"/>
  <c r="W22" i="3"/>
  <c r="V22" i="3"/>
  <c r="U22" i="3"/>
  <c r="T22" i="3"/>
  <c r="S22" i="3"/>
  <c r="R22" i="3"/>
  <c r="Q22" i="3"/>
  <c r="X21" i="3"/>
  <c r="W21" i="3"/>
  <c r="V21" i="3"/>
  <c r="U21" i="3"/>
  <c r="Z18" i="3"/>
  <c r="Z21" i="3" s="1"/>
  <c r="Y18" i="3"/>
  <c r="Y21" i="3" s="1"/>
  <c r="X18" i="3"/>
  <c r="W18" i="3"/>
  <c r="V18" i="3"/>
  <c r="U18" i="3"/>
  <c r="T18" i="3"/>
  <c r="T21" i="3" s="1"/>
  <c r="S18" i="3"/>
  <c r="S21" i="3" s="1"/>
  <c r="R18" i="3"/>
  <c r="R21" i="3" s="1"/>
  <c r="Q18" i="3"/>
  <c r="Q21" i="3" s="1"/>
  <c r="Z17" i="3"/>
  <c r="Y17" i="3"/>
  <c r="X17" i="3"/>
  <c r="W17" i="3"/>
  <c r="V17" i="3"/>
  <c r="U17" i="3"/>
  <c r="T17" i="3"/>
  <c r="S17" i="3"/>
  <c r="R17" i="3"/>
  <c r="Q17" i="3"/>
  <c r="M17" i="3"/>
  <c r="Z16" i="3"/>
  <c r="Y16" i="3"/>
  <c r="X16" i="3"/>
  <c r="W16" i="3"/>
  <c r="V16" i="3"/>
  <c r="U16" i="3"/>
  <c r="T16" i="3"/>
  <c r="S16" i="3"/>
  <c r="R16" i="3"/>
  <c r="Q16" i="3"/>
  <c r="J16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J15" i="3"/>
  <c r="H15" i="3"/>
  <c r="G15" i="3"/>
  <c r="C14" i="3"/>
  <c r="G17" i="3" s="1"/>
  <c r="C9" i="3"/>
  <c r="F7" i="3" s="1"/>
  <c r="F24" i="3" s="1"/>
  <c r="C8" i="3"/>
  <c r="XEX5" i="3"/>
  <c r="Z4" i="3"/>
  <c r="Y4" i="3"/>
  <c r="X4" i="3"/>
  <c r="W4" i="3"/>
  <c r="V4" i="3"/>
  <c r="U4" i="3"/>
  <c r="T4" i="3"/>
  <c r="S4" i="3"/>
  <c r="R4" i="3"/>
  <c r="Q4" i="3"/>
  <c r="F4" i="3"/>
  <c r="G4" i="3" s="1"/>
  <c r="F3" i="3" a="1"/>
  <c r="H4" i="3" l="1"/>
  <c r="H17" i="3"/>
  <c r="H18" i="3" s="1"/>
  <c r="P17" i="3"/>
  <c r="I15" i="3"/>
  <c r="M16" i="3"/>
  <c r="M18" i="3" s="1"/>
  <c r="I17" i="3"/>
  <c r="O17" i="3"/>
  <c r="N16" i="3"/>
  <c r="J17" i="3"/>
  <c r="J18" i="3" s="1"/>
  <c r="N18" i="3"/>
  <c r="N21" i="3" s="1"/>
  <c r="G23" i="3"/>
  <c r="K17" i="3"/>
  <c r="G18" i="3"/>
  <c r="O18" i="3"/>
  <c r="H23" i="3"/>
  <c r="N17" i="3"/>
  <c r="K15" i="3"/>
  <c r="G16" i="3"/>
  <c r="O16" i="3"/>
  <c r="F3" i="3"/>
  <c r="L15" i="3"/>
  <c r="L16" i="3" s="1"/>
  <c r="H16" i="3"/>
  <c r="P16" i="3"/>
  <c r="L17" i="3"/>
  <c r="P18" i="3"/>
  <c r="M21" i="3" l="1"/>
  <c r="M22" i="3"/>
  <c r="H21" i="3"/>
  <c r="H22" i="3" s="1"/>
  <c r="H24" i="3" s="1"/>
  <c r="J21" i="3"/>
  <c r="J22" i="3"/>
  <c r="O21" i="3"/>
  <c r="O22" i="3" s="1"/>
  <c r="P22" i="3"/>
  <c r="P21" i="3"/>
  <c r="G21" i="3"/>
  <c r="G22" i="3"/>
  <c r="G24" i="3" s="1"/>
  <c r="I16" i="3"/>
  <c r="I18" i="3" s="1"/>
  <c r="I4" i="3"/>
  <c r="N22" i="3"/>
  <c r="K16" i="3"/>
  <c r="K18" i="3"/>
  <c r="L18" i="3"/>
  <c r="I21" i="3" l="1"/>
  <c r="I22" i="3" s="1"/>
  <c r="I24" i="3" s="1"/>
  <c r="I23" i="3"/>
  <c r="J4" i="3"/>
  <c r="L21" i="3"/>
  <c r="L22" i="3" s="1"/>
  <c r="K21" i="3"/>
  <c r="K22" i="3"/>
  <c r="J24" i="3" l="1"/>
  <c r="K4" i="3"/>
  <c r="J23" i="3"/>
  <c r="K24" i="3" l="1"/>
  <c r="K23" i="3"/>
  <c r="L4" i="3"/>
  <c r="L23" i="3" l="1"/>
  <c r="L24" i="3"/>
  <c r="M4" i="3"/>
  <c r="N4" i="3" l="1"/>
  <c r="M24" i="3"/>
  <c r="M23" i="3"/>
  <c r="N24" i="3" l="1"/>
  <c r="O4" i="3"/>
  <c r="N23" i="3"/>
  <c r="P4" i="3" l="1"/>
  <c r="O24" i="3"/>
  <c r="O23" i="3"/>
  <c r="C22" i="3" a="1"/>
  <c r="C22" i="3" l="1"/>
  <c r="C24" i="3" s="1"/>
  <c r="C25" i="3" s="1"/>
  <c r="C26" i="3" s="1"/>
  <c r="P24" i="3" l="1"/>
  <c r="P23" i="3"/>
  <c r="F29" i="3" a="1"/>
  <c r="F2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Hubert Lin</author>
  </authors>
  <commentList>
    <comment ref="C7" authorId="0" shapeId="0" xr:uid="{6EC969EE-FF76-403B-B963-DB8140B4992E}">
      <text>
        <r>
          <rPr>
            <b/>
            <sz val="9"/>
            <color indexed="81"/>
            <rFont val="Tahoma"/>
            <family val="2"/>
          </rPr>
          <t xml:space="preserve">NSW ~ 4% </t>
        </r>
      </text>
    </comment>
    <comment ref="C10" authorId="0" shapeId="0" xr:uid="{A6345791-AED5-4B17-9901-C780AD5A555D}">
      <text>
        <r>
          <rPr>
            <b/>
            <sz val="9"/>
            <color indexed="81"/>
            <rFont val="Tahoma"/>
            <family val="2"/>
          </rPr>
          <t>Conveyancing `1,500
Bank ~ 800
Council Searches ~ 1,000
B&amp;P ~ 700</t>
        </r>
      </text>
    </comment>
    <comment ref="E11" authorId="0" shapeId="0" xr:uid="{41AFB07A-8B88-489A-8F0B-272FD4C0B478}">
      <text>
        <r>
          <rPr>
            <b/>
            <sz val="9"/>
            <color indexed="81"/>
            <rFont val="Tahoma"/>
            <family val="2"/>
          </rPr>
          <t>Estimated through Reserve Bank of Australia's cash rate</t>
        </r>
      </text>
    </comment>
    <comment ref="E12" authorId="0" shapeId="0" xr:uid="{6183FFFB-C854-483B-97BF-FF08BDDCBDFD}">
      <text>
        <r>
          <rPr>
            <b/>
            <sz val="9"/>
            <color indexed="81"/>
            <rFont val="Tahoma"/>
            <family val="2"/>
          </rPr>
          <t>Depreciation Schedule</t>
        </r>
      </text>
    </comment>
    <comment ref="C13" authorId="0" shapeId="0" xr:uid="{DD8E9C5F-5968-4509-BB7B-6263B0BD2A0D}">
      <text>
        <r>
          <rPr>
            <b/>
            <sz val="9"/>
            <color indexed="81"/>
            <rFont val="Tahoma"/>
            <family val="2"/>
          </rPr>
          <t xml:space="preserve">Expense/Income ratio from the latesat annual summary </t>
        </r>
      </text>
    </comment>
    <comment ref="E15" authorId="0" shapeId="0" xr:uid="{AD7D4D58-879B-4FB5-97E8-752A8F5779AB}">
      <text>
        <r>
          <rPr>
            <b/>
            <sz val="9"/>
            <color indexed="81"/>
            <rFont val="Tahoma"/>
            <family val="2"/>
          </rPr>
          <t>From rental annual summary</t>
        </r>
      </text>
    </comment>
    <comment ref="E16" authorId="0" shapeId="0" xr:uid="{4CA43D6B-3EF7-4576-907C-A14CB905F1F7}">
      <text>
        <r>
          <rPr>
            <b/>
            <sz val="9"/>
            <color indexed="81"/>
            <rFont val="Tahoma"/>
            <family val="2"/>
          </rPr>
          <t>From rental annual summary</t>
        </r>
      </text>
    </comment>
    <comment ref="C24" authorId="0" shapeId="0" xr:uid="{D2987AD2-8F61-44DC-A595-20F3A92F22C6}">
      <text>
        <r>
          <rPr>
            <b/>
            <sz val="9"/>
            <color indexed="81"/>
            <rFont val="Tahoma"/>
            <family val="2"/>
          </rPr>
          <t>Purchase cost - depreciation claimed while holding the property</t>
        </r>
      </text>
    </comment>
    <comment ref="C25" authorId="0" shapeId="0" xr:uid="{43488592-052E-4FCB-B37A-B63BB0743112}">
      <text>
        <r>
          <rPr>
            <b/>
            <sz val="9"/>
            <color indexed="81"/>
            <rFont val="Tahoma"/>
            <family val="2"/>
          </rPr>
          <t>50% CGT benefit after holding &gt;12 months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<sst xmlns="http://schemas.openxmlformats.org/spreadsheetml/2006/main" count="51" uniqueCount="39">
  <si>
    <t>PROPERTY INVESTMENT ANALYSIS (IRR)</t>
  </si>
  <si>
    <t>Entry Cost Parameter</t>
  </si>
  <si>
    <t>Purchase year</t>
  </si>
  <si>
    <t>Year</t>
  </si>
  <si>
    <t>Purchase Price</t>
  </si>
  <si>
    <t xml:space="preserve">LVR </t>
  </si>
  <si>
    <t>Investment Cost</t>
  </si>
  <si>
    <t>Stamp Duty (NSW)</t>
  </si>
  <si>
    <t>Property initial enty cost</t>
  </si>
  <si>
    <t>Deposit</t>
  </si>
  <si>
    <t>Stamp Duty</t>
  </si>
  <si>
    <t>Parameters</t>
  </si>
  <si>
    <t>Other Buying Cost (Legal, Bank, Searchs)</t>
  </si>
  <si>
    <t>Weekly Rent</t>
  </si>
  <si>
    <t>NA</t>
  </si>
  <si>
    <t>Interest Rate (I&amp;O)</t>
  </si>
  <si>
    <t>Holding Cost Parameter</t>
  </si>
  <si>
    <t>Depreciation Claimed</t>
  </si>
  <si>
    <t>Rental Expenes (% of rental income)</t>
  </si>
  <si>
    <t>Borrowing</t>
  </si>
  <si>
    <t>Pre-Tax Cashflow</t>
  </si>
  <si>
    <t>Marginal Tax- Claiming Deduction</t>
  </si>
  <si>
    <t>Income (Gross Rent)</t>
  </si>
  <si>
    <t>Rental Expenses</t>
  </si>
  <si>
    <t>Exit Parameter</t>
  </si>
  <si>
    <t>Financial Expenses</t>
  </si>
  <si>
    <t>Sell year</t>
  </si>
  <si>
    <t>Sell price</t>
  </si>
  <si>
    <t>Sales cost</t>
  </si>
  <si>
    <t>Post-Tax Cashflow</t>
  </si>
  <si>
    <t>Maringal Tax - selling year</t>
  </si>
  <si>
    <t>Tax Return</t>
  </si>
  <si>
    <t>Remaining Cash after Sells</t>
  </si>
  <si>
    <t>Sell Remaining Cash no Loan</t>
  </si>
  <si>
    <t>Cost Base</t>
  </si>
  <si>
    <t>Post-tax Cashflow</t>
  </si>
  <si>
    <t xml:space="preserve">Remaining Cash after CGT </t>
  </si>
  <si>
    <t>Remaining Cash no Loan</t>
  </si>
  <si>
    <t>Interal Rate of Return (IRR)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</si>
</sst>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#,##0.00;[Red]\(#,##0.00\)"/>
    <numFmt numFmtId="165" formatCode="\+\ 0.00%;\-\ 0.00%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Aptos Narrow"/>
      <family val="2"/>
      <scheme val="minor"/>
    </font>
    <font>
      <b/>
      <u val="double"/>
      <sz val="11"/>
      <name val="Aptos Narrow"/>
      <family val="2"/>
      <scheme val="minor"/>
    </font>
    <font>
      <b/>
      <u/>
      <sz val="11"/>
      <name val="Aptos Narrow"/>
      <family val="2"/>
      <scheme val="minor"/>
    </font>
    <font>
      <b/>
      <u val="double"/>
      <sz val="14"/>
      <color theme="0"/>
      <name val="Aptos Narrow"/>
      <family val="2"/>
      <scheme val="minor"/>
    </font>
    <font>
      <sz val="14"/>
      <color theme="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1" applyNumberFormat="0" applyAlignment="0" applyProtection="0"/>
  </cellStyleXfs>
  <cellXfs count="44">
    <xf numFmtId="0" fontId="0" fillId="0" borderId="0" xfId="0"/>
    <xf numFmtId="0" fontId="0" fillId="0" borderId="0" xfId="0" applyAlignment="1">
      <alignment horizontal="right"/>
    </xf>
    <xf numFmtId="8" fontId="0" fillId="0" borderId="0" xfId="0" applyNumberFormat="1" applyAlignment="1">
      <alignment horizontal="right"/>
    </xf>
    <xf numFmtId="0" fontId="11" fillId="0" borderId="0" xfId="0" applyFont="1" applyAlignment="1">
      <alignment horizontal="left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5" borderId="5" xfId="0" applyFill="1" applyBorder="1" applyAlignment="1">
      <alignment horizontal="right"/>
    </xf>
    <xf numFmtId="10" fontId="7" fillId="5" borderId="5" xfId="3" applyNumberFormat="1" applyFont="1" applyFill="1" applyBorder="1" applyAlignment="1">
      <alignment horizontal="right"/>
    </xf>
    <xf numFmtId="164" fontId="0" fillId="5" borderId="5" xfId="0" applyNumberFormat="1" applyFill="1" applyBorder="1" applyAlignment="1">
      <alignment horizontal="right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right"/>
    </xf>
    <xf numFmtId="164" fontId="5" fillId="0" borderId="7" xfId="0" applyNumberFormat="1" applyFont="1" applyBorder="1" applyAlignment="1">
      <alignment horizontal="right"/>
    </xf>
    <xf numFmtId="0" fontId="0" fillId="5" borderId="6" xfId="0" applyFill="1" applyBorder="1" applyAlignment="1">
      <alignment horizontal="right"/>
    </xf>
    <xf numFmtId="10" fontId="7" fillId="5" borderId="6" xfId="3" applyNumberFormat="1" applyFont="1" applyFill="1" applyBorder="1" applyAlignment="1">
      <alignment horizontal="right"/>
    </xf>
    <xf numFmtId="164" fontId="0" fillId="5" borderId="6" xfId="0" applyNumberFormat="1" applyFill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0" fontId="11" fillId="0" borderId="6" xfId="0" applyFont="1" applyBorder="1" applyAlignment="1">
      <alignment horizontal="left"/>
    </xf>
    <xf numFmtId="0" fontId="0" fillId="0" borderId="9" xfId="0" applyBorder="1" applyAlignment="1">
      <alignment horizontal="right"/>
    </xf>
    <xf numFmtId="0" fontId="6" fillId="0" borderId="0" xfId="0" applyFont="1"/>
    <xf numFmtId="0" fontId="7" fillId="4" borderId="6" xfId="0" applyFont="1" applyFill="1" applyBorder="1" applyAlignment="1">
      <alignment horizontal="right"/>
    </xf>
    <xf numFmtId="0" fontId="8" fillId="4" borderId="7" xfId="0" applyFont="1" applyFill="1" applyBorder="1" applyAlignment="1">
      <alignment horizontal="right"/>
    </xf>
    <xf numFmtId="164" fontId="6" fillId="0" borderId="6" xfId="0" applyNumberFormat="1" applyFont="1" applyBorder="1" applyAlignment="1">
      <alignment horizontal="right"/>
    </xf>
    <xf numFmtId="0" fontId="7" fillId="4" borderId="8" xfId="0" applyFont="1" applyFill="1" applyBorder="1" applyAlignment="1">
      <alignment horizontal="right"/>
    </xf>
    <xf numFmtId="0" fontId="7" fillId="4" borderId="3" xfId="0" applyFont="1" applyFill="1" applyBorder="1" applyAlignment="1">
      <alignment horizontal="right"/>
    </xf>
    <xf numFmtId="0" fontId="7" fillId="4" borderId="2" xfId="0" applyFont="1" applyFill="1" applyBorder="1" applyAlignment="1">
      <alignment horizontal="right"/>
    </xf>
    <xf numFmtId="0" fontId="7" fillId="4" borderId="8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2" xfId="0" applyFont="1" applyFill="1" applyBorder="1" applyAlignment="1">
      <alignment horizontal="right" vertical="center"/>
    </xf>
    <xf numFmtId="0" fontId="9" fillId="4" borderId="3" xfId="0" applyFont="1" applyFill="1" applyBorder="1" applyAlignment="1">
      <alignment horizontal="right" vertical="center"/>
    </xf>
    <xf numFmtId="0" fontId="7" fillId="5" borderId="9" xfId="3" applyFont="1" applyFill="1" applyBorder="1"/>
    <xf numFmtId="44" fontId="7" fillId="5" borderId="6" xfId="3" applyNumberFormat="1" applyFont="1" applyFill="1" applyBorder="1"/>
    <xf numFmtId="9" fontId="7" fillId="5" borderId="6" xfId="3" applyNumberFormat="1" applyFont="1" applyFill="1" applyBorder="1"/>
    <xf numFmtId="44" fontId="7" fillId="0" borderId="6" xfId="4" applyNumberFormat="1" applyFont="1" applyFill="1" applyBorder="1"/>
    <xf numFmtId="44" fontId="7" fillId="0" borderId="4" xfId="4" applyNumberFormat="1" applyFont="1" applyFill="1" applyBorder="1"/>
    <xf numFmtId="9" fontId="7" fillId="5" borderId="9" xfId="2" applyFont="1" applyFill="1" applyBorder="1"/>
    <xf numFmtId="44" fontId="7" fillId="5" borderId="6" xfId="1" applyFont="1" applyFill="1" applyBorder="1"/>
    <xf numFmtId="9" fontId="7" fillId="5" borderId="4" xfId="2" applyFont="1" applyFill="1" applyBorder="1"/>
    <xf numFmtId="8" fontId="7" fillId="0" borderId="6" xfId="4" applyNumberFormat="1" applyFont="1" applyFill="1" applyBorder="1"/>
    <xf numFmtId="0" fontId="13" fillId="6" borderId="0" xfId="0" applyFont="1" applyFill="1" applyAlignment="1">
      <alignment horizontal="left"/>
    </xf>
    <xf numFmtId="0" fontId="0" fillId="6" borderId="0" xfId="0" applyFill="1" applyAlignment="1">
      <alignment horizontal="centerContinuous"/>
    </xf>
    <xf numFmtId="0" fontId="10" fillId="4" borderId="7" xfId="0" applyFont="1" applyFill="1" applyBorder="1" applyAlignment="1">
      <alignment horizontal="right" vertical="center"/>
    </xf>
    <xf numFmtId="165" fontId="12" fillId="6" borderId="7" xfId="0" applyNumberFormat="1" applyFont="1" applyFill="1" applyBorder="1" applyAlignment="1">
      <alignment horizontal="right" vertical="center"/>
    </xf>
    <xf numFmtId="0" fontId="7" fillId="4" borderId="9" xfId="0" applyFont="1" applyFill="1" applyBorder="1" applyAlignment="1">
      <alignment horizontal="right" vertical="center"/>
    </xf>
  </cellXfs>
  <cellStyles count="5">
    <cellStyle name="Calculation" xfId="4" builtinId="22"/>
    <cellStyle name="Currency" xfId="1" builtinId="4"/>
    <cellStyle name="Input" xfId="3" builtinId="20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547688</xdr:colOff>
      <xdr:row>30</xdr:row>
      <xdr:rowOff>35720</xdr:rowOff>
    </xdr:from>
    <xdr:to>
      <xdr:col>15</xdr:col>
      <xdr:colOff>392907</xdr:colOff>
      <xdr:row>39</xdr:row>
      <xdr:rowOff>130970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8253DE0-3871-42A9-84D1-FA3B30A90156}"/>
            </a:ext>
          </a:extLst>
        </xdr:cNvPr>
        <xdr:cNvSpPr txBox="1"/>
      </xdr:nvSpPr>
      <xdr:spPr>
        <a:xfrm>
          <a:off x="10768013" y="5845970"/>
          <a:ext cx="3417094" cy="1809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altLang="zh-CN" sz="1100" b="1"/>
            <a:t>NOTE</a:t>
          </a:r>
          <a:r>
            <a:rPr lang="en-AU" altLang="zh-CN" sz="1100" b="1" baseline="0"/>
            <a:t> </a:t>
          </a:r>
          <a:r>
            <a:rPr lang="en-AU" altLang="zh-CN" sz="1100" baseline="0"/>
            <a:t>- </a:t>
          </a:r>
          <a:r>
            <a:rPr lang="en-US" altLang="zh-CN" sz="1100" baseline="0"/>
            <a:t>ALL grey filled cells requires data input and white cells are calculated field with formulas.</a:t>
          </a:r>
        </a:p>
        <a:p>
          <a:endParaRPr lang="en-US" sz="1100" baseline="0"/>
        </a:p>
        <a:p>
          <a:r>
            <a:rPr lang="en-AU" sz="1100" b="1" u="sng"/>
            <a:t>INSTRUCTION:</a:t>
          </a:r>
        </a:p>
        <a:p>
          <a:r>
            <a:rPr lang="en-AU" sz="1100"/>
            <a:t>1.</a:t>
          </a:r>
          <a:r>
            <a:rPr lang="en-AU" sz="1100" baseline="0"/>
            <a:t> Fill out grey cells on Column C, see cell notes on where to obtain the data . </a:t>
          </a:r>
        </a:p>
        <a:p>
          <a:r>
            <a:rPr lang="en-AU" sz="1100" baseline="0"/>
            <a:t>2. Fill out grey cells on the Cashflow table; Weekly rent, Interest Rate (I&amp;O) and Depreciation claimed </a:t>
          </a:r>
        </a:p>
        <a:p>
          <a:r>
            <a:rPr lang="en-AU" sz="1100" baseline="0"/>
            <a:t>3. Done and analyse the green filled IRR cell. </a:t>
          </a:r>
          <a:endParaRPr lang="en-AU" sz="1100"/>
        </a:p>
      </xdr:txBody>
    </xdr:sp>
    <xdr:clientData/>
  </xdr:twoCellAnchor>
  <xdr:twoCellAnchor>
    <xdr:from>
      <xdr:col>1</xdr:col>
      <xdr:colOff>369093</xdr:colOff>
      <xdr:row>33</xdr:row>
      <xdr:rowOff>127158</xdr:rowOff>
    </xdr:from>
    <xdr:to>
      <xdr:col>9</xdr:col>
      <xdr:colOff>240387</xdr:colOff>
      <xdr:row>38</xdr:row>
      <xdr:rowOff>127158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874641-27FB-4DD3-A7A8-3480FA21D40D}"/>
            </a:ext>
          </a:extLst>
        </xdr:cNvPr>
        <xdr:cNvSpPr txBox="1"/>
      </xdr:nvSpPr>
      <xdr:spPr>
        <a:xfrm>
          <a:off x="511968" y="6116002"/>
          <a:ext cx="9527263" cy="8929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>
              <a:solidFill>
                <a:srgbClr val="FF0000"/>
              </a:solidFill>
            </a:rPr>
            <a:t>TERMS &amp; CONDITIONS: </a:t>
          </a:r>
        </a:p>
        <a:p>
          <a:endParaRPr lang="en-AU" sz="1100">
            <a:solidFill>
              <a:srgbClr val="FF0000"/>
            </a:solidFill>
          </a:endParaRPr>
        </a:p>
        <a:p>
          <a:r>
            <a:rPr lang="en-AU" sz="1100">
              <a:solidFill>
                <a:srgbClr val="FF0000"/>
              </a:solidFill>
            </a:rPr>
            <a:t>1. FORESIGHT</a:t>
          </a:r>
          <a:r>
            <a:rPr lang="en-AU" sz="1100" baseline="0">
              <a:solidFill>
                <a:srgbClr val="FF0000"/>
              </a:solidFill>
            </a:rPr>
            <a:t> PROPERTY</a:t>
          </a:r>
          <a:r>
            <a:rPr lang="en-AU" sz="1100">
              <a:solidFill>
                <a:srgbClr val="FF0000"/>
              </a:solidFill>
            </a:rPr>
            <a:t>- All rights reserved. Do not share, copy, reproduce or sell any part of this document unless you have written permission from Foresight</a:t>
          </a:r>
          <a:r>
            <a:rPr lang="en-AU" sz="1100" baseline="0">
              <a:solidFill>
                <a:srgbClr val="FF0000"/>
              </a:solidFill>
            </a:rPr>
            <a:t> Property</a:t>
          </a:r>
          <a:r>
            <a:rPr lang="en-AU" sz="1100">
              <a:solidFill>
                <a:srgbClr val="FF0000"/>
              </a:solidFill>
            </a:rPr>
            <a:t>.</a:t>
          </a:r>
        </a:p>
        <a:p>
          <a:r>
            <a:rPr lang="en-AU" sz="1100">
              <a:solidFill>
                <a:srgbClr val="FF0000"/>
              </a:solidFill>
            </a:rPr>
            <a:t> All infringements will be prosecuted. </a:t>
          </a:r>
        </a:p>
      </xdr:txBody>
    </xdr:sp>
    <xdr:clientData/>
  </xdr:twoCellAnchor>
  <xdr:twoCellAnchor editAs="oneCell">
    <xdr:from>
      <xdr:col>1</xdr:col>
      <xdr:colOff>412909</xdr:colOff>
      <xdr:row>39</xdr:row>
      <xdr:rowOff>95251</xdr:rowOff>
    </xdr:from>
    <xdr:to>
      <xdr:col>1</xdr:col>
      <xdr:colOff>2119789</xdr:colOff>
      <xdr:row>44</xdr:row>
      <xdr:rowOff>55721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D38597B-F2DF-4FAB-91B5-5A4212F1CB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798" b="21959"/>
        <a:stretch/>
      </xdr:blipFill>
      <xdr:spPr>
        <a:xfrm>
          <a:off x="555784" y="7155657"/>
          <a:ext cx="1706880" cy="853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s://www.realestate.com.au/home-loans/stamp-duty-calculator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94492-1D33-4AB0-939E-A4559202E6D9}">
  <sheetPr>
    <tabColor theme="7" tint="0.79998168889431442"/>
  </sheetPr>
  <dimension ref="B1:XEX47"/>
  <sheetViews>
    <sheetView showGridLines="0" tabSelected="1" zoomScale="80" zoomScaleNormal="80" workbookViewId="0">
      <selection activeCell="E43" sqref="E43"/>
    </sheetView>
  </sheetViews>
  <sheetFormatPr defaultColWidth="0" defaultRowHeight="14.4" zeroHeight="1" x14ac:dyDescent="0.3"/>
  <cols>
    <col min="1" max="1" width="2.109375" customWidth="1"/>
    <col min="2" max="2" width="36.109375" bestFit="1" customWidth="1"/>
    <col min="3" max="3" width="14.88671875" bestFit="1" customWidth="1"/>
    <col min="4" max="4" width="11.5546875" bestFit="1" customWidth="1"/>
    <col min="5" max="5" width="27.44140625" bestFit="1" customWidth="1"/>
    <col min="6" max="6" width="16.5546875" customWidth="1"/>
    <col min="7" max="9" width="11.33203125" bestFit="1" customWidth="1"/>
    <col min="10" max="16" width="10.6640625" customWidth="1"/>
    <col min="17" max="18" width="11.33203125" bestFit="1" customWidth="1"/>
    <col min="19" max="26" width="10.6640625" customWidth="1"/>
    <col min="27" max="28" width="8.88671875" customWidth="1"/>
    <col min="16379" max="16384" width="8.88671875" hidden="1"/>
  </cols>
  <sheetData>
    <row r="1" spans="2:26 16378:16378" ht="18" x14ac:dyDescent="0.35">
      <c r="B1" s="39" t="s">
        <v>0</v>
      </c>
      <c r="C1" s="40"/>
    </row>
    <row r="2" spans="2:26 16378:16378" x14ac:dyDescent="0.3"/>
    <row r="3" spans="2:26 16378:16378" x14ac:dyDescent="0.3">
      <c r="B3" s="3" t="s">
        <v>1</v>
      </c>
      <c r="F3" s="19" cm="1">
        <f t="array" ref="F3:P3">TRANSPOSE(_xlfn.SEQUENCE(C18-C4+1)-1)</f>
        <v>0</v>
      </c>
      <c r="G3" s="19">
        <v>1</v>
      </c>
      <c r="H3" s="19">
        <v>2</v>
      </c>
      <c r="I3" s="19">
        <v>3</v>
      </c>
      <c r="J3" s="19">
        <v>4</v>
      </c>
      <c r="K3" s="19">
        <v>5</v>
      </c>
      <c r="L3" s="19">
        <v>6</v>
      </c>
      <c r="M3" s="19">
        <v>7</v>
      </c>
      <c r="N3" s="19">
        <v>8</v>
      </c>
      <c r="O3" s="19">
        <v>9</v>
      </c>
      <c r="P3" s="19">
        <v>10</v>
      </c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2:26 16378:16378" x14ac:dyDescent="0.3">
      <c r="B4" s="23" t="s">
        <v>2</v>
      </c>
      <c r="C4" s="30">
        <v>2014</v>
      </c>
      <c r="E4" s="43" t="s">
        <v>3</v>
      </c>
      <c r="F4" s="18">
        <f>C4</f>
        <v>2014</v>
      </c>
      <c r="G4" s="18">
        <f>IF(G3&lt;&gt;"",F4+1,"")</f>
        <v>2015</v>
      </c>
      <c r="H4" s="18">
        <f>IF(H3&lt;&gt;"",G4+1,"")</f>
        <v>2016</v>
      </c>
      <c r="I4" s="18">
        <f>IF(I3&lt;&gt;"",H4+1,"")</f>
        <v>2017</v>
      </c>
      <c r="J4" s="18">
        <f>IF(J3&lt;&gt;"",I4+1,"")</f>
        <v>2018</v>
      </c>
      <c r="K4" s="18">
        <f>IF(K3&lt;&gt;"",J4+1,"")</f>
        <v>2019</v>
      </c>
      <c r="L4" s="18">
        <f>IF(L3&lt;&gt;"",K4+1,"")</f>
        <v>2020</v>
      </c>
      <c r="M4" s="18">
        <f>IF(M3&lt;&gt;"",L4+1,"")</f>
        <v>2021</v>
      </c>
      <c r="N4" s="18">
        <f>IF(N3&lt;&gt;"",M4+1,"")</f>
        <v>2022</v>
      </c>
      <c r="O4" s="18">
        <f>IF(O3&lt;&gt;"",N4+1,"")</f>
        <v>2023</v>
      </c>
      <c r="P4" s="18">
        <f>IF(P3&lt;&gt;"",O4+1,"")</f>
        <v>2024</v>
      </c>
      <c r="Q4" s="18" t="str">
        <f>IF(Q3&lt;&gt;"",P4+1,"")</f>
        <v/>
      </c>
      <c r="R4" s="18" t="str">
        <f>IF(R3&lt;&gt;"",Q4+1,"")</f>
        <v/>
      </c>
      <c r="S4" s="18" t="str">
        <f>IF(S3&lt;&gt;"",R4+1,"")</f>
        <v/>
      </c>
      <c r="T4" s="18" t="str">
        <f>IF(T3&lt;&gt;"",S4+1,"")</f>
        <v/>
      </c>
      <c r="U4" s="18" t="str">
        <f>IF(U3&lt;&gt;"",T4+1,"")</f>
        <v/>
      </c>
      <c r="V4" s="18" t="str">
        <f>IF(V3&lt;&gt;"",U4+1,"")</f>
        <v/>
      </c>
      <c r="W4" s="18" t="str">
        <f>IF(W3&lt;&gt;"",V4+1,"")</f>
        <v/>
      </c>
      <c r="X4" s="18" t="str">
        <f>IF(X3&lt;&gt;"",W4+1,"")</f>
        <v/>
      </c>
      <c r="Y4" s="18" t="str">
        <f>IF(Y3&lt;&gt;"",X4+1,"")</f>
        <v/>
      </c>
      <c r="Z4" s="18" t="str">
        <f>IF(Z3&lt;&gt;"",Y4+1,"")</f>
        <v/>
      </c>
    </row>
    <row r="5" spans="2:26 16378:16378" x14ac:dyDescent="0.3">
      <c r="B5" s="24" t="s">
        <v>4</v>
      </c>
      <c r="C5" s="31">
        <v>600000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XEX5" t="str">
        <f>IF(XEX6&lt;&gt;"",XEW5+1,"")</f>
        <v/>
      </c>
    </row>
    <row r="6" spans="2:26 16378:16378" x14ac:dyDescent="0.3">
      <c r="B6" s="29" t="s">
        <v>5</v>
      </c>
      <c r="C6" s="32">
        <v>0.8</v>
      </c>
      <c r="E6" s="17" t="s">
        <v>6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2:26 16378:16378" x14ac:dyDescent="0.3">
      <c r="B7" s="24" t="s">
        <v>7</v>
      </c>
      <c r="C7" s="32">
        <v>0.04</v>
      </c>
      <c r="E7" s="20" t="s">
        <v>8</v>
      </c>
      <c r="F7" s="22">
        <f>-SUM(C8:C10)</f>
        <v>-147999.99999999997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6">
        <v>0</v>
      </c>
      <c r="Q7" s="6"/>
      <c r="R7" s="6"/>
      <c r="S7" s="6"/>
      <c r="T7" s="6"/>
      <c r="U7" s="6"/>
      <c r="V7" s="6"/>
      <c r="W7" s="6"/>
      <c r="X7" s="6"/>
      <c r="Y7" s="6"/>
      <c r="Z7" s="6"/>
    </row>
    <row r="8" spans="2:26 16378:16378" x14ac:dyDescent="0.3">
      <c r="B8" s="24" t="s">
        <v>9</v>
      </c>
      <c r="C8" s="33">
        <f>C5*(1-C6)</f>
        <v>119999.99999999997</v>
      </c>
      <c r="E8" s="9"/>
      <c r="F8" s="9"/>
      <c r="G8" s="10"/>
      <c r="H8" s="10"/>
      <c r="I8" s="10"/>
      <c r="J8" s="10"/>
      <c r="K8" s="10"/>
      <c r="L8" s="10"/>
      <c r="M8" s="10"/>
      <c r="N8" s="10"/>
      <c r="O8" s="10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2:26 16378:16378" x14ac:dyDescent="0.3">
      <c r="B9" s="24" t="s">
        <v>10</v>
      </c>
      <c r="C9" s="33">
        <f>C5*C7</f>
        <v>24000</v>
      </c>
      <c r="E9" s="17" t="s">
        <v>11</v>
      </c>
      <c r="F9" s="9"/>
      <c r="G9" s="9"/>
      <c r="H9" s="9"/>
      <c r="I9" s="9"/>
      <c r="J9" s="9"/>
      <c r="K9" s="9"/>
      <c r="L9" s="9"/>
      <c r="M9" s="9"/>
      <c r="N9" s="9"/>
      <c r="O9" s="9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2:26 16378:16378" x14ac:dyDescent="0.3">
      <c r="B10" s="25" t="s">
        <v>12</v>
      </c>
      <c r="C10" s="34">
        <v>4000</v>
      </c>
      <c r="E10" s="20" t="s">
        <v>13</v>
      </c>
      <c r="F10" s="13" t="s">
        <v>14</v>
      </c>
      <c r="G10" s="13">
        <v>560</v>
      </c>
      <c r="H10" s="13">
        <v>580</v>
      </c>
      <c r="I10" s="13">
        <v>600</v>
      </c>
      <c r="J10" s="13">
        <v>630</v>
      </c>
      <c r="K10" s="13">
        <v>660</v>
      </c>
      <c r="L10" s="13">
        <v>580</v>
      </c>
      <c r="M10" s="13">
        <v>580</v>
      </c>
      <c r="N10" s="13">
        <v>620</v>
      </c>
      <c r="O10" s="13">
        <v>650</v>
      </c>
      <c r="P10" s="6">
        <v>640</v>
      </c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2:26 16378:16378" x14ac:dyDescent="0.3">
      <c r="E11" s="20" t="s">
        <v>15</v>
      </c>
      <c r="F11" s="13" t="s">
        <v>14</v>
      </c>
      <c r="G11" s="14">
        <v>4.4999999999999998E-2</v>
      </c>
      <c r="H11" s="14">
        <v>4.2500000000000003E-2</v>
      </c>
      <c r="I11" s="14">
        <v>3.7499999999999999E-2</v>
      </c>
      <c r="J11" s="14">
        <v>3.7499999999999999E-2</v>
      </c>
      <c r="K11" s="14">
        <v>3.7499999999999999E-2</v>
      </c>
      <c r="L11" s="14">
        <v>0.03</v>
      </c>
      <c r="M11" s="14">
        <v>2.2499999999999999E-2</v>
      </c>
      <c r="N11" s="14">
        <v>2.2499999999999999E-2</v>
      </c>
      <c r="O11" s="14">
        <v>5.2499999999999998E-2</v>
      </c>
      <c r="P11" s="7">
        <v>6.5000000000000002E-2</v>
      </c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2:26 16378:16378" x14ac:dyDescent="0.3">
      <c r="B12" s="3" t="s">
        <v>16</v>
      </c>
      <c r="E12" s="20" t="s">
        <v>17</v>
      </c>
      <c r="F12" s="13" t="s">
        <v>14</v>
      </c>
      <c r="G12" s="15">
        <v>-13892</v>
      </c>
      <c r="H12" s="15">
        <v>-11987</v>
      </c>
      <c r="I12" s="15">
        <v>-10666</v>
      </c>
      <c r="J12" s="15">
        <v>-9730</v>
      </c>
      <c r="K12" s="15">
        <v>-9050</v>
      </c>
      <c r="L12" s="15">
        <v>-8544</v>
      </c>
      <c r="M12" s="15">
        <v>-8159</v>
      </c>
      <c r="N12" s="15">
        <v>-8159</v>
      </c>
      <c r="O12" s="15">
        <v>-7860</v>
      </c>
      <c r="P12" s="8">
        <v>-7623</v>
      </c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2:26 16378:16378" x14ac:dyDescent="0.3">
      <c r="B13" s="26" t="s">
        <v>18</v>
      </c>
      <c r="C13" s="35">
        <v>0.21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2:26 16378:16378" x14ac:dyDescent="0.3">
      <c r="B14" s="27" t="s">
        <v>19</v>
      </c>
      <c r="C14" s="36">
        <f>C5*C6</f>
        <v>480000</v>
      </c>
      <c r="E14" s="17" t="s">
        <v>20</v>
      </c>
      <c r="F14" s="11"/>
      <c r="G14" s="9"/>
      <c r="H14" s="9"/>
      <c r="I14" s="9"/>
      <c r="J14" s="9"/>
      <c r="K14" s="9"/>
      <c r="L14" s="9"/>
      <c r="M14" s="9"/>
      <c r="N14" s="9"/>
      <c r="O14" s="9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2:26 16378:16378" x14ac:dyDescent="0.3">
      <c r="B15" s="28" t="s">
        <v>21</v>
      </c>
      <c r="C15" s="37">
        <v>0.37</v>
      </c>
      <c r="E15" s="20" t="s">
        <v>22</v>
      </c>
      <c r="F15" s="11" t="s">
        <v>14</v>
      </c>
      <c r="G15" s="16">
        <f t="shared" ref="G15:N15" si="0">IF(AND(G10&gt;0,G3&gt;0),G10*52,"")</f>
        <v>29120</v>
      </c>
      <c r="H15" s="16">
        <f t="shared" si="0"/>
        <v>30160</v>
      </c>
      <c r="I15" s="16">
        <f t="shared" si="0"/>
        <v>31200</v>
      </c>
      <c r="J15" s="16">
        <f t="shared" si="0"/>
        <v>32760</v>
      </c>
      <c r="K15" s="16">
        <f t="shared" si="0"/>
        <v>34320</v>
      </c>
      <c r="L15" s="16">
        <f t="shared" si="0"/>
        <v>30160</v>
      </c>
      <c r="M15" s="16">
        <f t="shared" si="0"/>
        <v>30160</v>
      </c>
      <c r="N15" s="16">
        <f t="shared" si="0"/>
        <v>32240</v>
      </c>
      <c r="O15" s="16">
        <f>IF(AND(O10&gt;0,O3&gt;0),O10*52,"")</f>
        <v>33800</v>
      </c>
      <c r="P15" s="16">
        <f>IF(AND(P10&gt;0,P3&gt;0),P10*52,"")</f>
        <v>33280</v>
      </c>
      <c r="Q15" s="16" t="str">
        <f t="shared" ref="Q15:Z15" si="1">IF(AND(Q10&gt;0,Q3&gt;0),Q10*52,"")</f>
        <v/>
      </c>
      <c r="R15" s="16" t="str">
        <f t="shared" si="1"/>
        <v/>
      </c>
      <c r="S15" s="16" t="str">
        <f t="shared" si="1"/>
        <v/>
      </c>
      <c r="T15" s="16" t="str">
        <f t="shared" si="1"/>
        <v/>
      </c>
      <c r="U15" s="16" t="str">
        <f t="shared" si="1"/>
        <v/>
      </c>
      <c r="V15" s="16" t="str">
        <f t="shared" si="1"/>
        <v/>
      </c>
      <c r="W15" s="16" t="str">
        <f t="shared" si="1"/>
        <v/>
      </c>
      <c r="X15" s="16" t="str">
        <f t="shared" si="1"/>
        <v/>
      </c>
      <c r="Y15" s="16" t="str">
        <f t="shared" si="1"/>
        <v/>
      </c>
      <c r="Z15" s="16" t="str">
        <f t="shared" si="1"/>
        <v/>
      </c>
    </row>
    <row r="16" spans="2:26 16378:16378" x14ac:dyDescent="0.3">
      <c r="E16" s="20" t="s">
        <v>23</v>
      </c>
      <c r="F16" s="11" t="s">
        <v>14</v>
      </c>
      <c r="G16" s="16">
        <f t="shared" ref="G16:O16" si="2">IF(AND(G10&gt;0,G3&gt;0),-G15*$C$13,"")</f>
        <v>-6115.2</v>
      </c>
      <c r="H16" s="16">
        <f t="shared" si="2"/>
        <v>-6333.5999999999995</v>
      </c>
      <c r="I16" s="16">
        <f t="shared" si="2"/>
        <v>-6552</v>
      </c>
      <c r="J16" s="16">
        <f t="shared" si="2"/>
        <v>-6879.5999999999995</v>
      </c>
      <c r="K16" s="16">
        <f t="shared" si="2"/>
        <v>-7207.2</v>
      </c>
      <c r="L16" s="16">
        <f t="shared" si="2"/>
        <v>-6333.5999999999995</v>
      </c>
      <c r="M16" s="16">
        <f t="shared" si="2"/>
        <v>-6333.5999999999995</v>
      </c>
      <c r="N16" s="16">
        <f t="shared" si="2"/>
        <v>-6770.4</v>
      </c>
      <c r="O16" s="16">
        <f t="shared" si="2"/>
        <v>-7098</v>
      </c>
      <c r="P16" s="16">
        <f>IF(AND(P10&gt;0,P3&gt;0),-P15*$C$13,"")</f>
        <v>-6988.8</v>
      </c>
      <c r="Q16" s="16" t="str">
        <f t="shared" ref="Q16:Z16" si="3">IF(AND(Q10&gt;0,Q3&gt;0),-Q15*$C$13,"")</f>
        <v/>
      </c>
      <c r="R16" s="16" t="str">
        <f t="shared" si="3"/>
        <v/>
      </c>
      <c r="S16" s="16" t="str">
        <f t="shared" si="3"/>
        <v/>
      </c>
      <c r="T16" s="16" t="str">
        <f t="shared" si="3"/>
        <v/>
      </c>
      <c r="U16" s="16" t="str">
        <f t="shared" si="3"/>
        <v/>
      </c>
      <c r="V16" s="16" t="str">
        <f t="shared" si="3"/>
        <v/>
      </c>
      <c r="W16" s="16" t="str">
        <f t="shared" si="3"/>
        <v/>
      </c>
      <c r="X16" s="16" t="str">
        <f t="shared" si="3"/>
        <v/>
      </c>
      <c r="Y16" s="16" t="str">
        <f t="shared" si="3"/>
        <v/>
      </c>
      <c r="Z16" s="16" t="str">
        <f t="shared" si="3"/>
        <v/>
      </c>
    </row>
    <row r="17" spans="2:26" x14ac:dyDescent="0.3">
      <c r="B17" s="3" t="s">
        <v>24</v>
      </c>
      <c r="E17" s="20" t="s">
        <v>25</v>
      </c>
      <c r="F17" s="11" t="s">
        <v>14</v>
      </c>
      <c r="G17" s="16">
        <f t="shared" ref="G17:Z17" si="4">IF(AND(G10&gt;0,G3&gt;0),-$C$14*G11,"")</f>
        <v>-21600</v>
      </c>
      <c r="H17" s="16">
        <f t="shared" si="4"/>
        <v>-20400</v>
      </c>
      <c r="I17" s="16">
        <f t="shared" si="4"/>
        <v>-18000</v>
      </c>
      <c r="J17" s="16">
        <f t="shared" si="4"/>
        <v>-18000</v>
      </c>
      <c r="K17" s="16">
        <f t="shared" si="4"/>
        <v>-18000</v>
      </c>
      <c r="L17" s="16">
        <f t="shared" si="4"/>
        <v>-14400</v>
      </c>
      <c r="M17" s="16">
        <f t="shared" si="4"/>
        <v>-10800</v>
      </c>
      <c r="N17" s="16">
        <f t="shared" si="4"/>
        <v>-10800</v>
      </c>
      <c r="O17" s="16">
        <f t="shared" si="4"/>
        <v>-25200</v>
      </c>
      <c r="P17" s="16">
        <f t="shared" si="4"/>
        <v>-31200</v>
      </c>
      <c r="Q17" s="16" t="str">
        <f t="shared" si="4"/>
        <v/>
      </c>
      <c r="R17" s="16" t="str">
        <f t="shared" si="4"/>
        <v/>
      </c>
      <c r="S17" s="16" t="str">
        <f t="shared" si="4"/>
        <v/>
      </c>
      <c r="T17" s="16" t="str">
        <f t="shared" si="4"/>
        <v/>
      </c>
      <c r="U17" s="16" t="str">
        <f t="shared" si="4"/>
        <v/>
      </c>
      <c r="V17" s="16" t="str">
        <f t="shared" si="4"/>
        <v/>
      </c>
      <c r="W17" s="16" t="str">
        <f t="shared" si="4"/>
        <v/>
      </c>
      <c r="X17" s="16" t="str">
        <f t="shared" si="4"/>
        <v/>
      </c>
      <c r="Y17" s="16" t="str">
        <f t="shared" si="4"/>
        <v/>
      </c>
      <c r="Z17" s="16" t="str">
        <f t="shared" si="4"/>
        <v/>
      </c>
    </row>
    <row r="18" spans="2:26" x14ac:dyDescent="0.3">
      <c r="B18" s="23" t="s">
        <v>26</v>
      </c>
      <c r="C18" s="30">
        <v>2024</v>
      </c>
      <c r="E18" s="21" t="s">
        <v>20</v>
      </c>
      <c r="F18" s="12" t="s">
        <v>14</v>
      </c>
      <c r="G18" s="12">
        <f t="shared" ref="G18:L18" si="5">IF(AND(G10&gt;0,G3&gt;0),SUM(G15:G17),"")</f>
        <v>1404.7999999999993</v>
      </c>
      <c r="H18" s="12">
        <f t="shared" si="5"/>
        <v>3426.4000000000015</v>
      </c>
      <c r="I18" s="12">
        <f t="shared" si="5"/>
        <v>6648</v>
      </c>
      <c r="J18" s="12">
        <f t="shared" si="5"/>
        <v>7880.4000000000015</v>
      </c>
      <c r="K18" s="12">
        <f t="shared" si="5"/>
        <v>9112.7999999999993</v>
      </c>
      <c r="L18" s="12">
        <f t="shared" si="5"/>
        <v>9426.4000000000015</v>
      </c>
      <c r="M18" s="12">
        <f t="shared" ref="M18:R18" si="6">IF(AND(M10&gt;0,M3&gt;0),SUM(M15:M17),"")</f>
        <v>13026.400000000001</v>
      </c>
      <c r="N18" s="12">
        <f t="shared" si="6"/>
        <v>14669.599999999999</v>
      </c>
      <c r="O18" s="12">
        <f t="shared" si="6"/>
        <v>1502</v>
      </c>
      <c r="P18" s="12">
        <f t="shared" si="6"/>
        <v>-4908.7999999999993</v>
      </c>
      <c r="Q18" s="12" t="str">
        <f t="shared" si="6"/>
        <v/>
      </c>
      <c r="R18" s="12" t="str">
        <f t="shared" si="6"/>
        <v/>
      </c>
      <c r="S18" s="12" t="str">
        <f t="shared" ref="S18:Z18" si="7">IF(S10&gt;0,SUM(S15:S17),"")</f>
        <v/>
      </c>
      <c r="T18" s="12" t="str">
        <f t="shared" si="7"/>
        <v/>
      </c>
      <c r="U18" s="12" t="str">
        <f t="shared" si="7"/>
        <v/>
      </c>
      <c r="V18" s="12" t="str">
        <f t="shared" si="7"/>
        <v/>
      </c>
      <c r="W18" s="12" t="str">
        <f t="shared" si="7"/>
        <v/>
      </c>
      <c r="X18" s="12" t="str">
        <f t="shared" si="7"/>
        <v/>
      </c>
      <c r="Y18" s="12" t="str">
        <f t="shared" si="7"/>
        <v/>
      </c>
      <c r="Z18" s="12" t="str">
        <f t="shared" si="7"/>
        <v/>
      </c>
    </row>
    <row r="19" spans="2:26" x14ac:dyDescent="0.3">
      <c r="B19" s="24" t="s">
        <v>27</v>
      </c>
      <c r="C19" s="36">
        <v>680000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x14ac:dyDescent="0.3">
      <c r="B20" s="24" t="s">
        <v>28</v>
      </c>
      <c r="C20" s="32">
        <v>0.02</v>
      </c>
      <c r="E20" s="17" t="s">
        <v>29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x14ac:dyDescent="0.3">
      <c r="B21" s="24" t="s">
        <v>30</v>
      </c>
      <c r="C21" s="32">
        <v>0.47</v>
      </c>
      <c r="E21" s="20" t="s">
        <v>31</v>
      </c>
      <c r="F21" s="11" t="s">
        <v>14</v>
      </c>
      <c r="G21" s="16">
        <f t="shared" ref="G21:O21" si="8">IFERROR(-(G12+G18)*$C$15,"")</f>
        <v>4620.2640000000001</v>
      </c>
      <c r="H21" s="16">
        <f t="shared" si="8"/>
        <v>3167.4219999999996</v>
      </c>
      <c r="I21" s="16">
        <f t="shared" si="8"/>
        <v>1486.66</v>
      </c>
      <c r="J21" s="16">
        <f t="shared" si="8"/>
        <v>684.35199999999941</v>
      </c>
      <c r="K21" s="16">
        <f t="shared" si="8"/>
        <v>-23.235999999999731</v>
      </c>
      <c r="L21" s="16">
        <f t="shared" si="8"/>
        <v>-326.48800000000051</v>
      </c>
      <c r="M21" s="16">
        <f t="shared" si="8"/>
        <v>-1800.9380000000006</v>
      </c>
      <c r="N21" s="16">
        <f t="shared" si="8"/>
        <v>-2408.9219999999996</v>
      </c>
      <c r="O21" s="16">
        <f t="shared" si="8"/>
        <v>2352.46</v>
      </c>
      <c r="P21" s="16">
        <f>IFERROR(-(P12+P18)*$C$15,"")</f>
        <v>4636.7659999999996</v>
      </c>
      <c r="Q21" s="16" t="str">
        <f t="shared" ref="Q21:Z21" si="9">IFERROR(-(Q12+Q18)*$C$15,"")</f>
        <v/>
      </c>
      <c r="R21" s="16" t="str">
        <f t="shared" si="9"/>
        <v/>
      </c>
      <c r="S21" s="16" t="str">
        <f t="shared" si="9"/>
        <v/>
      </c>
      <c r="T21" s="16" t="str">
        <f t="shared" si="9"/>
        <v/>
      </c>
      <c r="U21" s="16" t="str">
        <f t="shared" si="9"/>
        <v/>
      </c>
      <c r="V21" s="16" t="str">
        <f t="shared" si="9"/>
        <v/>
      </c>
      <c r="W21" s="16" t="str">
        <f t="shared" si="9"/>
        <v/>
      </c>
      <c r="X21" s="16" t="str">
        <f t="shared" si="9"/>
        <v/>
      </c>
      <c r="Y21" s="16" t="str">
        <f t="shared" si="9"/>
        <v/>
      </c>
      <c r="Z21" s="16" t="str">
        <f t="shared" si="9"/>
        <v/>
      </c>
    </row>
    <row r="22" spans="2:26" x14ac:dyDescent="0.3">
      <c r="B22" s="24" t="s">
        <v>17</v>
      </c>
      <c r="C22" s="38" cm="1">
        <f t="array" aca="1" ref="C22" ca="1">-SUM(G12:INDIRECT(CELL("address",INDEX(G4:Z12,9,MATCH(C18,G4:Z4,0)))))</f>
        <v>95670</v>
      </c>
      <c r="E22" s="20" t="s">
        <v>29</v>
      </c>
      <c r="F22" s="11" t="s">
        <v>14</v>
      </c>
      <c r="G22" s="16">
        <f t="shared" ref="G22:O22" si="10">IF(AND(G10&gt;0,G3&gt;0),G18+G21,"")</f>
        <v>6025.0639999999994</v>
      </c>
      <c r="H22" s="16">
        <f t="shared" si="10"/>
        <v>6593.822000000001</v>
      </c>
      <c r="I22" s="16">
        <f t="shared" si="10"/>
        <v>8134.66</v>
      </c>
      <c r="J22" s="16">
        <f t="shared" si="10"/>
        <v>8564.7520000000004</v>
      </c>
      <c r="K22" s="16">
        <f t="shared" si="10"/>
        <v>9089.5640000000003</v>
      </c>
      <c r="L22" s="16">
        <f t="shared" si="10"/>
        <v>9099.9120000000003</v>
      </c>
      <c r="M22" s="16">
        <f t="shared" si="10"/>
        <v>11225.462000000001</v>
      </c>
      <c r="N22" s="16">
        <f t="shared" si="10"/>
        <v>12260.678</v>
      </c>
      <c r="O22" s="16">
        <f t="shared" si="10"/>
        <v>3854.46</v>
      </c>
      <c r="P22" s="16">
        <f>IF(AND(P10&gt;0,P3&gt;0),P18+P21,"")</f>
        <v>-272.03399999999965</v>
      </c>
      <c r="Q22" s="16" t="str">
        <f t="shared" ref="Q22:Z22" si="11">IF(AND(Q10&gt;0,Q3&gt;0),Q18+Q21,"")</f>
        <v/>
      </c>
      <c r="R22" s="16" t="str">
        <f t="shared" si="11"/>
        <v/>
      </c>
      <c r="S22" s="16" t="str">
        <f t="shared" si="11"/>
        <v/>
      </c>
      <c r="T22" s="16" t="str">
        <f t="shared" si="11"/>
        <v/>
      </c>
      <c r="U22" s="16" t="str">
        <f t="shared" si="11"/>
        <v/>
      </c>
      <c r="V22" s="16" t="str">
        <f t="shared" si="11"/>
        <v/>
      </c>
      <c r="W22" s="16" t="str">
        <f t="shared" si="11"/>
        <v/>
      </c>
      <c r="X22" s="16" t="str">
        <f t="shared" si="11"/>
        <v/>
      </c>
      <c r="Y22" s="16" t="str">
        <f t="shared" si="11"/>
        <v/>
      </c>
      <c r="Z22" s="16" t="str">
        <f t="shared" si="11"/>
        <v/>
      </c>
    </row>
    <row r="23" spans="2:26" x14ac:dyDescent="0.3">
      <c r="B23" s="24" t="s">
        <v>32</v>
      </c>
      <c r="C23" s="33">
        <f>C19*(1-C20)</f>
        <v>666400</v>
      </c>
      <c r="E23" s="20" t="s">
        <v>33</v>
      </c>
      <c r="F23" s="16" t="s">
        <v>14</v>
      </c>
      <c r="G23" s="16" t="str">
        <f t="shared" ref="G23:O23" si="12">IF(AND(G10&gt;0,G3&gt;0),IF($C$18=G4,$C$26,"NA"),"")</f>
        <v>NA</v>
      </c>
      <c r="H23" s="16" t="str">
        <f t="shared" si="12"/>
        <v>NA</v>
      </c>
      <c r="I23" s="16" t="str">
        <f t="shared" si="12"/>
        <v>NA</v>
      </c>
      <c r="J23" s="16" t="str">
        <f t="shared" si="12"/>
        <v>NA</v>
      </c>
      <c r="K23" s="16" t="str">
        <f t="shared" si="12"/>
        <v>NA</v>
      </c>
      <c r="L23" s="16" t="str">
        <f t="shared" si="12"/>
        <v>NA</v>
      </c>
      <c r="M23" s="16" t="str">
        <f t="shared" si="12"/>
        <v>NA</v>
      </c>
      <c r="N23" s="16" t="str">
        <f t="shared" si="12"/>
        <v>NA</v>
      </c>
      <c r="O23" s="16" t="str">
        <f t="shared" si="12"/>
        <v>NA</v>
      </c>
      <c r="P23" s="16">
        <f ca="1">IF(AND(P10&gt;0,P3&gt;0),IF($C$18=P4,$C$26,"NA"),"")</f>
        <v>154893.55000000005</v>
      </c>
      <c r="Q23" s="16" t="str">
        <f t="shared" ref="Q23:Z23" si="13">IF(AND(Q10&gt;0,Q3&gt;0),IF($C$18=Q4,$C$26,"NA"),"")</f>
        <v/>
      </c>
      <c r="R23" s="16" t="str">
        <f t="shared" si="13"/>
        <v/>
      </c>
      <c r="S23" s="16" t="str">
        <f t="shared" si="13"/>
        <v/>
      </c>
      <c r="T23" s="16" t="str">
        <f t="shared" si="13"/>
        <v/>
      </c>
      <c r="U23" s="16" t="str">
        <f t="shared" si="13"/>
        <v/>
      </c>
      <c r="V23" s="16" t="str">
        <f t="shared" si="13"/>
        <v/>
      </c>
      <c r="W23" s="16" t="str">
        <f t="shared" si="13"/>
        <v/>
      </c>
      <c r="X23" s="16" t="str">
        <f t="shared" si="13"/>
        <v/>
      </c>
      <c r="Y23" s="16" t="str">
        <f t="shared" si="13"/>
        <v/>
      </c>
      <c r="Z23" s="16" t="str">
        <f t="shared" si="13"/>
        <v/>
      </c>
    </row>
    <row r="24" spans="2:26" x14ac:dyDescent="0.3">
      <c r="B24" s="24" t="s">
        <v>34</v>
      </c>
      <c r="C24" s="33">
        <f ca="1">C5+C9+C10-C22</f>
        <v>532330</v>
      </c>
      <c r="E24" s="21" t="s">
        <v>35</v>
      </c>
      <c r="F24" s="12">
        <f>F7</f>
        <v>-147999.99999999997</v>
      </c>
      <c r="G24" s="12">
        <f>IF(G10&gt;0,IF($C$18=G4,G22+$C$26,G22),"")</f>
        <v>6025.0639999999994</v>
      </c>
      <c r="H24" s="12">
        <f t="shared" ref="H24:Z24" si="14">IF(H10&gt;0,IF($C$18=H4,H22+$C$26,H22),"")</f>
        <v>6593.822000000001</v>
      </c>
      <c r="I24" s="12">
        <f t="shared" si="14"/>
        <v>8134.66</v>
      </c>
      <c r="J24" s="12">
        <f t="shared" si="14"/>
        <v>8564.7520000000004</v>
      </c>
      <c r="K24" s="12">
        <f t="shared" si="14"/>
        <v>9089.5640000000003</v>
      </c>
      <c r="L24" s="12">
        <f t="shared" si="14"/>
        <v>9099.9120000000003</v>
      </c>
      <c r="M24" s="12">
        <f t="shared" si="14"/>
        <v>11225.462000000001</v>
      </c>
      <c r="N24" s="12">
        <f t="shared" si="14"/>
        <v>12260.678</v>
      </c>
      <c r="O24" s="12">
        <f t="shared" si="14"/>
        <v>3854.46</v>
      </c>
      <c r="P24" s="12">
        <f t="shared" ca="1" si="14"/>
        <v>154621.51600000006</v>
      </c>
      <c r="Q24" s="12" t="str">
        <f t="shared" si="14"/>
        <v/>
      </c>
      <c r="R24" s="12" t="str">
        <f t="shared" si="14"/>
        <v/>
      </c>
      <c r="S24" s="12" t="str">
        <f t="shared" si="14"/>
        <v/>
      </c>
      <c r="T24" s="12" t="str">
        <f t="shared" si="14"/>
        <v/>
      </c>
      <c r="U24" s="12" t="str">
        <f t="shared" si="14"/>
        <v/>
      </c>
      <c r="V24" s="12" t="str">
        <f t="shared" si="14"/>
        <v/>
      </c>
      <c r="W24" s="12" t="str">
        <f t="shared" si="14"/>
        <v/>
      </c>
      <c r="X24" s="12" t="str">
        <f t="shared" si="14"/>
        <v/>
      </c>
      <c r="Y24" s="12" t="str">
        <f t="shared" si="14"/>
        <v/>
      </c>
      <c r="Z24" s="12" t="str">
        <f t="shared" si="14"/>
        <v/>
      </c>
    </row>
    <row r="25" spans="2:26" x14ac:dyDescent="0.3">
      <c r="B25" s="24" t="s">
        <v>36</v>
      </c>
      <c r="C25" s="33">
        <f ca="1">C23-(C23-C24)*0.5*C21</f>
        <v>634893.55000000005</v>
      </c>
    </row>
    <row r="26" spans="2:26" x14ac:dyDescent="0.3">
      <c r="B26" s="25" t="s">
        <v>37</v>
      </c>
      <c r="C26" s="34">
        <f ca="1">C25-C14</f>
        <v>154893.55000000005</v>
      </c>
    </row>
    <row r="27" spans="2:26" x14ac:dyDescent="0.3">
      <c r="G27" s="2"/>
      <c r="H27" s="1"/>
      <c r="I27" s="1"/>
      <c r="J27" s="1"/>
      <c r="K27" s="1"/>
      <c r="L27" s="1"/>
      <c r="M27" s="1"/>
      <c r="N27" s="1"/>
      <c r="O27" s="1"/>
      <c r="P27" s="1"/>
    </row>
    <row r="28" spans="2:26" x14ac:dyDescent="0.3"/>
    <row r="29" spans="2:26" ht="18" x14ac:dyDescent="0.3">
      <c r="E29" s="41" t="s">
        <v>38</v>
      </c>
      <c r="F29" s="42" cm="1">
        <f t="array" aca="1" ref="F29" ca="1">IRR(F24:INDIRECT(CELL("address",INDEX(G4:Z24,21,MATCH(C18,G4:Z4,0)))))</f>
        <v>5.4677687886744764E-2</v>
      </c>
      <c r="G29" s="1"/>
      <c r="H29" s="1"/>
      <c r="I29" s="1"/>
      <c r="J29" s="1"/>
      <c r="K29" s="1"/>
      <c r="L29" s="1"/>
      <c r="M29" s="1"/>
      <c r="N29" s="1"/>
    </row>
    <row r="30" spans="2:26" x14ac:dyDescent="0.3"/>
    <row r="31" spans="2:26" x14ac:dyDescent="0.3"/>
    <row r="32" spans="2:26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</sheetData>
  <hyperlinks>
    <hyperlink ref="B9" r:id="rId1" xr:uid="{9410B1DA-0BB6-4FD4-B8DC-C87AD148BEF7}"/>
  </hyperlinks>
  <pageMargins left="0.7" right="0.7" top="0.75" bottom="0.75" header="0.3" footer="0.3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Property 1 Address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Hubert Lin</dc:creator>
  <cp:keywords/>
  <dc:description/>
  <cp:lastModifiedBy>Huey Lin</cp:lastModifiedBy>
  <cp:revision/>
  <dcterms:created xsi:type="dcterms:W3CDTF">2024-03-04T09:35:49Z</dcterms:created>
  <dcterms:modified xsi:type="dcterms:W3CDTF">2025-03-03T04:51:27Z</dcterms:modified>
  <cp:category/>
  <cp:contentStatus/>
</cp:coreProperties>
</file>