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HueyL\Downloads\"/>
    </mc:Choice>
  </mc:AlternateContent>
  <xr:revisionPtr revIDLastSave="0" documentId="13_ncr:1_{4541A79B-7831-47E9-84CF-5C7899AEF224}" xr6:coauthVersionLast="47" xr6:coauthVersionMax="47" xr10:uidLastSave="{00000000-0000-0000-0000-000000000000}"/>
  <bookViews>
    <workbookView xWindow="28680" yWindow="-120" windowWidth="29040" windowHeight="15720" xr2:uid="{0C5CC66D-33E7-7148-BE62-82D591CE1067}"/>
  </bookViews>
  <sheets>
    <sheet name="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C64" i="1"/>
  <c r="G15" i="1"/>
  <c r="G21" i="1"/>
  <c r="G19" i="1"/>
  <c r="C22" i="1"/>
  <c r="C15" i="1"/>
  <c r="G41" i="1"/>
  <c r="G39" i="1"/>
  <c r="G31" i="1"/>
  <c r="G32" i="1" s="1"/>
  <c r="G23" i="1"/>
  <c r="G22" i="1"/>
  <c r="G20" i="1"/>
  <c r="G33" i="1" s="1"/>
  <c r="G18" i="1"/>
  <c r="G14" i="1"/>
  <c r="E18" i="1"/>
  <c r="D18" i="1"/>
  <c r="F15" i="1"/>
  <c r="F41" i="1"/>
  <c r="F39" i="1"/>
  <c r="F31" i="1"/>
  <c r="F32" i="1" s="1"/>
  <c r="F23" i="1"/>
  <c r="F22" i="1"/>
  <c r="F21" i="1"/>
  <c r="F20" i="1"/>
  <c r="F33" i="1" s="1"/>
  <c r="F19" i="1"/>
  <c r="F14" i="1"/>
  <c r="G73" i="1" l="1"/>
  <c r="F66" i="1"/>
  <c r="F73" i="1"/>
  <c r="G66" i="1"/>
  <c r="G67" i="1"/>
  <c r="G68" i="1"/>
  <c r="G69" i="1"/>
  <c r="G70" i="1"/>
  <c r="G65" i="1"/>
  <c r="G71" i="1"/>
  <c r="F67" i="1"/>
  <c r="F68" i="1"/>
  <c r="F69" i="1"/>
  <c r="F70" i="1"/>
  <c r="F71" i="1"/>
  <c r="F72" i="1"/>
  <c r="F65" i="1"/>
  <c r="G72" i="1"/>
  <c r="G24" i="1"/>
  <c r="G40" i="1"/>
  <c r="G53" i="1"/>
  <c r="G54" i="1" s="1"/>
  <c r="G55" i="1" s="1"/>
  <c r="G56" i="1" s="1"/>
  <c r="G57" i="1" s="1"/>
  <c r="G58" i="1" s="1"/>
  <c r="G59" i="1" s="1"/>
  <c r="G60" i="1" s="1"/>
  <c r="G61" i="1" s="1"/>
  <c r="G62" i="1" s="1"/>
  <c r="F18" i="1"/>
  <c r="F24" i="1" s="1"/>
  <c r="F53" i="1"/>
  <c r="F54" i="1" s="1"/>
  <c r="F55" i="1" s="1"/>
  <c r="F56" i="1" s="1"/>
  <c r="F57" i="1" s="1"/>
  <c r="F58" i="1" s="1"/>
  <c r="F59" i="1" s="1"/>
  <c r="F60" i="1" s="1"/>
  <c r="F61" i="1" s="1"/>
  <c r="F62" i="1" s="1"/>
  <c r="F40" i="1"/>
  <c r="F43" i="1" s="1"/>
  <c r="F44" i="1" s="1"/>
  <c r="G64" i="1" l="1"/>
  <c r="G42" i="1" s="1"/>
  <c r="F64" i="1"/>
  <c r="F42" i="1" s="1"/>
  <c r="G43" i="1"/>
  <c r="F46" i="1"/>
  <c r="F45" i="1"/>
  <c r="G45" i="1" l="1"/>
  <c r="G44" i="1"/>
  <c r="G46" i="1" s="1"/>
  <c r="E14" i="1"/>
  <c r="D14" i="1"/>
  <c r="C14" i="1"/>
  <c r="E15" i="1"/>
  <c r="E41" i="1"/>
  <c r="E39" i="1"/>
  <c r="E32" i="1"/>
  <c r="E23" i="1"/>
  <c r="E22" i="1"/>
  <c r="E21" i="1"/>
  <c r="E20" i="1"/>
  <c r="E33" i="1" s="1"/>
  <c r="E19" i="1"/>
  <c r="D31" i="1"/>
  <c r="D32" i="1" s="1"/>
  <c r="C31" i="1"/>
  <c r="C32" i="1" s="1"/>
  <c r="D23" i="1"/>
  <c r="D41" i="1"/>
  <c r="D39" i="1"/>
  <c r="D22" i="1"/>
  <c r="D20" i="1"/>
  <c r="D33" i="1" s="1"/>
  <c r="C41" i="1"/>
  <c r="C39" i="1"/>
  <c r="E66" i="1" l="1"/>
  <c r="E73" i="1"/>
  <c r="E65" i="1"/>
  <c r="E72" i="1"/>
  <c r="E71" i="1"/>
  <c r="E70" i="1"/>
  <c r="E69" i="1"/>
  <c r="E68" i="1"/>
  <c r="E67" i="1"/>
  <c r="C53" i="1"/>
  <c r="C54" i="1" s="1"/>
  <c r="C55" i="1" s="1"/>
  <c r="C56" i="1" s="1"/>
  <c r="C57" i="1" s="1"/>
  <c r="C58" i="1" s="1"/>
  <c r="C59" i="1" s="1"/>
  <c r="C60" i="1" s="1"/>
  <c r="C61" i="1" s="1"/>
  <c r="C62" i="1" s="1"/>
  <c r="D40" i="1"/>
  <c r="D43" i="1" s="1"/>
  <c r="D44" i="1" s="1"/>
  <c r="D67" i="1"/>
  <c r="D66" i="1"/>
  <c r="D73" i="1"/>
  <c r="D65" i="1"/>
  <c r="D72" i="1"/>
  <c r="D71" i="1"/>
  <c r="D70" i="1"/>
  <c r="D69" i="1"/>
  <c r="D68" i="1"/>
  <c r="E24" i="1"/>
  <c r="E40" i="1"/>
  <c r="E53" i="1"/>
  <c r="E54" i="1" s="1"/>
  <c r="E55" i="1" s="1"/>
  <c r="E56" i="1" s="1"/>
  <c r="E57" i="1" s="1"/>
  <c r="E58" i="1" s="1"/>
  <c r="E59" i="1" s="1"/>
  <c r="E60" i="1" s="1"/>
  <c r="E61" i="1" s="1"/>
  <c r="E62" i="1" s="1"/>
  <c r="C23" i="1"/>
  <c r="D21" i="1"/>
  <c r="D15" i="1"/>
  <c r="D53" i="1"/>
  <c r="D54" i="1" s="1"/>
  <c r="D55" i="1" s="1"/>
  <c r="D56" i="1" s="1"/>
  <c r="D57" i="1" s="1"/>
  <c r="D58" i="1" s="1"/>
  <c r="D59" i="1" s="1"/>
  <c r="D60" i="1" s="1"/>
  <c r="D61" i="1" s="1"/>
  <c r="D62" i="1" s="1"/>
  <c r="D19" i="1"/>
  <c r="C21" i="1"/>
  <c r="C40" i="1"/>
  <c r="C19" i="1"/>
  <c r="C20" i="1"/>
  <c r="C18" i="1" s="1"/>
  <c r="C72" i="1" l="1"/>
  <c r="D64" i="1"/>
  <c r="D42" i="1" s="1"/>
  <c r="C73" i="1"/>
  <c r="C66" i="1"/>
  <c r="E64" i="1"/>
  <c r="E42" i="1" s="1"/>
  <c r="D24" i="1"/>
  <c r="C67" i="1"/>
  <c r="C70" i="1"/>
  <c r="C68" i="1"/>
  <c r="C69" i="1"/>
  <c r="C71" i="1"/>
  <c r="C65" i="1"/>
  <c r="E43" i="1"/>
  <c r="E44" i="1" s="1"/>
  <c r="E46" i="1" s="1"/>
  <c r="C24" i="1"/>
  <c r="D46" i="1"/>
  <c r="D45" i="1"/>
  <c r="C33" i="1"/>
  <c r="E45" i="1" l="1"/>
  <c r="C43" i="1"/>
  <c r="C44" i="1" s="1"/>
  <c r="C46" i="1" l="1"/>
  <c r="C45" i="1"/>
</calcChain>
</file>

<file path=xl/sharedStrings.xml><?xml version="1.0" encoding="utf-8"?>
<sst xmlns="http://schemas.openxmlformats.org/spreadsheetml/2006/main" count="87" uniqueCount="82">
  <si>
    <t xml:space="preserve">Property </t>
  </si>
  <si>
    <t>State</t>
  </si>
  <si>
    <t>Suburb</t>
  </si>
  <si>
    <t>Address</t>
  </si>
  <si>
    <t>Property Type</t>
  </si>
  <si>
    <t>House</t>
  </si>
  <si>
    <t>Duplex</t>
  </si>
  <si>
    <r>
      <t>Land size 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</si>
  <si>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t>Layout</t>
  </si>
  <si>
    <t>4x2x2</t>
  </si>
  <si>
    <t>3x1x1</t>
  </si>
  <si>
    <t>6x4x2</t>
  </si>
  <si>
    <t>Link</t>
  </si>
  <si>
    <t>Purchase Price</t>
  </si>
  <si>
    <t>Rent per week</t>
  </si>
  <si>
    <t>Reno Cost</t>
  </si>
  <si>
    <t>Other Purchasing Cost</t>
  </si>
  <si>
    <t>Stamp Duty</t>
  </si>
  <si>
    <t>Land Value</t>
  </si>
  <si>
    <t>LVR</t>
  </si>
  <si>
    <t>LMI</t>
  </si>
  <si>
    <t>Down Payment</t>
  </si>
  <si>
    <t>Loan</t>
  </si>
  <si>
    <t>Purchase Price Yield</t>
  </si>
  <si>
    <r>
      <t>Price per m</t>
    </r>
    <r>
      <rPr>
        <vertAlign val="superscript"/>
        <sz val="10"/>
        <color theme="1"/>
        <rFont val="Arial"/>
        <family val="2"/>
      </rPr>
      <t>2</t>
    </r>
  </si>
  <si>
    <t>Land to Asset Ratio</t>
  </si>
  <si>
    <t>Initial funding required</t>
  </si>
  <si>
    <t>Interest Rate</t>
  </si>
  <si>
    <t>Vacant Weeks</t>
  </si>
  <si>
    <t>Management Fee %</t>
  </si>
  <si>
    <t>Depreciation</t>
  </si>
  <si>
    <t>Marginal tax rate</t>
  </si>
  <si>
    <t>Rent Weekly</t>
  </si>
  <si>
    <t>Rent Annually</t>
  </si>
  <si>
    <t>Interest</t>
  </si>
  <si>
    <t>Land Tax</t>
  </si>
  <si>
    <t>Strata</t>
  </si>
  <si>
    <t>Council</t>
  </si>
  <si>
    <t>Water/Sewage</t>
  </si>
  <si>
    <t>Insurance</t>
  </si>
  <si>
    <t>Maintenance fund</t>
  </si>
  <si>
    <t>Management fee</t>
  </si>
  <si>
    <t>Utility</t>
  </si>
  <si>
    <t>Net Yield</t>
  </si>
  <si>
    <t>Cashflow Year 1 (Before Tax)</t>
  </si>
  <si>
    <t>Cashflow Year 1 (After Tax)</t>
  </si>
  <si>
    <t>Cashflow Year 1 Monthly (Before Tax)</t>
  </si>
  <si>
    <t>Cashflow Year 1 Monthly (After Tax)</t>
  </si>
  <si>
    <t>CPI</t>
  </si>
  <si>
    <t>Rent Increase</t>
  </si>
  <si>
    <t>Capital Gain Lower Bound</t>
  </si>
  <si>
    <t>Capital Gain Upper Bound</t>
  </si>
  <si>
    <t>Rent Year 1</t>
  </si>
  <si>
    <t>Rent Year 2</t>
  </si>
  <si>
    <t>Rent Year 3</t>
  </si>
  <si>
    <t>Rent Year 4</t>
  </si>
  <si>
    <t>Rent Year 5</t>
  </si>
  <si>
    <t>Rent Year 6</t>
  </si>
  <si>
    <t>Rent Year 7</t>
  </si>
  <si>
    <t>Rent Year 8</t>
  </si>
  <si>
    <t>Rent Year 9</t>
  </si>
  <si>
    <t>Rent Year 10</t>
  </si>
  <si>
    <t>Cashflow Year 1</t>
  </si>
  <si>
    <t>Cashflow Year 2</t>
  </si>
  <si>
    <t>Cashflow Year 3</t>
  </si>
  <si>
    <t>Cashflow Year 4</t>
  </si>
  <si>
    <t>Cashflow Year 5</t>
  </si>
  <si>
    <t>Cashflow Year 6</t>
  </si>
  <si>
    <t>Cashflow Year 7</t>
  </si>
  <si>
    <t>Cashflow Year 8</t>
  </si>
  <si>
    <t>Cashflow Year 9</t>
  </si>
  <si>
    <t>Cashflow Year 10</t>
  </si>
  <si>
    <t>Interest (long term)</t>
  </si>
  <si>
    <t>IP - Option 1</t>
  </si>
  <si>
    <t>IP - Option 2</t>
  </si>
  <si>
    <t>IP - Option 3</t>
  </si>
  <si>
    <t>IP - Option 4</t>
  </si>
  <si>
    <t>IP - Option 5</t>
  </si>
  <si>
    <t>Property Details</t>
  </si>
  <si>
    <t xml:space="preserve">Purchasing Cost </t>
  </si>
  <si>
    <t xml:space="preserve">Cashflow Calculation </t>
  </si>
  <si>
    <t>Cashflow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</si>
</sst>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0.0%"/>
    <numFmt numFmtId="166" formatCode="&quot;$&quot;#,##0"/>
    <numFmt numFmtId="167" formatCode="&quot;$&quot;#,##0.00"/>
  </numFmts>
  <fonts count="12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0"/>
      <color rgb="FF000000"/>
      <name val="Arial"/>
      <family val="2"/>
    </font>
    <font>
      <u/>
      <sz val="12"/>
      <color theme="10"/>
      <name val="Aptos Narrow"/>
      <family val="2"/>
      <scheme val="minor"/>
    </font>
    <font>
      <sz val="10"/>
      <color theme="1"/>
      <name val="Arial"/>
      <family val="2"/>
    </font>
    <font>
      <sz val="12"/>
      <color rgb="FF000000"/>
      <name val="Arial"/>
      <family val="2"/>
    </font>
    <font>
      <b/>
      <sz val="10"/>
      <color theme="1"/>
      <name val="Arial"/>
      <family val="2"/>
    </font>
    <font>
      <sz val="8"/>
      <name val="Aptos Narrow"/>
      <family val="2"/>
      <scheme val="minor"/>
    </font>
    <font>
      <vertAlign val="superscript"/>
      <sz val="10"/>
      <color theme="1"/>
      <name val="Arial"/>
      <family val="2"/>
    </font>
    <font>
      <b/>
      <sz val="12"/>
      <color theme="0"/>
      <name val="Aptos Narrow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9.9978637043366805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/>
    </xf>
    <xf numFmtId="3" fontId="4" fillId="0" borderId="1" xfId="0" applyNumberFormat="1" applyFont="1" applyBorder="1" applyAlignment="1">
      <alignment horizontal="left"/>
    </xf>
    <xf numFmtId="0" fontId="5" fillId="0" borderId="1" xfId="3" applyBorder="1" applyAlignment="1">
      <alignment horizontal="left" vertical="center"/>
    </xf>
    <xf numFmtId="0" fontId="0" fillId="4" borderId="0" xfId="0" applyFill="1"/>
    <xf numFmtId="0" fontId="0" fillId="4" borderId="0" xfId="0" applyFill="1" applyAlignment="1">
      <alignment horizontal="left"/>
    </xf>
    <xf numFmtId="10" fontId="0" fillId="0" borderId="1" xfId="0" applyNumberFormat="1" applyBorder="1" applyAlignment="1">
      <alignment horizontal="right"/>
    </xf>
    <xf numFmtId="0" fontId="0" fillId="0" borderId="1" xfId="0" applyBorder="1"/>
    <xf numFmtId="10" fontId="0" fillId="0" borderId="1" xfId="0" applyNumberFormat="1" applyBorder="1"/>
    <xf numFmtId="10" fontId="0" fillId="0" borderId="7" xfId="0" applyNumberFormat="1" applyBorder="1"/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166" fontId="0" fillId="0" borderId="1" xfId="1" applyNumberFormat="1" applyFont="1" applyBorder="1" applyAlignment="1"/>
    <xf numFmtId="166" fontId="0" fillId="3" borderId="1" xfId="0" applyNumberFormat="1" applyFill="1" applyBorder="1"/>
    <xf numFmtId="166" fontId="7" fillId="0" borderId="1" xfId="1" applyNumberFormat="1" applyFont="1" applyBorder="1"/>
    <xf numFmtId="166" fontId="0" fillId="3" borderId="1" xfId="1" applyNumberFormat="1" applyFont="1" applyFill="1" applyBorder="1" applyAlignment="1"/>
    <xf numFmtId="9" fontId="0" fillId="0" borderId="1" xfId="0" applyNumberFormat="1" applyBorder="1" applyAlignment="1">
      <alignment horizontal="right"/>
    </xf>
    <xf numFmtId="165" fontId="0" fillId="3" borderId="1" xfId="2" applyNumberFormat="1" applyFont="1" applyFill="1" applyBorder="1" applyAlignment="1">
      <alignment horizontal="right"/>
    </xf>
    <xf numFmtId="10" fontId="0" fillId="3" borderId="11" xfId="2" applyNumberFormat="1" applyFont="1" applyFill="1" applyBorder="1" applyAlignment="1"/>
    <xf numFmtId="9" fontId="0" fillId="0" borderId="1" xfId="0" applyNumberFormat="1" applyBorder="1"/>
    <xf numFmtId="166" fontId="0" fillId="3" borderId="12" xfId="0" applyNumberFormat="1" applyFill="1" applyBorder="1" applyAlignment="1">
      <alignment horizontal="right"/>
    </xf>
    <xf numFmtId="166" fontId="0" fillId="3" borderId="1" xfId="0" applyNumberFormat="1" applyFill="1" applyBorder="1" applyAlignment="1">
      <alignment horizontal="right"/>
    </xf>
    <xf numFmtId="166" fontId="0" fillId="0" borderId="1" xfId="1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166" fontId="7" fillId="0" borderId="1" xfId="1" applyNumberFormat="1" applyFont="1" applyBorder="1" applyAlignment="1">
      <alignment horizontal="right"/>
    </xf>
    <xf numFmtId="0" fontId="6" fillId="5" borderId="1" xfId="0" applyFont="1" applyFill="1" applyBorder="1"/>
    <xf numFmtId="0" fontId="3" fillId="2" borderId="0" xfId="0" applyFont="1" applyFill="1" applyAlignment="1">
      <alignment horizontal="center" vertical="center" wrapText="1"/>
    </xf>
    <xf numFmtId="0" fontId="6" fillId="5" borderId="12" xfId="0" applyFont="1" applyFill="1" applyBorder="1"/>
    <xf numFmtId="0" fontId="6" fillId="5" borderId="11" xfId="0" applyFont="1" applyFill="1" applyBorder="1"/>
    <xf numFmtId="166" fontId="2" fillId="7" borderId="1" xfId="0" applyNumberFormat="1" applyFont="1" applyFill="1" applyBorder="1" applyAlignment="1">
      <alignment horizontal="right"/>
    </xf>
    <xf numFmtId="0" fontId="8" fillId="7" borderId="1" xfId="0" applyFont="1" applyFill="1" applyBorder="1"/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11" fillId="6" borderId="1" xfId="0" applyFont="1" applyFill="1" applyBorder="1" applyAlignment="1">
      <alignment horizontal="left"/>
    </xf>
    <xf numFmtId="166" fontId="2" fillId="7" borderId="1" xfId="1" applyNumberFormat="1" applyFont="1" applyFill="1" applyBorder="1" applyAlignment="1"/>
    <xf numFmtId="0" fontId="8" fillId="7" borderId="3" xfId="0" applyFont="1" applyFill="1" applyBorder="1"/>
    <xf numFmtId="166" fontId="2" fillId="7" borderId="4" xfId="1" applyNumberFormat="1" applyFont="1" applyFill="1" applyBorder="1" applyAlignment="1"/>
    <xf numFmtId="166" fontId="2" fillId="7" borderId="5" xfId="1" applyNumberFormat="1" applyFont="1" applyFill="1" applyBorder="1" applyAlignment="1"/>
    <xf numFmtId="0" fontId="8" fillId="7" borderId="6" xfId="0" applyFont="1" applyFill="1" applyBorder="1"/>
    <xf numFmtId="166" fontId="2" fillId="7" borderId="7" xfId="1" applyNumberFormat="1" applyFont="1" applyFill="1" applyBorder="1" applyAlignment="1"/>
    <xf numFmtId="0" fontId="8" fillId="7" borderId="8" xfId="0" applyFont="1" applyFill="1" applyBorder="1"/>
    <xf numFmtId="166" fontId="2" fillId="7" borderId="9" xfId="1" applyNumberFormat="1" applyFont="1" applyFill="1" applyBorder="1" applyAlignment="1"/>
    <xf numFmtId="166" fontId="2" fillId="7" borderId="10" xfId="1" applyNumberFormat="1" applyFont="1" applyFill="1" applyBorder="1" applyAlignment="1"/>
    <xf numFmtId="0" fontId="0" fillId="0" borderId="1" xfId="0" applyBorder="1" applyAlignment="1">
      <alignment horizontal="left"/>
    </xf>
    <xf numFmtId="167" fontId="0" fillId="3" borderId="12" xfId="1" applyNumberFormat="1" applyFont="1" applyFill="1" applyBorder="1" applyAlignment="1">
      <alignment horizontal="right"/>
    </xf>
    <xf numFmtId="10" fontId="0" fillId="0" borderId="1" xfId="2" applyNumberFormat="1" applyFont="1" applyBorder="1" applyAlignment="1"/>
    <xf numFmtId="166" fontId="0" fillId="0" borderId="1" xfId="0" applyNumberFormat="1" applyBorder="1"/>
    <xf numFmtId="166" fontId="2" fillId="3" borderId="1" xfId="1" applyNumberFormat="1" applyFont="1" applyFill="1" applyBorder="1" applyAlignment="1"/>
    <xf numFmtId="0" fontId="6" fillId="5" borderId="3" xfId="0" applyFont="1" applyFill="1" applyBorder="1"/>
    <xf numFmtId="10" fontId="0" fillId="0" borderId="5" xfId="0" applyNumberFormat="1" applyBorder="1"/>
    <xf numFmtId="0" fontId="6" fillId="5" borderId="6" xfId="0" applyFont="1" applyFill="1" applyBorder="1"/>
    <xf numFmtId="10" fontId="0" fillId="0" borderId="7" xfId="2" applyNumberFormat="1" applyFont="1" applyBorder="1" applyAlignment="1"/>
    <xf numFmtId="0" fontId="6" fillId="7" borderId="6" xfId="0" applyFont="1" applyFill="1" applyBorder="1"/>
    <xf numFmtId="166" fontId="0" fillId="0" borderId="7" xfId="0" applyNumberFormat="1" applyBorder="1"/>
    <xf numFmtId="166" fontId="2" fillId="3" borderId="7" xfId="1" applyNumberFormat="1" applyFont="1" applyFill="1" applyBorder="1" applyAlignment="1"/>
    <xf numFmtId="166" fontId="0" fillId="3" borderId="7" xfId="1" applyNumberFormat="1" applyFont="1" applyFill="1" applyBorder="1" applyAlignment="1"/>
    <xf numFmtId="0" fontId="6" fillId="5" borderId="8" xfId="0" applyFont="1" applyFill="1" applyBorder="1"/>
    <xf numFmtId="166" fontId="0" fillId="3" borderId="9" xfId="1" applyNumberFormat="1" applyFont="1" applyFill="1" applyBorder="1" applyAlignment="1"/>
    <xf numFmtId="166" fontId="0" fillId="3" borderId="10" xfId="1" applyNumberFormat="1" applyFont="1" applyFill="1" applyBorder="1" applyAlignment="1"/>
    <xf numFmtId="0" fontId="0" fillId="4" borderId="1" xfId="0" applyFill="1" applyBorder="1" applyAlignment="1">
      <alignment horizontal="left"/>
    </xf>
    <xf numFmtId="10" fontId="0" fillId="0" borderId="4" xfId="0" applyNumberFormat="1" applyBorder="1"/>
    <xf numFmtId="0" fontId="0" fillId="4" borderId="6" xfId="0" applyFill="1" applyBorder="1"/>
    <xf numFmtId="0" fontId="0" fillId="4" borderId="7" xfId="0" applyFill="1" applyBorder="1" applyAlignment="1">
      <alignment horizontal="left"/>
    </xf>
    <xf numFmtId="0" fontId="11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1" fillId="6" borderId="1" xfId="0" applyFont="1" applyFill="1" applyBorder="1" applyAlignment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34408</xdr:colOff>
      <xdr:row>74</xdr:row>
      <xdr:rowOff>171450</xdr:rowOff>
    </xdr:from>
    <xdr:to>
      <xdr:col>8</xdr:col>
      <xdr:colOff>552450</xdr:colOff>
      <xdr:row>79</xdr:row>
      <xdr:rowOff>29832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E2308B9-4F58-4FC6-82B8-D586A9447F37}"/>
            </a:ext>
          </a:extLst>
        </xdr:cNvPr>
        <xdr:cNvSpPr txBox="1"/>
      </xdr:nvSpPr>
      <xdr:spPr>
        <a:xfrm>
          <a:off x="34408" y="12392025"/>
          <a:ext cx="11547992" cy="8585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>
              <a:solidFill>
                <a:srgbClr val="FF0000"/>
              </a:solidFill>
            </a:rPr>
            <a:t>TERMS &amp; CONDITIONS: </a:t>
          </a:r>
        </a:p>
        <a:p>
          <a:endParaRPr lang="en-AU" sz="1100">
            <a:solidFill>
              <a:srgbClr val="FF0000"/>
            </a:solidFill>
          </a:endParaRPr>
        </a:p>
        <a:p>
          <a:r>
            <a:rPr lang="en-AU" sz="1100">
              <a:solidFill>
                <a:srgbClr val="FF0000"/>
              </a:solidFill>
            </a:rPr>
            <a:t>1. FORESIGHT</a:t>
          </a:r>
          <a:r>
            <a:rPr lang="en-AU" sz="1100" baseline="0">
              <a:solidFill>
                <a:srgbClr val="FF0000"/>
              </a:solidFill>
            </a:rPr>
            <a:t> PROPERTY</a:t>
          </a:r>
          <a:r>
            <a:rPr lang="en-AU" sz="1100">
              <a:solidFill>
                <a:srgbClr val="FF0000"/>
              </a:solidFill>
            </a:rPr>
            <a:t>- All rights reserved. Do not share, copy, reproduce or sell any part of this document unless you have written permission from Foresight</a:t>
          </a:r>
          <a:r>
            <a:rPr lang="en-AU" sz="1100" baseline="0">
              <a:solidFill>
                <a:srgbClr val="FF0000"/>
              </a:solidFill>
            </a:rPr>
            <a:t> Property</a:t>
          </a:r>
          <a:r>
            <a:rPr lang="en-AU" sz="1100">
              <a:solidFill>
                <a:srgbClr val="FF0000"/>
              </a:solidFill>
            </a:rPr>
            <a:t>.</a:t>
          </a:r>
        </a:p>
        <a:p>
          <a:r>
            <a:rPr lang="en-AU" sz="1100">
              <a:solidFill>
                <a:srgbClr val="FF0000"/>
              </a:solidFill>
            </a:rPr>
            <a:t> All infringements will be prosecuted. </a:t>
          </a:r>
        </a:p>
      </xdr:txBody>
    </xdr:sp>
    <xdr:clientData/>
  </xdr:twoCellAnchor>
  <xdr:twoCellAnchor editAs="oneCell">
    <xdr:from>
      <xdr:col>8</xdr:col>
      <xdr:colOff>502920</xdr:colOff>
      <xdr:row>74</xdr:row>
      <xdr:rowOff>94031</xdr:rowOff>
    </xdr:from>
    <xdr:to>
      <xdr:col>10</xdr:col>
      <xdr:colOff>687705</xdr:colOff>
      <xdr:row>79</xdr:row>
      <xdr:rowOff>130995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3DB56F-2862-4747-BB1F-98CD1ECC1B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798" b="21959"/>
        <a:stretch/>
      </xdr:blipFill>
      <xdr:spPr>
        <a:xfrm>
          <a:off x="11532870" y="12314606"/>
          <a:ext cx="1861185" cy="1040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ECF3D-F945-1740-80DB-113390697B75}">
  <dimension ref="A1:L80"/>
  <sheetViews>
    <sheetView showGridLines="0" tabSelected="1" zoomScaleNormal="100" workbookViewId="0">
      <pane ySplit="1" topLeftCell="A27" activePane="bottomLeft" state="frozen"/>
      <selection pane="bottomLeft" activeCell="I45" sqref="I45"/>
    </sheetView>
  </sheetViews>
  <sheetFormatPr defaultColWidth="0" defaultRowHeight="15.6" zeroHeight="1" x14ac:dyDescent="0.3"/>
  <cols>
    <col min="1" max="1" width="23.796875" style="12" customWidth="1"/>
    <col min="2" max="2" width="32.296875" bestFit="1" customWidth="1"/>
    <col min="3" max="3" width="16.69921875" style="1" customWidth="1"/>
    <col min="4" max="4" width="17.296875" style="1" customWidth="1"/>
    <col min="5" max="5" width="14.69921875" style="1" customWidth="1"/>
    <col min="6" max="6" width="15.296875" style="1" customWidth="1"/>
    <col min="7" max="7" width="13.796875" style="1" customWidth="1"/>
    <col min="8" max="11" width="11" customWidth="1"/>
    <col min="13" max="16384" width="11" hidden="1"/>
  </cols>
  <sheetData>
    <row r="1" spans="1:7" x14ac:dyDescent="0.3">
      <c r="A1" s="67" t="s">
        <v>0</v>
      </c>
      <c r="B1" s="67"/>
      <c r="C1" s="34" t="s">
        <v>73</v>
      </c>
      <c r="D1" s="34" t="s">
        <v>74</v>
      </c>
      <c r="E1" s="34" t="s">
        <v>75</v>
      </c>
      <c r="F1" s="34" t="s">
        <v>76</v>
      </c>
      <c r="G1" s="34" t="s">
        <v>77</v>
      </c>
    </row>
    <row r="2" spans="1:7" s="5" customFormat="1" ht="7.95" customHeight="1" x14ac:dyDescent="0.3">
      <c r="A2" s="32"/>
      <c r="B2" s="32"/>
      <c r="C2" s="33"/>
      <c r="D2" s="33"/>
      <c r="E2" s="33"/>
      <c r="F2" s="33"/>
      <c r="G2" s="33"/>
    </row>
    <row r="3" spans="1:7" x14ac:dyDescent="0.3">
      <c r="A3" s="65" t="s">
        <v>78</v>
      </c>
      <c r="B3" s="26" t="s">
        <v>1</v>
      </c>
      <c r="C3" s="2"/>
      <c r="D3" s="2"/>
      <c r="E3" s="2"/>
      <c r="F3" s="2"/>
      <c r="G3" s="2"/>
    </row>
    <row r="4" spans="1:7" x14ac:dyDescent="0.3">
      <c r="A4" s="65"/>
      <c r="B4" s="26" t="s">
        <v>2</v>
      </c>
      <c r="C4" s="2"/>
      <c r="D4" s="2"/>
      <c r="E4" s="2"/>
      <c r="F4" s="2"/>
      <c r="G4" s="2"/>
    </row>
    <row r="5" spans="1:7" x14ac:dyDescent="0.3">
      <c r="A5" s="65"/>
      <c r="B5" s="26" t="s">
        <v>3</v>
      </c>
      <c r="C5" s="2"/>
      <c r="D5" s="2"/>
      <c r="E5" s="2"/>
      <c r="F5" s="44"/>
      <c r="G5" s="44"/>
    </row>
    <row r="6" spans="1:7" x14ac:dyDescent="0.3">
      <c r="A6" s="65"/>
      <c r="B6" s="26" t="s">
        <v>4</v>
      </c>
      <c r="C6" s="2" t="s">
        <v>5</v>
      </c>
      <c r="D6" s="2" t="s">
        <v>5</v>
      </c>
      <c r="E6" s="2" t="s">
        <v>5</v>
      </c>
      <c r="F6" s="2" t="s">
        <v>6</v>
      </c>
      <c r="G6" s="2" t="s">
        <v>5</v>
      </c>
    </row>
    <row r="7" spans="1:7" ht="16.2" x14ac:dyDescent="0.3">
      <c r="A7" s="65"/>
      <c r="B7" s="26" t="s">
        <v>7</v>
      </c>
      <c r="C7" s="3">
        <v>734</v>
      </c>
      <c r="D7" s="3">
        <v>600</v>
      </c>
      <c r="E7" s="3">
        <v>534</v>
      </c>
      <c r="F7" s="3">
        <v>742</v>
      </c>
      <c r="G7" s="3">
        <v>563</v>
      </c>
    </row>
    <row r="8" spans="1:7" x14ac:dyDescent="0.3">
      <c r="A8" s="65"/>
      <c r="B8" s="26" t="s">
        <v>8</v>
      </c>
      <c r="C8" s="2" t="s">
        <v>9</v>
      </c>
      <c r="D8" s="2" t="s">
        <v>9</v>
      </c>
      <c r="E8" s="2" t="s">
        <v>10</v>
      </c>
      <c r="F8" s="2" t="s">
        <v>11</v>
      </c>
      <c r="G8" s="2" t="s">
        <v>10</v>
      </c>
    </row>
    <row r="9" spans="1:7" x14ac:dyDescent="0.3">
      <c r="A9" s="65"/>
      <c r="B9" s="26" t="s">
        <v>12</v>
      </c>
      <c r="C9" s="4"/>
      <c r="D9" s="4"/>
      <c r="E9" s="4"/>
      <c r="F9" s="4"/>
      <c r="G9" s="4"/>
    </row>
    <row r="10" spans="1:7" s="5" customFormat="1" ht="10.95" customHeight="1" x14ac:dyDescent="0.3">
      <c r="A10" s="11"/>
      <c r="C10" s="6"/>
      <c r="D10" s="6"/>
      <c r="E10" s="6"/>
      <c r="F10" s="6"/>
      <c r="G10" s="6"/>
    </row>
    <row r="11" spans="1:7" x14ac:dyDescent="0.3">
      <c r="A11" s="66" t="s">
        <v>79</v>
      </c>
      <c r="B11" s="26" t="s">
        <v>13</v>
      </c>
      <c r="C11" s="24">
        <v>700000</v>
      </c>
      <c r="D11" s="24">
        <v>851000</v>
      </c>
      <c r="E11" s="24">
        <v>570000</v>
      </c>
      <c r="F11" s="24">
        <v>633500</v>
      </c>
      <c r="G11" s="24">
        <v>1005000</v>
      </c>
    </row>
    <row r="12" spans="1:7" x14ac:dyDescent="0.3">
      <c r="A12" s="66"/>
      <c r="B12" s="26" t="s">
        <v>14</v>
      </c>
      <c r="C12" s="24">
        <v>700</v>
      </c>
      <c r="D12" s="24">
        <v>750</v>
      </c>
      <c r="E12" s="24">
        <v>500</v>
      </c>
      <c r="F12" s="24">
        <v>900</v>
      </c>
      <c r="G12" s="24">
        <v>570</v>
      </c>
    </row>
    <row r="13" spans="1:7" x14ac:dyDescent="0.3">
      <c r="A13" s="66"/>
      <c r="B13" s="26" t="s">
        <v>15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3">
      <c r="A14" s="66"/>
      <c r="B14" s="26" t="s">
        <v>16</v>
      </c>
      <c r="C14" s="23">
        <f t="shared" ref="C14:G14" si="0">2000+600+300</f>
        <v>2900</v>
      </c>
      <c r="D14" s="23">
        <f t="shared" si="0"/>
        <v>2900</v>
      </c>
      <c r="E14" s="23">
        <f t="shared" si="0"/>
        <v>2900</v>
      </c>
      <c r="F14" s="23">
        <f t="shared" si="0"/>
        <v>2900</v>
      </c>
      <c r="G14" s="23">
        <f t="shared" si="0"/>
        <v>2900</v>
      </c>
    </row>
    <row r="15" spans="1:7" x14ac:dyDescent="0.3">
      <c r="A15" s="66"/>
      <c r="B15" s="26" t="s">
        <v>17</v>
      </c>
      <c r="C15" s="25">
        <f>IF(C11&gt;=75000, IF(C11&lt;=540000, 1050+(C11-75000)*3.5/100, 17325+(C11-540000)*4.5/100), "")</f>
        <v>24525</v>
      </c>
      <c r="D15" s="25">
        <f>IF(D11&gt;=75000, IF(D11&lt;=540000, 1050+(D11-75000)*3.5/100, 17325+(D11-540000)*4.5/100), "")</f>
        <v>31320</v>
      </c>
      <c r="E15" s="25">
        <f>IF(E11&lt;960001, IF(E11&gt;=130001, 2870+(E11-130000)*6/100, E11*5.5/100), "")</f>
        <v>29270</v>
      </c>
      <c r="F15" s="25">
        <f>IF(F11&gt;=75000, IF(F11&lt;=540000, 1050+(F11-75000)*3.5/100, 17325+(F11-540000)*4.5/100), "")</f>
        <v>21532.5</v>
      </c>
      <c r="G15" s="25">
        <f>IF(G11&gt;=364000, IF(G11&lt;=1210000, 1564+(G11-364000)*3.5/100, 10909 +(G11-1210000)*0.5/100), "")</f>
        <v>23999</v>
      </c>
    </row>
    <row r="16" spans="1:7" x14ac:dyDescent="0.3">
      <c r="A16" s="66"/>
      <c r="B16" s="26" t="s">
        <v>18</v>
      </c>
      <c r="C16" s="23">
        <v>212500</v>
      </c>
      <c r="D16" s="23">
        <v>400000</v>
      </c>
      <c r="E16" s="23">
        <v>400000</v>
      </c>
      <c r="F16" s="23">
        <v>142000</v>
      </c>
      <c r="G16" s="23">
        <v>650000</v>
      </c>
    </row>
    <row r="17" spans="1:7" x14ac:dyDescent="0.3">
      <c r="A17" s="66"/>
      <c r="B17" s="26" t="s">
        <v>19</v>
      </c>
      <c r="C17" s="17">
        <v>0.8</v>
      </c>
      <c r="D17" s="17">
        <v>0.8</v>
      </c>
      <c r="E17" s="17">
        <v>0.8</v>
      </c>
      <c r="F17" s="17">
        <v>0.8</v>
      </c>
      <c r="G17" s="17">
        <v>0.8</v>
      </c>
    </row>
    <row r="18" spans="1:7" x14ac:dyDescent="0.3">
      <c r="A18" s="66"/>
      <c r="B18" s="28" t="s">
        <v>20</v>
      </c>
      <c r="C18" s="45">
        <f t="shared" ref="C18:G18" si="1">IF(C17&lt;=0.8,0,C20*0.018)</f>
        <v>0</v>
      </c>
      <c r="D18" s="45">
        <f t="shared" si="1"/>
        <v>0</v>
      </c>
      <c r="E18" s="45">
        <f t="shared" si="1"/>
        <v>0</v>
      </c>
      <c r="F18" s="45">
        <f t="shared" si="1"/>
        <v>0</v>
      </c>
      <c r="G18" s="45">
        <f t="shared" si="1"/>
        <v>0</v>
      </c>
    </row>
    <row r="19" spans="1:7" x14ac:dyDescent="0.3">
      <c r="A19" s="66"/>
      <c r="B19" s="28" t="s">
        <v>21</v>
      </c>
      <c r="C19" s="21">
        <f t="shared" ref="C19:G19" si="2">C11*(1-C17)</f>
        <v>139999.99999999997</v>
      </c>
      <c r="D19" s="21">
        <f t="shared" si="2"/>
        <v>170199.99999999997</v>
      </c>
      <c r="E19" s="21">
        <f t="shared" si="2"/>
        <v>113999.99999999997</v>
      </c>
      <c r="F19" s="21">
        <f t="shared" si="2"/>
        <v>126699.99999999997</v>
      </c>
      <c r="G19" s="21">
        <f t="shared" si="2"/>
        <v>200999.99999999994</v>
      </c>
    </row>
    <row r="20" spans="1:7" x14ac:dyDescent="0.3">
      <c r="A20" s="66"/>
      <c r="B20" s="26" t="s">
        <v>22</v>
      </c>
      <c r="C20" s="22">
        <f t="shared" ref="C20:G20" si="3">C11*C17</f>
        <v>560000</v>
      </c>
      <c r="D20" s="22">
        <f t="shared" si="3"/>
        <v>680800</v>
      </c>
      <c r="E20" s="22">
        <f t="shared" si="3"/>
        <v>456000</v>
      </c>
      <c r="F20" s="22">
        <f t="shared" si="3"/>
        <v>506800</v>
      </c>
      <c r="G20" s="22">
        <f t="shared" si="3"/>
        <v>804000</v>
      </c>
    </row>
    <row r="21" spans="1:7" x14ac:dyDescent="0.3">
      <c r="A21" s="66"/>
      <c r="B21" s="26" t="s">
        <v>23</v>
      </c>
      <c r="C21" s="18">
        <f t="shared" ref="C21:G21" si="4">C12*52/C11</f>
        <v>5.1999999999999998E-2</v>
      </c>
      <c r="D21" s="18">
        <f t="shared" si="4"/>
        <v>4.5828437132784956E-2</v>
      </c>
      <c r="E21" s="18">
        <f t="shared" si="4"/>
        <v>4.5614035087719301E-2</v>
      </c>
      <c r="F21" s="18">
        <f t="shared" si="4"/>
        <v>7.3875295974743488E-2</v>
      </c>
      <c r="G21" s="18">
        <f t="shared" si="4"/>
        <v>2.9492537313432834E-2</v>
      </c>
    </row>
    <row r="22" spans="1:7" ht="16.2" x14ac:dyDescent="0.3">
      <c r="A22" s="66"/>
      <c r="B22" s="26" t="s">
        <v>24</v>
      </c>
      <c r="C22" s="22">
        <f t="shared" ref="C22:G22" si="5">C11/C7</f>
        <v>953.67847411444143</v>
      </c>
      <c r="D22" s="22">
        <f t="shared" si="5"/>
        <v>1418.3333333333333</v>
      </c>
      <c r="E22" s="22">
        <f t="shared" si="5"/>
        <v>1067.4157303370787</v>
      </c>
      <c r="F22" s="22">
        <f t="shared" si="5"/>
        <v>853.77358490566041</v>
      </c>
      <c r="G22" s="22">
        <f t="shared" si="5"/>
        <v>1785.0799289520426</v>
      </c>
    </row>
    <row r="23" spans="1:7" x14ac:dyDescent="0.3">
      <c r="A23" s="66"/>
      <c r="B23" s="26" t="s">
        <v>25</v>
      </c>
      <c r="C23" s="18">
        <f t="shared" ref="C23:G23" si="6">C16/C11</f>
        <v>0.30357142857142855</v>
      </c>
      <c r="D23" s="18">
        <f t="shared" si="6"/>
        <v>0.4700352526439483</v>
      </c>
      <c r="E23" s="18">
        <f t="shared" si="6"/>
        <v>0.70175438596491224</v>
      </c>
      <c r="F23" s="18">
        <f t="shared" si="6"/>
        <v>0.22415153906866614</v>
      </c>
      <c r="G23" s="18">
        <f t="shared" si="6"/>
        <v>0.64676616915422891</v>
      </c>
    </row>
    <row r="24" spans="1:7" x14ac:dyDescent="0.3">
      <c r="A24" s="66"/>
      <c r="B24" s="31" t="s">
        <v>26</v>
      </c>
      <c r="C24" s="30">
        <f t="shared" ref="C24:G24" si="7">C13+C14+C15+C18+C19</f>
        <v>167424.99999999997</v>
      </c>
      <c r="D24" s="30">
        <f t="shared" si="7"/>
        <v>204419.99999999997</v>
      </c>
      <c r="E24" s="30">
        <f t="shared" si="7"/>
        <v>146169.99999999997</v>
      </c>
      <c r="F24" s="30">
        <f t="shared" si="7"/>
        <v>151132.49999999997</v>
      </c>
      <c r="G24" s="30">
        <f t="shared" si="7"/>
        <v>227898.99999999994</v>
      </c>
    </row>
    <row r="25" spans="1:7" s="11" customFormat="1" ht="10.95" customHeight="1" x14ac:dyDescent="0.3"/>
    <row r="26" spans="1:7" x14ac:dyDescent="0.3">
      <c r="A26" s="66" t="s">
        <v>80</v>
      </c>
      <c r="B26" s="26" t="s">
        <v>27</v>
      </c>
      <c r="C26" s="7">
        <v>6.3E-2</v>
      </c>
      <c r="D26" s="7">
        <v>6.3E-2</v>
      </c>
      <c r="E26" s="7">
        <v>6.3E-2</v>
      </c>
      <c r="F26" s="7">
        <v>6.3E-2</v>
      </c>
      <c r="G26" s="7">
        <v>6.3E-2</v>
      </c>
    </row>
    <row r="27" spans="1:7" x14ac:dyDescent="0.3">
      <c r="A27" s="66"/>
      <c r="B27" s="26" t="s">
        <v>28</v>
      </c>
      <c r="C27" s="8">
        <v>2</v>
      </c>
      <c r="D27" s="8">
        <v>2</v>
      </c>
      <c r="E27" s="8">
        <v>2</v>
      </c>
      <c r="F27" s="8">
        <v>2</v>
      </c>
      <c r="G27" s="8">
        <v>2</v>
      </c>
    </row>
    <row r="28" spans="1:7" x14ac:dyDescent="0.3">
      <c r="A28" s="66"/>
      <c r="B28" s="26" t="s">
        <v>29</v>
      </c>
      <c r="C28" s="9">
        <v>7.6999999999999999E-2</v>
      </c>
      <c r="D28" s="9">
        <v>6.6000000000000003E-2</v>
      </c>
      <c r="E28" s="9">
        <v>5.5E-2</v>
      </c>
      <c r="F28" s="9">
        <v>7.6999999999999999E-2</v>
      </c>
      <c r="G28" s="9">
        <v>5.5E-2</v>
      </c>
    </row>
    <row r="29" spans="1:7" x14ac:dyDescent="0.3">
      <c r="A29" s="66"/>
      <c r="B29" s="26" t="s">
        <v>30</v>
      </c>
      <c r="C29" s="13">
        <v>4000</v>
      </c>
      <c r="D29" s="13">
        <v>6000</v>
      </c>
      <c r="E29" s="13">
        <v>3000</v>
      </c>
      <c r="F29" s="13">
        <v>4800</v>
      </c>
      <c r="G29" s="13">
        <v>4800</v>
      </c>
    </row>
    <row r="30" spans="1:7" x14ac:dyDescent="0.3">
      <c r="A30" s="66"/>
      <c r="B30" s="26" t="s">
        <v>31</v>
      </c>
      <c r="C30" s="20">
        <v>0.37</v>
      </c>
      <c r="D30" s="20">
        <v>0.37</v>
      </c>
      <c r="E30" s="20">
        <v>0.37</v>
      </c>
      <c r="F30" s="20">
        <v>0.37</v>
      </c>
      <c r="G30" s="20">
        <v>0.37</v>
      </c>
    </row>
    <row r="31" spans="1:7" x14ac:dyDescent="0.3">
      <c r="A31" s="66"/>
      <c r="B31" s="26" t="s">
        <v>32</v>
      </c>
      <c r="C31" s="16">
        <f>C12</f>
        <v>700</v>
      </c>
      <c r="D31" s="16">
        <f>D12</f>
        <v>750</v>
      </c>
      <c r="E31" s="16">
        <v>520</v>
      </c>
      <c r="F31" s="16">
        <f>F12</f>
        <v>900</v>
      </c>
      <c r="G31" s="16">
        <f>G12</f>
        <v>570</v>
      </c>
    </row>
    <row r="32" spans="1:7" x14ac:dyDescent="0.3">
      <c r="A32" s="66"/>
      <c r="B32" s="26" t="s">
        <v>33</v>
      </c>
      <c r="C32" s="14">
        <f t="shared" ref="C32:G32" si="8">C31*(52-C27)</f>
        <v>35000</v>
      </c>
      <c r="D32" s="14">
        <f t="shared" si="8"/>
        <v>37500</v>
      </c>
      <c r="E32" s="14">
        <f t="shared" si="8"/>
        <v>26000</v>
      </c>
      <c r="F32" s="14">
        <f t="shared" si="8"/>
        <v>45000</v>
      </c>
      <c r="G32" s="14">
        <f t="shared" si="8"/>
        <v>28500</v>
      </c>
    </row>
    <row r="33" spans="1:7" x14ac:dyDescent="0.3">
      <c r="A33" s="66"/>
      <c r="B33" s="26" t="s">
        <v>34</v>
      </c>
      <c r="C33" s="14">
        <f t="shared" ref="C33:G33" si="9">C20*C26</f>
        <v>35280</v>
      </c>
      <c r="D33" s="14">
        <f t="shared" si="9"/>
        <v>42890.400000000001</v>
      </c>
      <c r="E33" s="14">
        <f t="shared" si="9"/>
        <v>28728</v>
      </c>
      <c r="F33" s="14">
        <f t="shared" si="9"/>
        <v>31928.400000000001</v>
      </c>
      <c r="G33" s="14">
        <f t="shared" si="9"/>
        <v>50652</v>
      </c>
    </row>
    <row r="34" spans="1:7" x14ac:dyDescent="0.3">
      <c r="A34" s="66"/>
      <c r="B34" s="26" t="s">
        <v>35</v>
      </c>
      <c r="C34" s="15">
        <v>0</v>
      </c>
      <c r="D34" s="15">
        <v>0</v>
      </c>
      <c r="E34" s="15">
        <v>1650</v>
      </c>
      <c r="F34" s="15">
        <v>0</v>
      </c>
      <c r="G34" s="15">
        <v>0</v>
      </c>
    </row>
    <row r="35" spans="1:7" x14ac:dyDescent="0.3">
      <c r="A35" s="66"/>
      <c r="B35" s="26" t="s">
        <v>36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</row>
    <row r="36" spans="1:7" x14ac:dyDescent="0.3">
      <c r="A36" s="66"/>
      <c r="B36" s="26" t="s">
        <v>37</v>
      </c>
      <c r="C36" s="13">
        <v>4500</v>
      </c>
      <c r="D36" s="13">
        <v>3200</v>
      </c>
      <c r="E36" s="13">
        <v>3500</v>
      </c>
      <c r="F36" s="13">
        <v>6600</v>
      </c>
      <c r="G36" s="13">
        <v>3500</v>
      </c>
    </row>
    <row r="37" spans="1:7" x14ac:dyDescent="0.3">
      <c r="A37" s="66"/>
      <c r="B37" s="26" t="s">
        <v>38</v>
      </c>
      <c r="C37" s="13">
        <v>0</v>
      </c>
      <c r="D37" s="13">
        <v>1200</v>
      </c>
      <c r="E37" s="13">
        <v>1500</v>
      </c>
      <c r="F37" s="13">
        <v>0</v>
      </c>
      <c r="G37" s="13">
        <v>0</v>
      </c>
    </row>
    <row r="38" spans="1:7" x14ac:dyDescent="0.3">
      <c r="A38" s="66"/>
      <c r="B38" s="26" t="s">
        <v>39</v>
      </c>
      <c r="C38" s="13">
        <v>2200</v>
      </c>
      <c r="D38" s="13">
        <v>1200</v>
      </c>
      <c r="E38" s="13">
        <v>1200</v>
      </c>
      <c r="F38" s="13">
        <v>2600</v>
      </c>
      <c r="G38" s="13">
        <v>1500</v>
      </c>
    </row>
    <row r="39" spans="1:7" x14ac:dyDescent="0.3">
      <c r="A39" s="66"/>
      <c r="B39" s="26" t="s">
        <v>40</v>
      </c>
      <c r="C39" s="13">
        <f>2000</f>
        <v>2000</v>
      </c>
      <c r="D39" s="13">
        <f>2000</f>
        <v>2000</v>
      </c>
      <c r="E39" s="13">
        <f>2000</f>
        <v>2000</v>
      </c>
      <c r="F39" s="13">
        <f>2000</f>
        <v>2000</v>
      </c>
      <c r="G39" s="13">
        <f>2000</f>
        <v>2000</v>
      </c>
    </row>
    <row r="40" spans="1:7" x14ac:dyDescent="0.3">
      <c r="A40" s="66"/>
      <c r="B40" s="26" t="s">
        <v>41</v>
      </c>
      <c r="C40" s="14">
        <f t="shared" ref="C40:G40" si="10">C32*C28+C31</f>
        <v>3395</v>
      </c>
      <c r="D40" s="14">
        <f t="shared" si="10"/>
        <v>3225</v>
      </c>
      <c r="E40" s="14">
        <f t="shared" si="10"/>
        <v>1950</v>
      </c>
      <c r="F40" s="14">
        <f t="shared" si="10"/>
        <v>4365</v>
      </c>
      <c r="G40" s="14">
        <f t="shared" si="10"/>
        <v>2137.5</v>
      </c>
    </row>
    <row r="41" spans="1:7" x14ac:dyDescent="0.3">
      <c r="A41" s="66"/>
      <c r="B41" s="26" t="s">
        <v>42</v>
      </c>
      <c r="C41" s="13">
        <f>0</f>
        <v>0</v>
      </c>
      <c r="D41" s="13">
        <f>0</f>
        <v>0</v>
      </c>
      <c r="E41" s="13">
        <f>0</f>
        <v>0</v>
      </c>
      <c r="F41" s="13">
        <f>0</f>
        <v>0</v>
      </c>
      <c r="G41" s="13">
        <f>0</f>
        <v>0</v>
      </c>
    </row>
    <row r="42" spans="1:7" ht="16.2" thickBot="1" x14ac:dyDescent="0.35">
      <c r="A42" s="66"/>
      <c r="B42" s="29" t="s">
        <v>43</v>
      </c>
      <c r="C42" s="19">
        <f>(C64+C33)/(C11+C13)</f>
        <v>3.9121428571428571E-2</v>
      </c>
      <c r="D42" s="19">
        <f t="shared" ref="D42:G42" si="11">(D64+D33)/(D11+D13)</f>
        <v>3.7745475910693306E-2</v>
      </c>
      <c r="E42" s="19">
        <f t="shared" si="11"/>
        <v>3.1312280701754389E-2</v>
      </c>
      <c r="F42" s="19">
        <f t="shared" si="11"/>
        <v>5.2864088397790054E-2</v>
      </c>
      <c r="G42" s="19">
        <f t="shared" si="11"/>
        <v>2.5666169154228854E-2</v>
      </c>
    </row>
    <row r="43" spans="1:7" x14ac:dyDescent="0.3">
      <c r="A43" s="66"/>
      <c r="B43" s="36" t="s">
        <v>44</v>
      </c>
      <c r="C43" s="37">
        <f t="shared" ref="C43:G43" si="12">C32-C33-C34-C35-C36-C37-C38-C39-C40-C41</f>
        <v>-12375</v>
      </c>
      <c r="D43" s="37">
        <f t="shared" si="12"/>
        <v>-16215.400000000001</v>
      </c>
      <c r="E43" s="37">
        <f t="shared" si="12"/>
        <v>-14528</v>
      </c>
      <c r="F43" s="37">
        <f t="shared" si="12"/>
        <v>-2493.4000000000015</v>
      </c>
      <c r="G43" s="38">
        <f t="shared" si="12"/>
        <v>-31289.5</v>
      </c>
    </row>
    <row r="44" spans="1:7" x14ac:dyDescent="0.3">
      <c r="A44" s="66"/>
      <c r="B44" s="39" t="s">
        <v>45</v>
      </c>
      <c r="C44" s="35">
        <f t="shared" ref="C44:G44" si="13">C43-(C43-C29)*C30</f>
        <v>-6316.25</v>
      </c>
      <c r="D44" s="35">
        <f t="shared" si="13"/>
        <v>-7995.7020000000011</v>
      </c>
      <c r="E44" s="35">
        <f t="shared" si="13"/>
        <v>-8042.64</v>
      </c>
      <c r="F44" s="35">
        <f t="shared" si="13"/>
        <v>205.15799999999899</v>
      </c>
      <c r="G44" s="40">
        <f t="shared" si="13"/>
        <v>-17936.385000000002</v>
      </c>
    </row>
    <row r="45" spans="1:7" x14ac:dyDescent="0.3">
      <c r="A45" s="27"/>
      <c r="B45" s="39" t="s">
        <v>46</v>
      </c>
      <c r="C45" s="35">
        <f t="shared" ref="C45:F46" si="14">C43/12</f>
        <v>-1031.25</v>
      </c>
      <c r="D45" s="35">
        <f t="shared" si="14"/>
        <v>-1351.2833333333335</v>
      </c>
      <c r="E45" s="35">
        <f t="shared" si="14"/>
        <v>-1210.6666666666667</v>
      </c>
      <c r="F45" s="35">
        <f t="shared" si="14"/>
        <v>-207.78333333333345</v>
      </c>
      <c r="G45" s="40">
        <f t="shared" ref="G45" si="15">G43/12</f>
        <v>-2607.4583333333335</v>
      </c>
    </row>
    <row r="46" spans="1:7" ht="16.2" thickBot="1" x14ac:dyDescent="0.35">
      <c r="A46" s="27"/>
      <c r="B46" s="41" t="s">
        <v>47</v>
      </c>
      <c r="C46" s="42">
        <f t="shared" si="14"/>
        <v>-526.35416666666663</v>
      </c>
      <c r="D46" s="42">
        <f t="shared" si="14"/>
        <v>-666.30850000000009</v>
      </c>
      <c r="E46" s="42">
        <f t="shared" si="14"/>
        <v>-670.22</v>
      </c>
      <c r="F46" s="42">
        <f t="shared" si="14"/>
        <v>17.096499999999917</v>
      </c>
      <c r="G46" s="43">
        <f t="shared" ref="G46" si="16">G44/12</f>
        <v>-1494.6987500000002</v>
      </c>
    </row>
    <row r="47" spans="1:7" s="5" customFormat="1" ht="16.2" thickBot="1" x14ac:dyDescent="0.35">
      <c r="A47" s="11"/>
      <c r="C47" s="6"/>
      <c r="D47" s="6"/>
      <c r="E47" s="6"/>
      <c r="F47" s="6"/>
      <c r="G47" s="6"/>
    </row>
    <row r="48" spans="1:7" x14ac:dyDescent="0.3">
      <c r="A48" s="64" t="s">
        <v>81</v>
      </c>
      <c r="B48" s="49" t="s">
        <v>48</v>
      </c>
      <c r="C48" s="61">
        <v>0.03</v>
      </c>
      <c r="D48" s="61">
        <v>0.03</v>
      </c>
      <c r="E48" s="61">
        <v>0.03</v>
      </c>
      <c r="F48" s="61">
        <v>0.03</v>
      </c>
      <c r="G48" s="50">
        <v>0.03</v>
      </c>
    </row>
    <row r="49" spans="1:7" x14ac:dyDescent="0.3">
      <c r="A49" s="64"/>
      <c r="B49" s="51" t="s">
        <v>72</v>
      </c>
      <c r="C49" s="9">
        <v>5.5E-2</v>
      </c>
      <c r="D49" s="9">
        <v>5.5E-2</v>
      </c>
      <c r="E49" s="9">
        <v>5.5E-2</v>
      </c>
      <c r="F49" s="9">
        <v>5.5E-2</v>
      </c>
      <c r="G49" s="10">
        <v>5.5E-2</v>
      </c>
    </row>
    <row r="50" spans="1:7" x14ac:dyDescent="0.3">
      <c r="A50" s="64"/>
      <c r="B50" s="51" t="s">
        <v>49</v>
      </c>
      <c r="C50" s="9">
        <v>0.03</v>
      </c>
      <c r="D50" s="9">
        <v>0.03</v>
      </c>
      <c r="E50" s="9">
        <v>0.03</v>
      </c>
      <c r="F50" s="9">
        <v>0.03</v>
      </c>
      <c r="G50" s="10">
        <v>0.03</v>
      </c>
    </row>
    <row r="51" spans="1:7" hidden="1" x14ac:dyDescent="0.3">
      <c r="A51" s="64"/>
      <c r="B51" s="51" t="s">
        <v>50</v>
      </c>
      <c r="C51" s="9">
        <v>0.05</v>
      </c>
      <c r="D51" s="9">
        <v>0.05</v>
      </c>
      <c r="E51" s="9">
        <v>0.05</v>
      </c>
      <c r="F51" s="9">
        <v>0.05</v>
      </c>
      <c r="G51" s="10">
        <v>0.05</v>
      </c>
    </row>
    <row r="52" spans="1:7" hidden="1" x14ac:dyDescent="0.3">
      <c r="A52" s="64"/>
      <c r="B52" s="51" t="s">
        <v>51</v>
      </c>
      <c r="C52" s="46">
        <v>7.2499999999999995E-2</v>
      </c>
      <c r="D52" s="46">
        <v>7.2499999999999995E-2</v>
      </c>
      <c r="E52" s="46">
        <v>7.2499999999999995E-2</v>
      </c>
      <c r="F52" s="46">
        <v>7.2499999999999995E-2</v>
      </c>
      <c r="G52" s="52">
        <v>7.2499999999999995E-2</v>
      </c>
    </row>
    <row r="53" spans="1:7" hidden="1" x14ac:dyDescent="0.3">
      <c r="A53" s="64"/>
      <c r="B53" s="53" t="s">
        <v>52</v>
      </c>
      <c r="C53" s="47">
        <f t="shared" ref="C53:G53" si="17">C32</f>
        <v>35000</v>
      </c>
      <c r="D53" s="47">
        <f t="shared" si="17"/>
        <v>37500</v>
      </c>
      <c r="E53" s="47">
        <f t="shared" si="17"/>
        <v>26000</v>
      </c>
      <c r="F53" s="47">
        <f t="shared" si="17"/>
        <v>45000</v>
      </c>
      <c r="G53" s="54">
        <f t="shared" si="17"/>
        <v>28500</v>
      </c>
    </row>
    <row r="54" spans="1:7" hidden="1" x14ac:dyDescent="0.3">
      <c r="A54" s="64"/>
      <c r="B54" s="53" t="s">
        <v>53</v>
      </c>
      <c r="C54" s="47">
        <f t="shared" ref="C54:C62" si="18">C53*(1+C$50)</f>
        <v>36050</v>
      </c>
      <c r="D54" s="47">
        <f t="shared" ref="D54:D62" si="19">D53*(1+D$50)</f>
        <v>38625</v>
      </c>
      <c r="E54" s="47">
        <f t="shared" ref="E54:E62" si="20">E53*(1+E$50)</f>
        <v>26780</v>
      </c>
      <c r="F54" s="47">
        <f t="shared" ref="F54:G62" si="21">F53*(1+F$50)</f>
        <v>46350</v>
      </c>
      <c r="G54" s="54">
        <f t="shared" si="21"/>
        <v>29355</v>
      </c>
    </row>
    <row r="55" spans="1:7" hidden="1" x14ac:dyDescent="0.3">
      <c r="A55" s="64"/>
      <c r="B55" s="53" t="s">
        <v>54</v>
      </c>
      <c r="C55" s="47">
        <f t="shared" si="18"/>
        <v>37131.5</v>
      </c>
      <c r="D55" s="47">
        <f t="shared" si="19"/>
        <v>39783.75</v>
      </c>
      <c r="E55" s="47">
        <f t="shared" si="20"/>
        <v>27583.4</v>
      </c>
      <c r="F55" s="47">
        <f t="shared" si="21"/>
        <v>47740.5</v>
      </c>
      <c r="G55" s="54">
        <f t="shared" si="21"/>
        <v>30235.65</v>
      </c>
    </row>
    <row r="56" spans="1:7" hidden="1" x14ac:dyDescent="0.3">
      <c r="A56" s="64"/>
      <c r="B56" s="53" t="s">
        <v>55</v>
      </c>
      <c r="C56" s="47">
        <f t="shared" si="18"/>
        <v>38245.445</v>
      </c>
      <c r="D56" s="47">
        <f t="shared" si="19"/>
        <v>40977.262500000004</v>
      </c>
      <c r="E56" s="47">
        <f t="shared" si="20"/>
        <v>28410.902000000002</v>
      </c>
      <c r="F56" s="47">
        <f t="shared" si="21"/>
        <v>49172.715000000004</v>
      </c>
      <c r="G56" s="54">
        <f t="shared" si="21"/>
        <v>31142.719500000003</v>
      </c>
    </row>
    <row r="57" spans="1:7" hidden="1" x14ac:dyDescent="0.3">
      <c r="A57" s="64"/>
      <c r="B57" s="53" t="s">
        <v>56</v>
      </c>
      <c r="C57" s="47">
        <f t="shared" si="18"/>
        <v>39392.808349999999</v>
      </c>
      <c r="D57" s="47">
        <f t="shared" si="19"/>
        <v>42206.580375000005</v>
      </c>
      <c r="E57" s="47">
        <f t="shared" si="20"/>
        <v>29263.229060000001</v>
      </c>
      <c r="F57" s="47">
        <f t="shared" si="21"/>
        <v>50647.896450000007</v>
      </c>
      <c r="G57" s="54">
        <f t="shared" si="21"/>
        <v>32077.001085000004</v>
      </c>
    </row>
    <row r="58" spans="1:7" hidden="1" x14ac:dyDescent="0.3">
      <c r="A58" s="64"/>
      <c r="B58" s="53" t="s">
        <v>57</v>
      </c>
      <c r="C58" s="47">
        <f t="shared" si="18"/>
        <v>40574.5926005</v>
      </c>
      <c r="D58" s="47">
        <f t="shared" si="19"/>
        <v>43472.777786250008</v>
      </c>
      <c r="E58" s="47">
        <f t="shared" si="20"/>
        <v>30141.125931800001</v>
      </c>
      <c r="F58" s="47">
        <f t="shared" si="21"/>
        <v>52167.33334350001</v>
      </c>
      <c r="G58" s="54">
        <f t="shared" si="21"/>
        <v>33039.311117550002</v>
      </c>
    </row>
    <row r="59" spans="1:7" hidden="1" x14ac:dyDescent="0.3">
      <c r="A59" s="64"/>
      <c r="B59" s="53" t="s">
        <v>58</v>
      </c>
      <c r="C59" s="47">
        <f t="shared" si="18"/>
        <v>41791.830378514998</v>
      </c>
      <c r="D59" s="47">
        <f t="shared" si="19"/>
        <v>44776.961119837506</v>
      </c>
      <c r="E59" s="47">
        <f t="shared" si="20"/>
        <v>31045.359709754001</v>
      </c>
      <c r="F59" s="47">
        <f t="shared" si="21"/>
        <v>53732.353343805014</v>
      </c>
      <c r="G59" s="54">
        <f t="shared" si="21"/>
        <v>34030.490451076505</v>
      </c>
    </row>
    <row r="60" spans="1:7" hidden="1" x14ac:dyDescent="0.3">
      <c r="A60" s="64"/>
      <c r="B60" s="53" t="s">
        <v>59</v>
      </c>
      <c r="C60" s="47">
        <f t="shared" si="18"/>
        <v>43045.585289870447</v>
      </c>
      <c r="D60" s="47">
        <f t="shared" si="19"/>
        <v>46120.269953432631</v>
      </c>
      <c r="E60" s="47">
        <f t="shared" si="20"/>
        <v>31976.72050104662</v>
      </c>
      <c r="F60" s="47">
        <f t="shared" si="21"/>
        <v>55344.323944119169</v>
      </c>
      <c r="G60" s="54">
        <f t="shared" si="21"/>
        <v>35051.405164608797</v>
      </c>
    </row>
    <row r="61" spans="1:7" hidden="1" x14ac:dyDescent="0.3">
      <c r="A61" s="64"/>
      <c r="B61" s="53" t="s">
        <v>60</v>
      </c>
      <c r="C61" s="47">
        <f t="shared" si="18"/>
        <v>44336.952848566565</v>
      </c>
      <c r="D61" s="47">
        <f t="shared" si="19"/>
        <v>47503.878052035609</v>
      </c>
      <c r="E61" s="47">
        <f t="shared" si="20"/>
        <v>32936.02211607802</v>
      </c>
      <c r="F61" s="47">
        <f t="shared" si="21"/>
        <v>57004.653662442746</v>
      </c>
      <c r="G61" s="54">
        <f t="shared" si="21"/>
        <v>36102.947319547064</v>
      </c>
    </row>
    <row r="62" spans="1:7" hidden="1" x14ac:dyDescent="0.3">
      <c r="A62" s="64"/>
      <c r="B62" s="53" t="s">
        <v>61</v>
      </c>
      <c r="C62" s="47">
        <f t="shared" si="18"/>
        <v>45667.061434023562</v>
      </c>
      <c r="D62" s="47">
        <f t="shared" si="19"/>
        <v>48928.99439359668</v>
      </c>
      <c r="E62" s="47">
        <f t="shared" si="20"/>
        <v>33924.102779560359</v>
      </c>
      <c r="F62" s="47">
        <f t="shared" si="21"/>
        <v>58714.793272316027</v>
      </c>
      <c r="G62" s="54">
        <f t="shared" si="21"/>
        <v>37186.035739133476</v>
      </c>
    </row>
    <row r="63" spans="1:7" x14ac:dyDescent="0.3">
      <c r="A63" s="64"/>
      <c r="B63" s="62"/>
      <c r="C63" s="60"/>
      <c r="D63" s="60"/>
      <c r="E63" s="60"/>
      <c r="F63" s="60"/>
      <c r="G63" s="63"/>
    </row>
    <row r="64" spans="1:7" x14ac:dyDescent="0.3">
      <c r="A64" s="64"/>
      <c r="B64" s="51" t="s">
        <v>62</v>
      </c>
      <c r="C64" s="48">
        <f>C32-C$20*C$49-C34-C35-C36-C37-C38-C39-C40-C41</f>
        <v>-7895</v>
      </c>
      <c r="D64" s="48">
        <f t="shared" ref="C64:G64" si="22">D32-D$20*D$49-D34-D35-D36-D37-D38-D39-D40-D41</f>
        <v>-10769</v>
      </c>
      <c r="E64" s="48">
        <f t="shared" si="22"/>
        <v>-10880</v>
      </c>
      <c r="F64" s="48">
        <f t="shared" si="22"/>
        <v>1561</v>
      </c>
      <c r="G64" s="55">
        <f t="shared" si="22"/>
        <v>-24857.5</v>
      </c>
    </row>
    <row r="65" spans="1:7" x14ac:dyDescent="0.3">
      <c r="A65" s="64"/>
      <c r="B65" s="51" t="s">
        <v>63</v>
      </c>
      <c r="C65" s="16">
        <f>C$32*(1+C$50)-C$32*C$28*(1+C$50)-C$20*C$49-(C$34+C$35+C$36+C$37+C$38+C$39+C$41)*(1+C$48)</f>
        <v>-6486.8499999999985</v>
      </c>
      <c r="D65" s="16">
        <f>D$32*(1+D$50)-D$32*D$28*(1+D$50)-D$20*D$49-(D$34+D$35+D$36+D$37+D$38+D$39+D$41)*(1+D$48)</f>
        <v>-9196.25</v>
      </c>
      <c r="E65" s="16">
        <f>E$32*(1+E$50)-E$32*E$28*(1+E$50)-E$20*E$49-(E$34+E$35+E$36+E$37+E$38+E$39+E$41)*(1+E$48)</f>
        <v>-9918.4000000000015</v>
      </c>
      <c r="F65" s="16">
        <f>F$32*(1+F$50)-F$32*F$28*(1+F$50)-F$20*F$49-(F$34+F$35+F$36+F$37+F$38+F$39+F$41)*(1+F$48)</f>
        <v>3371.0500000000029</v>
      </c>
      <c r="G65" s="56">
        <f>G$32*(1+G$50)-G$32*G$28*(1+G$50)-G$20*G$49-(G$34+G$35+G$36+G$37+G$38+G$39+G$41)*(1+G$48)</f>
        <v>-23689.525000000001</v>
      </c>
    </row>
    <row r="66" spans="1:7" x14ac:dyDescent="0.3">
      <c r="A66" s="64"/>
      <c r="B66" s="51" t="s">
        <v>64</v>
      </c>
      <c r="C66" s="16">
        <f>C$32*(1+C$50)^2-C$32*C$28*(1+C$50)^2-C$20*C$49-(C$34+C$35+C$36+C$37+C$38+C$39+C$41)*(1+C$48)^2</f>
        <v>-5757.4555000000018</v>
      </c>
      <c r="D66" s="16">
        <f>D$32*(1+D$50)^2-D$32*D$28*(1+D$50)^2-D$20*D$49-(D$34+D$35+D$36+D$37+D$38+D$39+D$41)*(1+D$48)^2</f>
        <v>-8348.817500000001</v>
      </c>
      <c r="E66" s="16">
        <f>E$32*(1+E$50)^2-E$32*E$28*(1+E$50)^2-E$20*E$49-(E$34+E$35+E$36+E$37+E$38+E$39+E$41)*(1+E$48)^2</f>
        <v>-9463.5520000000015</v>
      </c>
      <c r="F66" s="16">
        <f>F$32*(1+F$50)^2-F$32*F$28*(1+F$50)^2-F$20*F$49-(F$34+F$35+F$36+F$37+F$38+F$39+F$41)*(1+F$48)^2</f>
        <v>4308.4015000000018</v>
      </c>
      <c r="G66" s="56">
        <f>G$32*(1+G$50)^2-G$32*G$28*(1+G$50)^2-G$20*G$49-(G$34+G$35+G$36+G$37+G$38+G$39+G$41)*(1+G$48)^2</f>
        <v>-23073.61075</v>
      </c>
    </row>
    <row r="67" spans="1:7" x14ac:dyDescent="0.3">
      <c r="A67" s="64"/>
      <c r="B67" s="51" t="s">
        <v>65</v>
      </c>
      <c r="C67" s="16">
        <f>C$32*(1+C$50)^3-C$32*C$28*(1+C$50)^3-C$20*C$49-(C$34+C$35+C$36+C$37+C$38+C$39+C$41)*(1+C$48)^3</f>
        <v>-5006.1791649999996</v>
      </c>
      <c r="D67" s="16">
        <f>D$32*(1+D$50)^3-D$32*D$28*(1+D$50)^3-D$20*D$49-(D$34+D$35+D$36+D$37+D$38+D$39+D$41)*(1+D$48)^3</f>
        <v>-7475.9620250000007</v>
      </c>
      <c r="E67" s="16">
        <f>E$32*(1+E$50)^3-E$32*E$28*(1+E$50)^3-E$20*E$49-(E$34+E$35+E$36+E$37+E$38+E$39+E$41)*(1+E$48)^3</f>
        <v>-8995.0585599999995</v>
      </c>
      <c r="F67" s="16">
        <f>F$32*(1+F$50)^3-F$32*F$28*(1+F$50)^3-F$20*F$49-(F$34+F$35+F$36+F$37+F$38+F$39+F$41)*(1+F$48)^3</f>
        <v>5273.8735450000004</v>
      </c>
      <c r="G67" s="56">
        <f>G$32*(1+G$50)^3-G$32*G$28*(1+G$50)^3-G$20*G$49-(G$34+G$35+G$36+G$37+G$38+G$39+G$41)*(1+G$48)^3</f>
        <v>-22439.2190725</v>
      </c>
    </row>
    <row r="68" spans="1:7" x14ac:dyDescent="0.3">
      <c r="A68" s="64"/>
      <c r="B68" s="51" t="s">
        <v>66</v>
      </c>
      <c r="C68" s="16">
        <f>C$32*(1+C$50)^4-C$32*C$28*(1+C$50)^4-C$20*C$49-(C$34+C$35+C$36+C$37+C$38+C$39+C$41)*(1+C$48)^4</f>
        <v>-4232.3645399500001</v>
      </c>
      <c r="D68" s="16">
        <f>D$32*(1+D$50)^4-D$32*D$28*(1+D$50)^4-D$20*D$49-(D$34+D$35+D$36+D$37+D$38+D$39+D$41)*(1+D$48)^4</f>
        <v>-6576.9208857499998</v>
      </c>
      <c r="E68" s="16">
        <f>E$32*(1+E$50)^4-E$32*E$28*(1+E$50)^4-E$20*E$49-(E$34+E$35+E$36+E$37+E$38+E$39+E$41)*(1+E$48)^4</f>
        <v>-8512.5103168000005</v>
      </c>
      <c r="F68" s="16">
        <f>F$32*(1+F$50)^4-F$32*F$28*(1+F$50)^4-F$20*F$49-(F$34+F$35+F$36+F$37+F$38+F$39+F$41)*(1+F$48)^4</f>
        <v>6268.3097513499961</v>
      </c>
      <c r="G68" s="56">
        <f>G$32*(1+G$50)^4-G$32*G$28*(1+G$50)^4-G$20*G$49-(G$34+G$35+G$36+G$37+G$38+G$39+G$41)*(1+G$48)^4</f>
        <v>-21785.795644675003</v>
      </c>
    </row>
    <row r="69" spans="1:7" x14ac:dyDescent="0.3">
      <c r="A69" s="64"/>
      <c r="B69" s="51" t="s">
        <v>67</v>
      </c>
      <c r="C69" s="16">
        <f>C$32*(1+C$50)^5-C$32*C$28*(1+C$50)^5-C$20*C$49-(C$34+C$35+C$36+C$37+C$38+C$39+C$41)*(1+C$48)^5</f>
        <v>-3435.3354761485098</v>
      </c>
      <c r="D69" s="16">
        <f>D$32*(1+D$50)^5-D$32*D$28*(1+D$50)^5-D$20*D$49-(D$34+D$35+D$36+D$37+D$38+D$39+D$41)*(1+D$48)^5</f>
        <v>-5650.9085123225086</v>
      </c>
      <c r="E69" s="16">
        <f>E$32*(1+E$50)^5-E$32*E$28*(1+E$50)^5-E$20*E$49-(E$34+E$35+E$36+E$37+E$38+E$39+E$41)*(1+E$48)^5</f>
        <v>-8015.4856263040019</v>
      </c>
      <c r="F69" s="16">
        <f>F$32*(1+F$50)^5-F$32*F$28*(1+F$50)^5-F$20*F$49-(F$34+F$35+F$36+F$37+F$38+F$39+F$41)*(1+F$48)^5</f>
        <v>7292.5790438904969</v>
      </c>
      <c r="G69" s="56">
        <f>G$32*(1+G$50)^5-G$32*G$28*(1+G$50)^5-G$20*G$49-(G$34+G$35+G$36+G$37+G$38+G$39+G$41)*(1+G$48)^5</f>
        <v>-21112.769514015257</v>
      </c>
    </row>
    <row r="70" spans="1:7" x14ac:dyDescent="0.3">
      <c r="A70" s="64"/>
      <c r="B70" s="51" t="s">
        <v>68</v>
      </c>
      <c r="C70" s="16">
        <f>C$32*(1+C$50)^6-C$32*C$28*(1+C$50)^6-C$20*C$49-(C$34+C$35+C$36+C$37+C$38+C$39+C$41)*(1+C$48)^6</f>
        <v>-2614.3955404329572</v>
      </c>
      <c r="D70" s="16">
        <f>D$32*(1+D$50)^6-D$32*D$28*(1+D$50)^6-D$20*D$49-(D$34+D$35+D$36+D$37+D$38+D$39+D$41)*(1+D$48)^6</f>
        <v>-4697.1157676921739</v>
      </c>
      <c r="E70" s="16">
        <f>E$32*(1+E$50)^6-E$32*E$28*(1+E$50)^6-E$20*E$49-(E$34+E$35+E$36+E$37+E$38+E$39+E$41)*(1+E$48)^6</f>
        <v>-7503.5501950931211</v>
      </c>
      <c r="F70" s="16">
        <f>F$32*(1+F$50)^6-F$32*F$28*(1+F$50)^6-F$20*F$49-(F$34+F$35+F$36+F$37+F$38+F$39+F$41)*(1+F$48)^6</f>
        <v>8347.5764152072043</v>
      </c>
      <c r="G70" s="56">
        <f>G$32*(1+G$50)^6-G$32*G$28*(1+G$50)^6-G$20*G$49-(G$34+G$35+G$36+G$37+G$38+G$39+G$41)*(1+G$48)^6</f>
        <v>-20419.552599435709</v>
      </c>
    </row>
    <row r="71" spans="1:7" x14ac:dyDescent="0.3">
      <c r="A71" s="64"/>
      <c r="B71" s="51" t="s">
        <v>69</v>
      </c>
      <c r="C71" s="16">
        <f>C$32*(1+C$50)^7-C$32*C$28*(1+C$50)^7-C$20*C$49-(C$34+C$35+C$36+C$37+C$38+C$39+C$41)*(1+C$48)^7</f>
        <v>-1768.8274066459435</v>
      </c>
      <c r="D71" s="16">
        <f>D$32*(1+D$50)^7-D$32*D$28*(1+D$50)^7-D$20*D$49-(D$34+D$35+D$36+D$37+D$38+D$39+D$41)*(1+D$48)^7</f>
        <v>-3714.7092407229429</v>
      </c>
      <c r="E71" s="16">
        <f>E$32*(1+E$50)^7-E$32*E$28*(1+E$50)^7-E$20*E$49-(E$34+E$35+E$36+E$37+E$38+E$39+E$41)*(1+E$48)^7</f>
        <v>-6976.2567009459108</v>
      </c>
      <c r="F71" s="16">
        <f>F$32*(1+F$50)^7-F$32*F$28*(1+F$50)^7-F$20*F$49-(F$34+F$35+F$36+F$37+F$38+F$39+F$41)*(1+F$48)^7</f>
        <v>9434.2237076634265</v>
      </c>
      <c r="G71" s="56">
        <f>G$32*(1+G$50)^7-G$32*G$28*(1+G$50)^7-G$20*G$49-(G$34+G$35+G$36+G$37+G$38+G$39+G$41)*(1+G$48)^7</f>
        <v>-19705.539177418777</v>
      </c>
    </row>
    <row r="72" spans="1:7" x14ac:dyDescent="0.3">
      <c r="A72" s="64"/>
      <c r="B72" s="51" t="s">
        <v>70</v>
      </c>
      <c r="C72" s="16">
        <f>C$32*(1+C$50)^8-C$32*C$28*(1+C$50)^8-C$20*C$49-(C$34+C$35+C$36+C$37+C$38+C$39+C$41)*(1+C$48)^8</f>
        <v>-897.89222884532865</v>
      </c>
      <c r="D72" s="16">
        <f>D$32*(1+D$50)^8-D$32*D$28*(1+D$50)^8-D$20*D$49-(D$34+D$35+D$36+D$37+D$38+D$39+D$41)*(1+D$48)^8</f>
        <v>-2702.8305179446397</v>
      </c>
      <c r="E72" s="16">
        <f>E$32*(1+E$50)^8-E$32*E$28*(1+E$50)^8-E$20*E$49-(E$34+E$35+E$36+E$37+E$38+E$39+E$41)*(1+E$48)^8</f>
        <v>-6433.1444019742939</v>
      </c>
      <c r="F72" s="16">
        <f>F$32*(1+F$50)^8-F$32*F$28*(1+F$50)^8-F$20*F$49-(F$34+F$35+F$36+F$37+F$38+F$39+F$41)*(1+F$48)^8</f>
        <v>10553.470418893332</v>
      </c>
      <c r="G72" s="56">
        <f>G$32*(1+G$50)^8-G$32*G$28*(1+G$50)^8-G$20*G$49-(G$34+G$35+G$36+G$37+G$38+G$39+G$41)*(1+G$48)^8</f>
        <v>-18970.105352741342</v>
      </c>
    </row>
    <row r="73" spans="1:7" ht="16.2" thickBot="1" x14ac:dyDescent="0.35">
      <c r="A73" s="64"/>
      <c r="B73" s="57" t="s">
        <v>71</v>
      </c>
      <c r="C73" s="58">
        <f>C$32*(1+C$50)^9-C$32*C$28*(1+C$50)^9-C$20*C$49-(C$34+C$35+C$36+C$37+C$38+C$39+C$41)*(1+C$48)^9</f>
        <v>-0.82899571068446676</v>
      </c>
      <c r="D73" s="58">
        <f>D$32*(1+D$50)^9-D$32*D$28*(1+D$50)^9-D$20*D$49-(D$34+D$35+D$36+D$37+D$38+D$39+D$41)*(1+D$48)^9</f>
        <v>-1660.5954334829748</v>
      </c>
      <c r="E73" s="58">
        <f>E$32*(1+E$50)^9-E$32*E$28*(1+E$50)^9-E$20*E$49-(E$34+E$35+E$36+E$37+E$38+E$39+E$41)*(1+E$48)^9</f>
        <v>-5873.7387340335208</v>
      </c>
      <c r="F73" s="58">
        <f>F$32*(1+F$50)^9-F$32*F$28*(1+F$50)^9-F$20*F$49-(F$34+F$35+F$36+F$37+F$38+F$39+F$41)*(1+F$48)^9</f>
        <v>11706.294531460129</v>
      </c>
      <c r="G73" s="59">
        <f>G$32*(1+G$50)^9-G$32*G$28*(1+G$50)^9-G$20*G$49-(G$34+G$35+G$36+G$37+G$38+G$39+G$41)*(1+G$48)^9</f>
        <v>-18212.608513323583</v>
      </c>
    </row>
    <row r="74" spans="1:7" s="5" customFormat="1" x14ac:dyDescent="0.3">
      <c r="A74" s="11"/>
      <c r="C74" s="6"/>
      <c r="D74" s="6"/>
      <c r="E74" s="6"/>
      <c r="F74" s="6"/>
      <c r="G74" s="6"/>
    </row>
    <row r="75" spans="1:7" x14ac:dyDescent="0.3"/>
    <row r="76" spans="1:7" x14ac:dyDescent="0.3"/>
    <row r="77" spans="1:7" x14ac:dyDescent="0.3"/>
    <row r="78" spans="1:7" x14ac:dyDescent="0.3"/>
    <row r="79" spans="1:7" x14ac:dyDescent="0.3"/>
    <row r="80" spans="1:7" x14ac:dyDescent="0.3"/>
  </sheetData>
  <mergeCells count="4">
    <mergeCell ref="A48:A73"/>
    <mergeCell ref="A3:A9"/>
    <mergeCell ref="A11:A24"/>
    <mergeCell ref="A26:A44"/>
  </mergeCells>
  <phoneticPr fontId="9" type="noConversion"/>
  <pageMargins left="0.7" right="0.7" top="0.75" bottom="0.75" header="0.3" footer="0.3"/>
  <pageSetup paperSize="9" orientation="portrait" horizontalDpi="0" verticalDpi="0"/>
  <ignoredErrors>
    <ignoredError sqref="E1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Terence Chen</dc:creator>
  <cp:keywords/>
  <dc:description/>
  <cp:lastModifiedBy>Huey Lin</cp:lastModifiedBy>
  <cp:revision/>
  <dcterms:created xsi:type="dcterms:W3CDTF">2024-08-27T10:27:14Z</dcterms:created>
  <dcterms:modified xsi:type="dcterms:W3CDTF">2025-03-03T03:56:32Z</dcterms:modified>
  <cp:category/>
  <cp:contentStatus/>
</cp:coreProperties>
</file>