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JRGG\0 GNP\Calculadoras\"/>
    </mc:Choice>
  </mc:AlternateContent>
  <xr:revisionPtr revIDLastSave="0" documentId="13_ncr:1_{8F7AA550-F922-4DC6-A363-980DD86A8AE8}" xr6:coauthVersionLast="47" xr6:coauthVersionMax="47" xr10:uidLastSave="{00000000-0000-0000-0000-000000000000}"/>
  <bookViews>
    <workbookView xWindow="20370" yWindow="-120" windowWidth="29040" windowHeight="15720" xr2:uid="{94A71058-DC38-45D0-8D60-6F6D561D8F76}"/>
  </bookViews>
  <sheets>
    <sheet name="Calculadora 2025" sheetId="4" r:id="rId1"/>
    <sheet name="Calculadora 2024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" i="4" l="1"/>
  <c r="B36" i="4"/>
  <c r="C34" i="4"/>
  <c r="B28" i="4"/>
  <c r="A30" i="4" s="1"/>
  <c r="C27" i="4"/>
  <c r="C26" i="4"/>
  <c r="C25" i="4"/>
  <c r="C24" i="4"/>
  <c r="C23" i="4"/>
  <c r="C28" i="4" s="1"/>
  <c r="C19" i="4"/>
  <c r="C18" i="4"/>
  <c r="C17" i="4"/>
  <c r="C16" i="4"/>
  <c r="C15" i="4"/>
  <c r="C14" i="4"/>
  <c r="C8" i="4"/>
  <c r="D41" i="4" s="1"/>
  <c r="Z4" i="4"/>
  <c r="Y4" i="4"/>
  <c r="S4" i="4"/>
  <c r="S5" i="4" s="1"/>
  <c r="C8" i="3"/>
  <c r="D8" i="3" s="1"/>
  <c r="B36" i="3"/>
  <c r="C34" i="3"/>
  <c r="B28" i="3"/>
  <c r="A30" i="3" s="1"/>
  <c r="C27" i="3"/>
  <c r="C26" i="3"/>
  <c r="C25" i="3"/>
  <c r="C24" i="3"/>
  <c r="C23" i="3"/>
  <c r="C19" i="3"/>
  <c r="C18" i="3"/>
  <c r="C17" i="3"/>
  <c r="C16" i="3"/>
  <c r="C15" i="3"/>
  <c r="C14" i="3"/>
  <c r="Z4" i="3"/>
  <c r="Y4" i="3"/>
  <c r="S4" i="3"/>
  <c r="S5" i="3" s="1"/>
  <c r="AB3" i="3"/>
  <c r="D34" i="4" l="1"/>
  <c r="E41" i="4"/>
  <c r="Y3" i="4"/>
  <c r="C35" i="4" s="1"/>
  <c r="D8" i="4"/>
  <c r="Z3" i="4"/>
  <c r="C30" i="4" s="1"/>
  <c r="X10" i="4"/>
  <c r="X23" i="4"/>
  <c r="B41" i="4"/>
  <c r="D34" i="3"/>
  <c r="C28" i="3"/>
  <c r="B41" i="3"/>
  <c r="D41" i="3"/>
  <c r="E41" i="3"/>
  <c r="Y3" i="3"/>
  <c r="C35" i="3" s="1"/>
  <c r="C36" i="3" s="1"/>
  <c r="X10" i="3"/>
  <c r="Z3" i="3"/>
  <c r="X23" i="3"/>
  <c r="D30" i="4" l="1"/>
  <c r="E42" i="4"/>
  <c r="D42" i="4"/>
  <c r="D44" i="4" s="1"/>
  <c r="B42" i="4"/>
  <c r="B44" i="4" s="1"/>
  <c r="X11" i="4"/>
  <c r="Y10" i="4"/>
  <c r="X24" i="4"/>
  <c r="C36" i="4"/>
  <c r="D35" i="4"/>
  <c r="C30" i="3"/>
  <c r="D35" i="3"/>
  <c r="X24" i="3"/>
  <c r="X11" i="3"/>
  <c r="X13" i="4" l="1"/>
  <c r="X15" i="4"/>
  <c r="D36" i="4"/>
  <c r="E43" i="4"/>
  <c r="E44" i="4" s="1"/>
  <c r="Z10" i="4" s="1"/>
  <c r="Y11" i="4"/>
  <c r="X26" i="4"/>
  <c r="X28" i="4"/>
  <c r="X25" i="4"/>
  <c r="X12" i="4"/>
  <c r="D30" i="3"/>
  <c r="B42" i="3"/>
  <c r="B44" i="3" s="1"/>
  <c r="D42" i="3"/>
  <c r="D44" i="3" s="1"/>
  <c r="Y10" i="3" s="1"/>
  <c r="Y11" i="3" s="1"/>
  <c r="Y12" i="3" s="1"/>
  <c r="E42" i="3"/>
  <c r="E43" i="3"/>
  <c r="D36" i="3"/>
  <c r="X28" i="3"/>
  <c r="X26" i="3"/>
  <c r="X15" i="3"/>
  <c r="X13" i="3"/>
  <c r="X25" i="3"/>
  <c r="X12" i="3"/>
  <c r="X27" i="4" l="1"/>
  <c r="X29" i="4" s="1"/>
  <c r="X31" i="4" s="1"/>
  <c r="X32" i="4" s="1"/>
  <c r="Y15" i="4"/>
  <c r="Y13" i="4"/>
  <c r="Y12" i="4"/>
  <c r="Z11" i="4"/>
  <c r="X14" i="4"/>
  <c r="X16" i="4" s="1"/>
  <c r="X18" i="4" s="1"/>
  <c r="E44" i="3"/>
  <c r="Z10" i="3" s="1"/>
  <c r="Z11" i="3" s="1"/>
  <c r="Z12" i="3" s="1"/>
  <c r="X14" i="3"/>
  <c r="X16" i="3" s="1"/>
  <c r="X18" i="3" s="1"/>
  <c r="X27" i="3"/>
  <c r="X29" i="3" s="1"/>
  <c r="X31" i="3" s="1"/>
  <c r="X32" i="3" s="1"/>
  <c r="Y15" i="3"/>
  <c r="Y13" i="3"/>
  <c r="Y14" i="3" s="1"/>
  <c r="B45" i="4" l="1"/>
  <c r="X19" i="4"/>
  <c r="Z15" i="4"/>
  <c r="Z13" i="4"/>
  <c r="Z12" i="4"/>
  <c r="Y14" i="4"/>
  <c r="Y16" i="4" s="1"/>
  <c r="Y18" i="4" s="1"/>
  <c r="Z13" i="3"/>
  <c r="Z14" i="3" s="1"/>
  <c r="Z15" i="3"/>
  <c r="B45" i="3"/>
  <c r="X19" i="3"/>
  <c r="Y16" i="3"/>
  <c r="Y18" i="3" s="1"/>
  <c r="D45" i="4" l="1"/>
  <c r="D47" i="4" s="1"/>
  <c r="Y19" i="4"/>
  <c r="B47" i="4"/>
  <c r="D46" i="4"/>
  <c r="Z14" i="4"/>
  <c r="Z16" i="4" s="1"/>
  <c r="Z18" i="4" s="1"/>
  <c r="Z16" i="3"/>
  <c r="Z18" i="3" s="1"/>
  <c r="E45" i="3" s="1"/>
  <c r="E47" i="3" s="1"/>
  <c r="D45" i="3"/>
  <c r="D47" i="3" s="1"/>
  <c r="Y19" i="3"/>
  <c r="B47" i="3"/>
  <c r="E45" i="4" l="1"/>
  <c r="Z19" i="4"/>
  <c r="Z19" i="3"/>
  <c r="E46" i="3"/>
  <c r="D46" i="3"/>
  <c r="E47" i="4" l="1"/>
  <c r="E46" i="4"/>
</calcChain>
</file>

<file path=xl/sharedStrings.xml><?xml version="1.0" encoding="utf-8"?>
<sst xmlns="http://schemas.openxmlformats.org/spreadsheetml/2006/main" count="207" uniqueCount="79">
  <si>
    <t>Preescolar</t>
  </si>
  <si>
    <t>Donativos</t>
  </si>
  <si>
    <t>Gastos funerarios</t>
  </si>
  <si>
    <t>Ctas ahorro</t>
  </si>
  <si>
    <t>PPR</t>
  </si>
  <si>
    <t>Caducidad</t>
  </si>
  <si>
    <t>Primaria</t>
  </si>
  <si>
    <t>1 UMA anual</t>
  </si>
  <si>
    <t>min(10% ingreso y 5UMA anual)</t>
  </si>
  <si>
    <t>15% ing o 5UMA</t>
  </si>
  <si>
    <t>750mil udis</t>
  </si>
  <si>
    <t>Fin Vigencia</t>
  </si>
  <si>
    <t>Secundaria</t>
  </si>
  <si>
    <t>HOY</t>
  </si>
  <si>
    <t>Profesional técnico</t>
  </si>
  <si>
    <t>Validación</t>
  </si>
  <si>
    <t>Bachillerato</t>
  </si>
  <si>
    <t>Concepto</t>
  </si>
  <si>
    <t>Monto Anual</t>
  </si>
  <si>
    <t>TOTAL DE INGRESOS</t>
  </si>
  <si>
    <t>Monto a Deducir</t>
  </si>
  <si>
    <t>No. de hijos de los que desea deducir colegiatura:</t>
  </si>
  <si>
    <t>Nivel Educativo</t>
  </si>
  <si>
    <t>Colegiaturas:</t>
  </si>
  <si>
    <t>TOTAL DE DEDUCCIONES ENFOCADAS AL RETIRO</t>
  </si>
  <si>
    <t>Sin Deducciones</t>
  </si>
  <si>
    <t>Con Deducciones sin Retiro</t>
  </si>
  <si>
    <t>Con Deducciones y con Retiro</t>
  </si>
  <si>
    <t>Ingreso anual acumulado:</t>
  </si>
  <si>
    <t>Deducciones personales:</t>
  </si>
  <si>
    <t>Deducciones enfocadas al Retiro:</t>
  </si>
  <si>
    <t>Total de deducciones:</t>
  </si>
  <si>
    <t>Impuesto a pagar:</t>
  </si>
  <si>
    <t>DEVOLUCIÓN ESTIMADA DE IMPUESTOS:</t>
  </si>
  <si>
    <t>*Suma de los ingresos mensuales, aguinaldo, utilidades, primas vacacionales y bonos. TODO ANTES DE IMPUESTOS</t>
  </si>
  <si>
    <t>Ingreso anual bruto*</t>
  </si>
  <si>
    <t>Otros ingresos anuales**</t>
  </si>
  <si>
    <t>**Todo ingreso acumulable: negocio, honorarios, rentas, etc</t>
  </si>
  <si>
    <t>Monto Deducible</t>
  </si>
  <si>
    <t>Honorarios médicos y dentales</t>
  </si>
  <si>
    <t>Intereses pagados por créditos hipotecarios</t>
  </si>
  <si>
    <t>Gastos funerales</t>
  </si>
  <si>
    <t>Seguro de Gastos Médicos Mayores</t>
  </si>
  <si>
    <t>Total ingresos deducibles</t>
  </si>
  <si>
    <t>crédito hipotecario</t>
  </si>
  <si>
    <t>Este es un simulador para personas Físicas dadas de alta en el regímen de sueldos y salarios., los resutados deben validarse con un Contador.</t>
  </si>
  <si>
    <t>1.  INGRESOS</t>
  </si>
  <si>
    <t>2.  DEDUCCIONES PERSONALES</t>
  </si>
  <si>
    <r>
      <t xml:space="preserve">Transporte Escolar </t>
    </r>
    <r>
      <rPr>
        <b/>
        <sz val="10"/>
        <color theme="1"/>
        <rFont val="Tahoma"/>
        <family val="2"/>
      </rPr>
      <t>(cuando es obligatorio)</t>
    </r>
  </si>
  <si>
    <t>3. DEDUCCIONES POR INVERSIONES ENFOCADAS AL RETIRO</t>
  </si>
  <si>
    <t>Primas de Seguro para el Retiro Art. 185 LISR</t>
  </si>
  <si>
    <t>Aportaciones al Plan Personal de Retiro (PPR)
Art. 151 LISR</t>
  </si>
  <si>
    <t>4.   ESCENARIOS</t>
  </si>
  <si>
    <t>Limite Inf</t>
  </si>
  <si>
    <t>Limite Sup</t>
  </si>
  <si>
    <t>Cuota Fija</t>
  </si>
  <si>
    <t>en adelante</t>
  </si>
  <si>
    <t>ingreso</t>
  </si>
  <si>
    <t>lim inf</t>
  </si>
  <si>
    <t>dif</t>
  </si>
  <si>
    <t>tasa</t>
  </si>
  <si>
    <t>imp marginal</t>
  </si>
  <si>
    <t>cuota fija</t>
  </si>
  <si>
    <t>imp previo</t>
  </si>
  <si>
    <t>subsidio</t>
  </si>
  <si>
    <t>imp a retener</t>
  </si>
  <si>
    <t>perc efectiv</t>
  </si>
  <si>
    <t>% sobre exc lim inf</t>
  </si>
  <si>
    <t>CALCULO</t>
  </si>
  <si>
    <t>ANUAL</t>
  </si>
  <si>
    <t>MENSUAL</t>
  </si>
  <si>
    <t>% Impuestos</t>
  </si>
  <si>
    <t>con Ded Per</t>
  </si>
  <si>
    <t>con Plan Ret</t>
  </si>
  <si>
    <t>Calculadora de Impuestos 2024</t>
  </si>
  <si>
    <t>https://www.elcontribuyente.mx/2023/12/tablas-isr-2024/</t>
  </si>
  <si>
    <t>https://www.elcontribuyente.mx/2024/12/tablas-isr-2025/</t>
  </si>
  <si>
    <t>Calculadora de Impuestos 2025</t>
  </si>
  <si>
    <t>https://taxdown.com.mx/deducciones/limite-deducciones-personales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</si>
</sst>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$&quot;#,##0_);[Red]\(&quot;$&quot;#,##0\)"/>
    <numFmt numFmtId="167" formatCode="_(&quot;$&quot;* #,##0_);_(&quot;$&quot;* \(#,##0\);_(&quot;$&quot;* &quot;-&quot;??_);_(@_)"/>
    <numFmt numFmtId="168" formatCode="&quot;$&quot;#,##0"/>
    <numFmt numFmtId="169" formatCode="0.0%"/>
    <numFmt numFmtId="170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ahoma"/>
      <family val="2"/>
    </font>
    <font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0"/>
      <name val="Tahoma"/>
      <family val="2"/>
    </font>
    <font>
      <b/>
      <sz val="12"/>
      <color theme="1"/>
      <name val="Tahoma"/>
      <family val="2"/>
    </font>
    <font>
      <b/>
      <sz val="1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sz val="12"/>
      <color theme="0" tint="-0.499984740745262"/>
      <name val="Tahoma"/>
      <family val="2"/>
    </font>
    <font>
      <b/>
      <sz val="10"/>
      <color theme="1"/>
      <name val="Tahoma"/>
      <family val="2"/>
    </font>
    <font>
      <sz val="12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b/>
      <sz val="14"/>
      <color theme="2" tint="-0.499984740745262"/>
      <name val="Tahoma"/>
      <family val="2"/>
    </font>
    <font>
      <b/>
      <sz val="11"/>
      <color theme="2" tint="-0.499984740745262"/>
      <name val="Tahoma"/>
      <family val="2"/>
    </font>
    <font>
      <b/>
      <sz val="20"/>
      <color theme="0"/>
      <name val="Tahoma"/>
      <family val="2"/>
    </font>
    <font>
      <sz val="22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47">
    <xf numFmtId="0" fontId="0" fillId="0" borderId="0" xfId="0"/>
    <xf numFmtId="165" fontId="9" fillId="2" borderId="11" xfId="2" applyNumberFormat="1" applyFont="1" applyFill="1" applyBorder="1" applyAlignment="1" applyProtection="1">
      <alignment horizontal="center" vertical="center"/>
      <protection locked="0"/>
    </xf>
    <xf numFmtId="165" fontId="9" fillId="2" borderId="1" xfId="2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168" fontId="9" fillId="2" borderId="1" xfId="1" applyNumberFormat="1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>
      <alignment horizontal="center"/>
    </xf>
    <xf numFmtId="165" fontId="10" fillId="6" borderId="11" xfId="2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0" fontId="3" fillId="0" borderId="0" xfId="0" applyFont="1"/>
    <xf numFmtId="0" fontId="11" fillId="2" borderId="13" xfId="0" applyFont="1" applyFill="1" applyBorder="1"/>
    <xf numFmtId="0" fontId="3" fillId="2" borderId="14" xfId="0" applyFont="1" applyFill="1" applyBorder="1"/>
    <xf numFmtId="0" fontId="11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7" fillId="8" borderId="1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10" borderId="10" xfId="0" applyFont="1" applyFill="1" applyBorder="1" applyAlignment="1">
      <alignment vertical="center" wrapText="1"/>
    </xf>
    <xf numFmtId="165" fontId="12" fillId="11" borderId="11" xfId="0" applyNumberFormat="1" applyFont="1" applyFill="1" applyBorder="1" applyAlignment="1">
      <alignment vertical="center"/>
    </xf>
    <xf numFmtId="0" fontId="7" fillId="10" borderId="10" xfId="0" applyFont="1" applyFill="1" applyBorder="1"/>
    <xf numFmtId="167" fontId="12" fillId="11" borderId="11" xfId="2" applyNumberFormat="1" applyFont="1" applyFill="1" applyBorder="1" applyAlignment="1" applyProtection="1">
      <alignment horizontal="center"/>
    </xf>
    <xf numFmtId="167" fontId="12" fillId="11" borderId="11" xfId="2" applyNumberFormat="1" applyFont="1" applyFill="1" applyBorder="1" applyAlignment="1" applyProtection="1">
      <alignment horizontal="center" vertical="center"/>
    </xf>
    <xf numFmtId="167" fontId="12" fillId="11" borderId="11" xfId="0" applyNumberFormat="1" applyFont="1" applyFill="1" applyBorder="1"/>
    <xf numFmtId="0" fontId="3" fillId="2" borderId="13" xfId="0" applyFont="1" applyFill="1" applyBorder="1"/>
    <xf numFmtId="0" fontId="3" fillId="2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168" fontId="12" fillId="11" borderId="11" xfId="1" applyNumberFormat="1" applyFont="1" applyFill="1" applyBorder="1" applyAlignment="1" applyProtection="1">
      <alignment horizontal="center" vertical="center"/>
    </xf>
    <xf numFmtId="0" fontId="7" fillId="8" borderId="10" xfId="0" applyFont="1" applyFill="1" applyBorder="1"/>
    <xf numFmtId="165" fontId="14" fillId="8" borderId="1" xfId="2" applyNumberFormat="1" applyFont="1" applyFill="1" applyBorder="1" applyAlignment="1" applyProtection="1">
      <alignment horizontal="center" vertical="center"/>
    </xf>
    <xf numFmtId="165" fontId="12" fillId="11" borderId="11" xfId="0" applyNumberFormat="1" applyFont="1" applyFill="1" applyBorder="1"/>
    <xf numFmtId="165" fontId="10" fillId="3" borderId="20" xfId="0" applyNumberFormat="1" applyFont="1" applyFill="1" applyBorder="1"/>
    <xf numFmtId="0" fontId="7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left" wrapText="1"/>
    </xf>
    <xf numFmtId="165" fontId="12" fillId="11" borderId="1" xfId="2" applyNumberFormat="1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>
      <alignment wrapText="1"/>
    </xf>
    <xf numFmtId="165" fontId="12" fillId="11" borderId="1" xfId="0" applyNumberFormat="1" applyFont="1" applyFill="1" applyBorder="1" applyAlignment="1">
      <alignment vertical="center"/>
    </xf>
    <xf numFmtId="165" fontId="10" fillId="13" borderId="1" xfId="0" applyNumberFormat="1" applyFont="1" applyFill="1" applyBorder="1"/>
    <xf numFmtId="0" fontId="16" fillId="19" borderId="30" xfId="0" applyFont="1" applyFill="1" applyBorder="1" applyAlignment="1">
      <alignment horizontal="center"/>
    </xf>
    <xf numFmtId="0" fontId="16" fillId="19" borderId="32" xfId="0" applyFont="1" applyFill="1" applyBorder="1" applyAlignment="1">
      <alignment horizontal="center" wrapText="1"/>
    </xf>
    <xf numFmtId="0" fontId="16" fillId="19" borderId="31" xfId="0" applyFont="1" applyFill="1" applyBorder="1" applyAlignment="1">
      <alignment horizontal="center" wrapText="1"/>
    </xf>
    <xf numFmtId="0" fontId="7" fillId="6" borderId="12" xfId="0" applyFont="1" applyFill="1" applyBorder="1"/>
    <xf numFmtId="166" fontId="10" fillId="6" borderId="1" xfId="0" applyNumberFormat="1" applyFont="1" applyFill="1" applyBorder="1" applyAlignment="1">
      <alignment horizontal="center"/>
    </xf>
    <xf numFmtId="166" fontId="10" fillId="6" borderId="11" xfId="0" applyNumberFormat="1" applyFont="1" applyFill="1" applyBorder="1" applyAlignment="1">
      <alignment horizontal="center"/>
    </xf>
    <xf numFmtId="0" fontId="7" fillId="9" borderId="12" xfId="0" applyFont="1" applyFill="1" applyBorder="1"/>
    <xf numFmtId="166" fontId="7" fillId="9" borderId="1" xfId="0" applyNumberFormat="1" applyFont="1" applyFill="1" applyBorder="1" applyAlignment="1">
      <alignment horizontal="center"/>
    </xf>
    <xf numFmtId="166" fontId="7" fillId="9" borderId="11" xfId="0" applyNumberFormat="1" applyFont="1" applyFill="1" applyBorder="1" applyAlignment="1">
      <alignment horizontal="center"/>
    </xf>
    <xf numFmtId="0" fontId="7" fillId="16" borderId="12" xfId="0" applyFont="1" applyFill="1" applyBorder="1"/>
    <xf numFmtId="166" fontId="7" fillId="16" borderId="1" xfId="0" applyNumberFormat="1" applyFont="1" applyFill="1" applyBorder="1" applyAlignment="1">
      <alignment horizontal="center"/>
    </xf>
    <xf numFmtId="166" fontId="7" fillId="16" borderId="11" xfId="0" applyNumberFormat="1" applyFont="1" applyFill="1" applyBorder="1" applyAlignment="1">
      <alignment horizontal="center"/>
    </xf>
    <xf numFmtId="170" fontId="3" fillId="2" borderId="0" xfId="0" applyNumberFormat="1" applyFont="1" applyFill="1"/>
    <xf numFmtId="0" fontId="7" fillId="17" borderId="12" xfId="0" applyFont="1" applyFill="1" applyBorder="1"/>
    <xf numFmtId="166" fontId="10" fillId="17" borderId="1" xfId="0" applyNumberFormat="1" applyFont="1" applyFill="1" applyBorder="1" applyAlignment="1">
      <alignment horizontal="center"/>
    </xf>
    <xf numFmtId="166" fontId="10" fillId="17" borderId="11" xfId="0" applyNumberFormat="1" applyFont="1" applyFill="1" applyBorder="1" applyAlignment="1">
      <alignment horizontal="center"/>
    </xf>
    <xf numFmtId="0" fontId="7" fillId="20" borderId="27" xfId="0" applyFont="1" applyFill="1" applyBorder="1"/>
    <xf numFmtId="166" fontId="7" fillId="20" borderId="28" xfId="0" applyNumberFormat="1" applyFont="1" applyFill="1" applyBorder="1" applyAlignment="1">
      <alignment horizontal="center"/>
    </xf>
    <xf numFmtId="166" fontId="7" fillId="20" borderId="29" xfId="0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wrapText="1"/>
    </xf>
    <xf numFmtId="166" fontId="15" fillId="12" borderId="2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7" fillId="4" borderId="21" xfId="0" applyFont="1" applyFill="1" applyBorder="1"/>
    <xf numFmtId="169" fontId="7" fillId="4" borderId="22" xfId="3" applyNumberFormat="1" applyFont="1" applyFill="1" applyBorder="1" applyAlignment="1" applyProtection="1">
      <alignment horizontal="center"/>
    </xf>
    <xf numFmtId="169" fontId="7" fillId="4" borderId="20" xfId="3" applyNumberFormat="1" applyFont="1" applyFill="1" applyBorder="1" applyAlignment="1" applyProtection="1">
      <alignment horizontal="center"/>
    </xf>
    <xf numFmtId="169" fontId="18" fillId="2" borderId="0" xfId="3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0" fillId="13" borderId="2" xfId="0" applyFont="1" applyFill="1" applyBorder="1" applyAlignment="1">
      <alignment vertical="center" wrapText="1"/>
    </xf>
    <xf numFmtId="165" fontId="17" fillId="13" borderId="1" xfId="0" applyNumberFormat="1" applyFont="1" applyFill="1" applyBorder="1"/>
    <xf numFmtId="166" fontId="19" fillId="12" borderId="26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/>
    <xf numFmtId="164" fontId="3" fillId="0" borderId="1" xfId="1" applyNumberFormat="1" applyFont="1" applyFill="1" applyBorder="1" applyProtection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165" fontId="3" fillId="0" borderId="1" xfId="0" applyNumberFormat="1" applyFont="1" applyBorder="1"/>
    <xf numFmtId="164" fontId="3" fillId="0" borderId="1" xfId="1" applyNumberFormat="1" applyFont="1" applyFill="1" applyBorder="1" applyAlignment="1" applyProtection="1">
      <alignment horizontal="center"/>
    </xf>
    <xf numFmtId="166" fontId="3" fillId="0" borderId="1" xfId="0" applyNumberFormat="1" applyFont="1" applyBorder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6" fontId="3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 applyAlignment="1">
      <alignment wrapText="1"/>
    </xf>
    <xf numFmtId="43" fontId="3" fillId="0" borderId="0" xfId="0" applyNumberFormat="1" applyFont="1"/>
    <xf numFmtId="43" fontId="3" fillId="0" borderId="12" xfId="1" applyFont="1" applyFill="1" applyBorder="1" applyProtection="1"/>
    <xf numFmtId="43" fontId="3" fillId="0" borderId="1" xfId="1" applyFont="1" applyFill="1" applyBorder="1" applyProtection="1"/>
    <xf numFmtId="43" fontId="3" fillId="0" borderId="11" xfId="1" applyFont="1" applyFill="1" applyBorder="1" applyProtection="1"/>
    <xf numFmtId="0" fontId="5" fillId="0" borderId="23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9" xfId="1" applyFont="1" applyFill="1" applyBorder="1" applyAlignment="1" applyProtection="1">
      <alignment horizontal="left"/>
    </xf>
    <xf numFmtId="43" fontId="5" fillId="0" borderId="14" xfId="1" applyFont="1" applyFill="1" applyBorder="1" applyAlignment="1" applyProtection="1">
      <alignment horizontal="left"/>
    </xf>
    <xf numFmtId="0" fontId="5" fillId="0" borderId="13" xfId="0" applyFont="1" applyBorder="1" applyAlignment="1">
      <alignment horizontal="left"/>
    </xf>
    <xf numFmtId="43" fontId="3" fillId="0" borderId="21" xfId="1" applyFont="1" applyFill="1" applyBorder="1" applyProtection="1"/>
    <xf numFmtId="43" fontId="3" fillId="0" borderId="22" xfId="1" applyFont="1" applyFill="1" applyBorder="1" applyProtection="1"/>
    <xf numFmtId="43" fontId="3" fillId="0" borderId="20" xfId="1" applyFont="1" applyFill="1" applyBorder="1" applyProtection="1"/>
    <xf numFmtId="0" fontId="5" fillId="0" borderId="15" xfId="0" applyFont="1" applyBorder="1" applyAlignment="1">
      <alignment horizontal="left"/>
    </xf>
    <xf numFmtId="43" fontId="5" fillId="0" borderId="17" xfId="1" applyFont="1" applyFill="1" applyBorder="1" applyAlignment="1" applyProtection="1">
      <alignment horizontal="left"/>
    </xf>
    <xf numFmtId="0" fontId="21" fillId="0" borderId="0" xfId="4" applyFill="1"/>
    <xf numFmtId="44" fontId="3" fillId="2" borderId="0" xfId="0" applyNumberFormat="1" applyFont="1" applyFill="1"/>
    <xf numFmtId="164" fontId="3" fillId="21" borderId="1" xfId="0" applyNumberFormat="1" applyFont="1" applyFill="1" applyBorder="1"/>
    <xf numFmtId="164" fontId="3" fillId="21" borderId="1" xfId="1" applyNumberFormat="1" applyFont="1" applyFill="1" applyBorder="1" applyProtection="1"/>
    <xf numFmtId="166" fontId="7" fillId="9" borderId="1" xfId="0" applyNumberFormat="1" applyFont="1" applyFill="1" applyBorder="1" applyAlignment="1">
      <alignment horizontal="center"/>
    </xf>
    <xf numFmtId="166" fontId="7" fillId="16" borderId="1" xfId="0" applyNumberFormat="1" applyFont="1" applyFill="1" applyBorder="1" applyAlignment="1">
      <alignment horizontal="center"/>
    </xf>
    <xf numFmtId="166" fontId="7" fillId="18" borderId="1" xfId="0" applyNumberFormat="1" applyFont="1" applyFill="1" applyBorder="1" applyAlignment="1">
      <alignment horizontal="center"/>
    </xf>
    <xf numFmtId="166" fontId="7" fillId="20" borderId="28" xfId="0" applyNumberFormat="1" applyFont="1" applyFill="1" applyBorder="1" applyAlignment="1">
      <alignment horizontal="center"/>
    </xf>
    <xf numFmtId="166" fontId="15" fillId="12" borderId="25" xfId="0" applyNumberFormat="1" applyFont="1" applyFill="1" applyBorder="1" applyAlignment="1">
      <alignment horizontal="center" vertical="center"/>
    </xf>
    <xf numFmtId="169" fontId="7" fillId="4" borderId="22" xfId="3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17" fillId="3" borderId="18" xfId="0" applyNumberFormat="1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6" fillId="12" borderId="0" xfId="0" applyFont="1" applyFill="1" applyAlignment="1">
      <alignment horizontal="center" vertical="center"/>
    </xf>
    <xf numFmtId="0" fontId="6" fillId="15" borderId="33" xfId="0" applyFont="1" applyFill="1" applyBorder="1" applyAlignment="1">
      <alignment horizontal="center" vertical="center"/>
    </xf>
    <xf numFmtId="0" fontId="6" fillId="15" borderId="34" xfId="0" applyFont="1" applyFill="1" applyBorder="1" applyAlignment="1">
      <alignment horizontal="center" vertical="center"/>
    </xf>
    <xf numFmtId="0" fontId="6" fillId="15" borderId="35" xfId="0" applyFont="1" applyFill="1" applyBorder="1" applyAlignment="1">
      <alignment horizontal="center" vertical="center"/>
    </xf>
    <xf numFmtId="0" fontId="16" fillId="19" borderId="32" xfId="0" applyFont="1" applyFill="1" applyBorder="1" applyAlignment="1">
      <alignment horizontal="center"/>
    </xf>
    <xf numFmtId="166" fontId="10" fillId="6" borderId="1" xfId="0" applyNumberFormat="1" applyFont="1" applyFill="1" applyBorder="1" applyAlignment="1">
      <alignment horizontal="center"/>
    </xf>
    <xf numFmtId="0" fontId="7" fillId="7" borderId="1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3300"/>
      <color rgb="FFCC99FF"/>
      <color rgb="FFFF6600"/>
      <color rgb="FFCC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" dropStyle="combo" dx="16" fmlaLink="$C$21" fmlaRange="$Y$2:$Y$5" noThreeD="1" sel="0" val="0"/>
</file>

<file path=xl/ctrlProps/ctrlProp2.xml><?xml version="1.0" encoding="utf-8"?>
<formControlPr xmlns="http://schemas.microsoft.com/office/spreadsheetml/2009/9/main" objectType="Drop" dropLines="6" dropStyle="combo" dx="16" fmlaLink="$C$21" fmlaRange="$Y$2:$Y$5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47625</xdr:rowOff>
        </xdr:from>
        <xdr:to>
          <xdr:col>2</xdr:col>
          <xdr:colOff>0</xdr:colOff>
          <xdr:row>19</xdr:row>
          <xdr:rowOff>152400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287727</xdr:colOff>
      <xdr:row>4</xdr:row>
      <xdr:rowOff>0</xdr:rowOff>
    </xdr:from>
    <xdr:to>
      <xdr:col>3</xdr:col>
      <xdr:colOff>287727</xdr:colOff>
      <xdr:row>31</xdr:row>
      <xdr:rowOff>170391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0E86D16-72A9-4328-8624-4C1617784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852" y="1019175"/>
          <a:ext cx="0" cy="81999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47625</xdr:rowOff>
        </xdr:from>
        <xdr:to>
          <xdr:col>2</xdr:col>
          <xdr:colOff>0</xdr:colOff>
          <xdr:row>19</xdr:row>
          <xdr:rowOff>152400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287727</xdr:colOff>
      <xdr:row>4</xdr:row>
      <xdr:rowOff>0</xdr:rowOff>
    </xdr:from>
    <xdr:to>
      <xdr:col>3</xdr:col>
      <xdr:colOff>287727</xdr:colOff>
      <xdr:row>31</xdr:row>
      <xdr:rowOff>170391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0F33B33-C653-488A-8AFC-93BBA244D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852" y="933450"/>
          <a:ext cx="0" cy="81999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%20JRGG\0%20GNP\Productos\Calculadora%20de%20impuestos%202023%20-%202VF.xlsm" TargetMode="External"/><Relationship Id="rId1" Type="http://schemas.openxmlformats.org/officeDocument/2006/relationships/externalLinkPath" Target="/0%20JRGG/0%20GNP/Productos/Calculadora%20de%20impuestos%202023%20-%202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CIO"/>
      <sheetName val="límites"/>
      <sheetName val="comprobaciones"/>
      <sheetName val="Cálculo ISR"/>
      <sheetName val="Topes"/>
      <sheetName val="Hoja1"/>
      <sheetName val="Calculadora de impuestos 2023 -"/>
    </sheetNames>
    <definedNames>
      <definedName name="Listadesplegable2_AlCambiar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www.elcontribuyente.mx/2023/12/tablas-isr-2024/" TargetMode="Externa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BC9F-7F53-466A-A47B-EF62F7A91B35}">
  <dimension ref="A1:AD170"/>
  <sheetViews>
    <sheetView tabSelected="1" zoomScale="90" zoomScaleNormal="90" workbookViewId="0">
      <selection activeCell="C7" sqref="C7"/>
    </sheetView>
  </sheetViews>
  <sheetFormatPr baseColWidth="10" defaultRowHeight="14.25" x14ac:dyDescent="0.2"/>
  <cols>
    <col min="1" max="1" width="51.28515625" style="8" customWidth="1"/>
    <col min="2" max="3" width="21.85546875" style="8" customWidth="1"/>
    <col min="4" max="4" width="29" style="8" customWidth="1"/>
    <col min="5" max="5" width="30.7109375" style="8" bestFit="1" customWidth="1"/>
    <col min="6" max="18" width="11.42578125" style="8"/>
    <col min="19" max="19" width="15.28515625" style="8" bestFit="1" customWidth="1"/>
    <col min="20" max="20" width="16.85546875" style="8" customWidth="1"/>
    <col min="21" max="21" width="14.85546875" style="8" bestFit="1" customWidth="1"/>
    <col min="22" max="22" width="11.5703125" style="8" bestFit="1" customWidth="1"/>
    <col min="23" max="23" width="14" style="8" customWidth="1"/>
    <col min="24" max="24" width="18.85546875" style="8" customWidth="1"/>
    <col min="25" max="26" width="14.7109375" style="8" customWidth="1"/>
    <col min="27" max="27" width="11.5703125" style="8" bestFit="1" customWidth="1"/>
    <col min="28" max="29" width="11.85546875" style="8" bestFit="1" customWidth="1"/>
    <col min="30" max="16384" width="11.42578125" style="8"/>
  </cols>
  <sheetData>
    <row r="1" spans="1:30" ht="27" customHeight="1" thickBot="1" x14ac:dyDescent="0.4">
      <c r="A1" s="135" t="s">
        <v>77</v>
      </c>
      <c r="B1" s="136"/>
      <c r="C1" s="136"/>
      <c r="D1" s="136"/>
      <c r="E1" s="13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T1" s="8" t="s">
        <v>0</v>
      </c>
      <c r="U1" s="8">
        <v>14200</v>
      </c>
      <c r="V1" s="70" t="s">
        <v>1</v>
      </c>
      <c r="W1" s="70" t="s">
        <v>2</v>
      </c>
      <c r="X1" s="70" t="s">
        <v>3</v>
      </c>
      <c r="Y1" s="71" t="s">
        <v>4</v>
      </c>
      <c r="Z1" s="70" t="s">
        <v>43</v>
      </c>
      <c r="AB1" s="70" t="s">
        <v>44</v>
      </c>
      <c r="AD1" s="7"/>
    </row>
    <row r="2" spans="1:30" x14ac:dyDescent="0.2">
      <c r="A2" s="138" t="s">
        <v>45</v>
      </c>
      <c r="B2" s="138"/>
      <c r="C2" s="138"/>
      <c r="D2" s="138"/>
      <c r="E2" s="1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39" t="s">
        <v>5</v>
      </c>
      <c r="S2" s="139"/>
      <c r="T2" s="8" t="s">
        <v>6</v>
      </c>
      <c r="U2" s="8">
        <v>12900</v>
      </c>
      <c r="V2" s="72">
        <v>7.0000000000000007E-2</v>
      </c>
      <c r="W2" s="70" t="s">
        <v>7</v>
      </c>
      <c r="X2" s="73">
        <v>152000</v>
      </c>
      <c r="Y2" s="71" t="s">
        <v>8</v>
      </c>
      <c r="Z2" s="70" t="s">
        <v>9</v>
      </c>
      <c r="AB2" s="73" t="s">
        <v>10</v>
      </c>
      <c r="AD2" s="7"/>
    </row>
    <row r="3" spans="1:30" ht="1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4" t="s">
        <v>11</v>
      </c>
      <c r="S3" s="75">
        <v>45323</v>
      </c>
      <c r="T3" s="8" t="s">
        <v>12</v>
      </c>
      <c r="U3" s="8">
        <v>19900</v>
      </c>
      <c r="V3" s="76">
        <v>78400</v>
      </c>
      <c r="W3" s="107">
        <v>41273.519999999997</v>
      </c>
      <c r="X3" s="73">
        <v>152000</v>
      </c>
      <c r="Y3" s="77">
        <f>+C8*0.1</f>
        <v>80000</v>
      </c>
      <c r="Z3" s="78">
        <f>+C8*0.15</f>
        <v>120000</v>
      </c>
      <c r="AB3" s="108">
        <f>750000*8.505569</f>
        <v>6379176.75</v>
      </c>
      <c r="AD3" s="7"/>
    </row>
    <row r="4" spans="1:30" ht="24" customHeight="1" x14ac:dyDescent="0.2">
      <c r="A4" s="140" t="s">
        <v>46</v>
      </c>
      <c r="B4" s="141"/>
      <c r="C4" s="14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4" t="s">
        <v>13</v>
      </c>
      <c r="S4" s="75">
        <f ca="1">+TODAY()</f>
        <v>45845</v>
      </c>
      <c r="T4" s="79" t="s">
        <v>14</v>
      </c>
      <c r="U4" s="79">
        <v>17100</v>
      </c>
      <c r="V4" s="80"/>
      <c r="W4" s="81"/>
      <c r="X4" s="82"/>
      <c r="Y4" s="83">
        <f>5*W3</f>
        <v>206367.59999999998</v>
      </c>
      <c r="Z4" s="83">
        <f>5*W3</f>
        <v>206367.59999999998</v>
      </c>
      <c r="AA4" s="79"/>
      <c r="AD4" s="7"/>
    </row>
    <row r="5" spans="1:30" ht="24" customHeight="1" x14ac:dyDescent="0.2">
      <c r="A5" s="143" t="s">
        <v>17</v>
      </c>
      <c r="B5" s="144"/>
      <c r="C5" s="5" t="s">
        <v>18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4" t="s">
        <v>15</v>
      </c>
      <c r="S5" s="84">
        <f ca="1">+IF(S4&lt;S3,1,0)</f>
        <v>0</v>
      </c>
      <c r="T5" s="8" t="s">
        <v>16</v>
      </c>
      <c r="U5" s="8">
        <v>24500</v>
      </c>
      <c r="AD5" s="7"/>
    </row>
    <row r="6" spans="1:30" ht="24" customHeight="1" thickBot="1" x14ac:dyDescent="0.3">
      <c r="A6" s="145" t="s">
        <v>35</v>
      </c>
      <c r="B6" s="146"/>
      <c r="C6" s="1">
        <v>800000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 t="s">
        <v>78</v>
      </c>
      <c r="S6" s="105"/>
      <c r="W6" s="8" t="s">
        <v>76</v>
      </c>
      <c r="AD6" s="7"/>
    </row>
    <row r="7" spans="1:30" ht="26.25" customHeight="1" thickBot="1" x14ac:dyDescent="0.25">
      <c r="A7" s="125" t="s">
        <v>36</v>
      </c>
      <c r="B7" s="126"/>
      <c r="C7" s="1"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115" t="s">
        <v>69</v>
      </c>
      <c r="T7" s="127"/>
      <c r="U7" s="127"/>
      <c r="V7" s="127"/>
      <c r="W7" s="127"/>
      <c r="X7" s="127"/>
      <c r="Y7" s="127"/>
      <c r="Z7" s="116"/>
      <c r="AD7" s="7"/>
    </row>
    <row r="8" spans="1:30" ht="27" customHeight="1" thickBot="1" x14ac:dyDescent="0.3">
      <c r="A8" s="128" t="s">
        <v>19</v>
      </c>
      <c r="B8" s="129"/>
      <c r="C8" s="6">
        <f>+C6+C7</f>
        <v>800000</v>
      </c>
      <c r="D8" s="65">
        <f>+C8/$C$8</f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S8" s="88" t="s">
        <v>53</v>
      </c>
      <c r="T8" s="89" t="s">
        <v>54</v>
      </c>
      <c r="U8" s="89" t="s">
        <v>55</v>
      </c>
      <c r="V8" s="90" t="s">
        <v>67</v>
      </c>
      <c r="W8" s="115" t="s">
        <v>68</v>
      </c>
      <c r="X8" s="127"/>
      <c r="Y8" s="127"/>
      <c r="Z8" s="116"/>
      <c r="AD8" s="7"/>
    </row>
    <row r="9" spans="1:30" ht="15" customHeight="1" thickBot="1" x14ac:dyDescent="0.25">
      <c r="A9" s="9" t="s">
        <v>34</v>
      </c>
      <c r="B9" s="7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1"/>
      <c r="S9" s="92">
        <v>0.01</v>
      </c>
      <c r="T9" s="93">
        <v>8952.49</v>
      </c>
      <c r="U9" s="93">
        <v>0</v>
      </c>
      <c r="V9" s="94">
        <v>1.92</v>
      </c>
      <c r="W9" s="85" t="s">
        <v>68</v>
      </c>
      <c r="X9" s="87"/>
      <c r="Y9" s="95" t="s">
        <v>72</v>
      </c>
      <c r="Z9" s="95" t="s">
        <v>73</v>
      </c>
      <c r="AD9" s="7"/>
    </row>
    <row r="10" spans="1:30" ht="15" customHeight="1" thickBot="1" x14ac:dyDescent="0.25">
      <c r="A10" s="11" t="s">
        <v>37</v>
      </c>
      <c r="B10" s="12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1"/>
      <c r="S10" s="92">
        <v>8952.5</v>
      </c>
      <c r="T10" s="93">
        <v>75984.55</v>
      </c>
      <c r="U10" s="93">
        <v>171.88</v>
      </c>
      <c r="V10" s="94">
        <v>6.4</v>
      </c>
      <c r="W10" s="96" t="s">
        <v>57</v>
      </c>
      <c r="X10" s="97">
        <f>+C8</f>
        <v>800000</v>
      </c>
      <c r="Y10" s="98">
        <f>+X10-D44</f>
        <v>680000</v>
      </c>
      <c r="Z10" s="98">
        <f>+X10-E44</f>
        <v>600000</v>
      </c>
      <c r="AD10" s="7"/>
    </row>
    <row r="11" spans="1:30" ht="27" customHeight="1" thickBo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1"/>
      <c r="S11" s="92">
        <v>75984.56</v>
      </c>
      <c r="T11" s="93">
        <v>133536.07</v>
      </c>
      <c r="U11" s="93">
        <v>4461.9399999999996</v>
      </c>
      <c r="V11" s="94">
        <v>10.88</v>
      </c>
      <c r="W11" s="99" t="s">
        <v>58</v>
      </c>
      <c r="X11" s="98">
        <f>VLOOKUP($X$10,$S$9:$V$19,1)</f>
        <v>590796</v>
      </c>
      <c r="Y11" s="98">
        <f>VLOOKUP($Y$10,$S$9:$V$19,1)</f>
        <v>590796</v>
      </c>
      <c r="Z11" s="98">
        <f>VLOOKUP($Z$10,$S$9:$V$19,1)</f>
        <v>590796</v>
      </c>
      <c r="AD11" s="7"/>
    </row>
    <row r="12" spans="1:30" ht="24" customHeight="1" x14ac:dyDescent="0.2">
      <c r="A12" s="130" t="s">
        <v>47</v>
      </c>
      <c r="B12" s="131"/>
      <c r="C12" s="13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1"/>
      <c r="S12" s="92">
        <v>133536.07999999999</v>
      </c>
      <c r="T12" s="93">
        <v>155229.79999999999</v>
      </c>
      <c r="U12" s="93">
        <v>10723.55</v>
      </c>
      <c r="V12" s="94">
        <v>16</v>
      </c>
      <c r="W12" s="99" t="s">
        <v>59</v>
      </c>
      <c r="X12" s="98">
        <f>+X10-X11</f>
        <v>209204</v>
      </c>
      <c r="Y12" s="98">
        <f>+Y10-Y11</f>
        <v>89204</v>
      </c>
      <c r="Z12" s="98">
        <f>+Z10-Z11</f>
        <v>9204</v>
      </c>
      <c r="AD12" s="7"/>
    </row>
    <row r="13" spans="1:30" ht="24" customHeight="1" x14ac:dyDescent="0.2">
      <c r="A13" s="14" t="s">
        <v>17</v>
      </c>
      <c r="B13" s="15" t="s">
        <v>18</v>
      </c>
      <c r="C13" s="16" t="s">
        <v>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1"/>
      <c r="S13" s="92">
        <v>155229.81</v>
      </c>
      <c r="T13" s="93">
        <v>185852.57</v>
      </c>
      <c r="U13" s="93">
        <v>14194.54</v>
      </c>
      <c r="V13" s="94">
        <v>17.920000000000002</v>
      </c>
      <c r="W13" s="99" t="s">
        <v>60</v>
      </c>
      <c r="X13" s="98">
        <f>VLOOKUP($X$11,$S$9:$V$19,4)</f>
        <v>30</v>
      </c>
      <c r="Y13" s="98">
        <f>VLOOKUP($Y$11,$S$9:$V$19,4)</f>
        <v>30</v>
      </c>
      <c r="Z13" s="98">
        <f>VLOOKUP($Z$11,$S$9:$V$19,4)</f>
        <v>30</v>
      </c>
      <c r="AD13" s="7"/>
    </row>
    <row r="14" spans="1:30" ht="24" customHeight="1" x14ac:dyDescent="0.2">
      <c r="A14" s="17" t="s">
        <v>39</v>
      </c>
      <c r="B14" s="2"/>
      <c r="C14" s="18">
        <f>+B14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1"/>
      <c r="S14" s="92">
        <v>185852.58</v>
      </c>
      <c r="T14" s="93">
        <v>374837.88</v>
      </c>
      <c r="U14" s="93">
        <v>19682.13</v>
      </c>
      <c r="V14" s="94">
        <v>21.36</v>
      </c>
      <c r="W14" s="99" t="s">
        <v>61</v>
      </c>
      <c r="X14" s="98">
        <f>X12*(X13/100)</f>
        <v>62761.2</v>
      </c>
      <c r="Y14" s="98">
        <f>Y12*(Y13/100)</f>
        <v>26761.200000000001</v>
      </c>
      <c r="Z14" s="98">
        <f>Z12*(Z13/100)</f>
        <v>2761.2</v>
      </c>
      <c r="AD14" s="7"/>
    </row>
    <row r="15" spans="1:30" ht="24" customHeight="1" x14ac:dyDescent="0.2">
      <c r="A15" s="19" t="s">
        <v>1</v>
      </c>
      <c r="B15" s="2">
        <v>25000</v>
      </c>
      <c r="C15" s="20">
        <f>+IF($B$15="",0,IF($B$15&gt;$U$3,$U$3,$B$15))</f>
        <v>19900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1"/>
      <c r="S15" s="92">
        <v>374837.89</v>
      </c>
      <c r="T15" s="93">
        <v>590795.99</v>
      </c>
      <c r="U15" s="93">
        <v>60049.4</v>
      </c>
      <c r="V15" s="94">
        <v>23.52</v>
      </c>
      <c r="W15" s="99" t="s">
        <v>62</v>
      </c>
      <c r="X15" s="98">
        <f>VLOOKUP($X$11,$S$9:$V$19,3)</f>
        <v>110842.74</v>
      </c>
      <c r="Y15" s="98">
        <f>VLOOKUP($Y$11,$S$9:$V$19,3)</f>
        <v>110842.74</v>
      </c>
      <c r="Z15" s="98">
        <f>VLOOKUP($Z$11,$S$9:$V$19,3)</f>
        <v>110842.74</v>
      </c>
      <c r="AD15" s="7"/>
    </row>
    <row r="16" spans="1:30" ht="24" customHeight="1" x14ac:dyDescent="0.2">
      <c r="A16" s="19" t="s">
        <v>40</v>
      </c>
      <c r="B16" s="2">
        <v>48000</v>
      </c>
      <c r="C16" s="20">
        <f>+IF($B$16="",0,IF($B$16&gt;$T$3,$T$3,$B$16))</f>
        <v>48000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1"/>
      <c r="S16" s="92">
        <v>590796</v>
      </c>
      <c r="T16" s="93">
        <v>1127926.8400000001</v>
      </c>
      <c r="U16" s="93">
        <v>110842.74</v>
      </c>
      <c r="V16" s="94">
        <v>30</v>
      </c>
      <c r="W16" s="99" t="s">
        <v>63</v>
      </c>
      <c r="X16" s="98">
        <f>+X15+X14</f>
        <v>173603.94</v>
      </c>
      <c r="Y16" s="98">
        <f>+Y15+Y14</f>
        <v>137603.94</v>
      </c>
      <c r="Z16" s="98">
        <f>+Z15+Z14</f>
        <v>113603.94</v>
      </c>
      <c r="AD16" s="7"/>
    </row>
    <row r="17" spans="1:30" ht="24" customHeight="1" x14ac:dyDescent="0.2">
      <c r="A17" s="17" t="s">
        <v>41</v>
      </c>
      <c r="B17" s="2"/>
      <c r="C17" s="21">
        <f>+IF($B$17="",0,IF($B$17&gt;$AA$3,$AA$3,$B$17))</f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1"/>
      <c r="S17" s="92">
        <v>1127926.8500000001</v>
      </c>
      <c r="T17" s="93">
        <v>1503902.46</v>
      </c>
      <c r="U17" s="93">
        <v>271981.99</v>
      </c>
      <c r="V17" s="94">
        <v>32</v>
      </c>
      <c r="W17" s="99" t="s">
        <v>64</v>
      </c>
      <c r="X17" s="98">
        <v>0</v>
      </c>
      <c r="Y17" s="98">
        <v>0</v>
      </c>
      <c r="Z17" s="98">
        <v>0</v>
      </c>
      <c r="AD17" s="7"/>
    </row>
    <row r="18" spans="1:30" ht="24" customHeight="1" x14ac:dyDescent="0.2">
      <c r="A18" s="19" t="s">
        <v>42</v>
      </c>
      <c r="B18" s="2">
        <v>60000</v>
      </c>
      <c r="C18" s="22">
        <f>+B18</f>
        <v>60000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1"/>
      <c r="S18" s="92">
        <v>1503902.47</v>
      </c>
      <c r="T18" s="93">
        <v>4511707.37</v>
      </c>
      <c r="U18" s="93">
        <v>392294.17</v>
      </c>
      <c r="V18" s="94">
        <v>34</v>
      </c>
      <c r="W18" s="99" t="s">
        <v>65</v>
      </c>
      <c r="X18" s="98">
        <f>+X16-X17</f>
        <v>173603.94</v>
      </c>
      <c r="Y18" s="98">
        <f>+Y16-Y17</f>
        <v>137603.94</v>
      </c>
      <c r="Z18" s="98">
        <f>+Z16-Z17</f>
        <v>113603.94</v>
      </c>
      <c r="AD18" s="7"/>
    </row>
    <row r="19" spans="1:30" ht="24" customHeight="1" thickBot="1" x14ac:dyDescent="0.25">
      <c r="A19" s="19" t="s">
        <v>48</v>
      </c>
      <c r="B19" s="2"/>
      <c r="C19" s="22">
        <f>+B19</f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100">
        <v>4511707.38</v>
      </c>
      <c r="T19" s="101" t="s">
        <v>56</v>
      </c>
      <c r="U19" s="101">
        <v>1414947.85</v>
      </c>
      <c r="V19" s="102">
        <v>35</v>
      </c>
      <c r="W19" s="103" t="s">
        <v>66</v>
      </c>
      <c r="X19" s="104">
        <f>+X10-X18</f>
        <v>626396.06000000006</v>
      </c>
      <c r="Y19" s="104">
        <f>+X10-Y18</f>
        <v>662396.06000000006</v>
      </c>
      <c r="Z19" s="104">
        <f>+X10-Z18</f>
        <v>686396.06</v>
      </c>
      <c r="AD19" s="7"/>
    </row>
    <row r="20" spans="1:30" ht="15.75" customHeight="1" thickBot="1" x14ac:dyDescent="0.25">
      <c r="A20" s="23"/>
      <c r="B20" s="7"/>
      <c r="C20" s="1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D20" s="7"/>
    </row>
    <row r="21" spans="1:30" ht="30.75" customHeight="1" thickBot="1" x14ac:dyDescent="0.25">
      <c r="A21" s="133" t="s">
        <v>21</v>
      </c>
      <c r="B21" s="134">
        <v>6</v>
      </c>
      <c r="C21" s="2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S21" s="85" t="s">
        <v>70</v>
      </c>
      <c r="T21" s="86"/>
      <c r="U21" s="86"/>
      <c r="V21" s="86"/>
      <c r="W21" s="86"/>
      <c r="X21" s="87"/>
      <c r="AD21" s="7"/>
    </row>
    <row r="22" spans="1:30" ht="24" customHeight="1" thickBot="1" x14ac:dyDescent="0.25">
      <c r="A22" s="25" t="s">
        <v>22</v>
      </c>
      <c r="B22" s="26" t="s">
        <v>18</v>
      </c>
      <c r="C22" s="27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S22" s="88" t="s">
        <v>53</v>
      </c>
      <c r="T22" s="89" t="s">
        <v>54</v>
      </c>
      <c r="U22" s="89" t="s">
        <v>55</v>
      </c>
      <c r="V22" s="90" t="s">
        <v>67</v>
      </c>
      <c r="W22" s="115" t="s">
        <v>68</v>
      </c>
      <c r="X22" s="116"/>
      <c r="AD22" s="7"/>
    </row>
    <row r="23" spans="1:30" ht="24" customHeight="1" x14ac:dyDescent="0.2">
      <c r="A23" s="3" t="s">
        <v>6</v>
      </c>
      <c r="B23" s="4">
        <v>18000</v>
      </c>
      <c r="C23" s="28">
        <f>+IF(B23="","",IF(AND(A23="Preescolar",B23&gt;$U$1),$U$1,IF(AND(A23="Primaria",B23&gt;$U$2),$U$2,IF(AND(A23="Secundaria",B23&gt;$U$3),$U$3,IF(AND(A23="Profesional técnico",B23&gt;$U$4),$U$4,IF(AND(A23="Bachillerato",B23&gt;$U$5),$U$5,B23))))))</f>
        <v>12900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S23" s="92">
        <v>0.01</v>
      </c>
      <c r="T23" s="93">
        <v>746.04</v>
      </c>
      <c r="U23" s="93">
        <v>0</v>
      </c>
      <c r="V23" s="94">
        <v>1.92</v>
      </c>
      <c r="W23" s="96" t="s">
        <v>57</v>
      </c>
      <c r="X23" s="97">
        <f>+C8/12</f>
        <v>66666.666666666672</v>
      </c>
      <c r="AD23" s="7"/>
    </row>
    <row r="24" spans="1:30" ht="24" customHeight="1" x14ac:dyDescent="0.2">
      <c r="A24" s="3" t="s">
        <v>12</v>
      </c>
      <c r="B24" s="4">
        <v>24000</v>
      </c>
      <c r="C24" s="28">
        <f>+IF(B24="","",IF(AND(A24="Preescolar",B24&gt;$U$1),$U$1,IF(AND(A24="Primaria",B24&gt;$U$2),$U$2,IF(AND(A24="Secundaria",B24&gt;$U$3),$U$3,IF(AND(A24="Profesional técnico",B24&gt;$U$4),$U$4,IF(AND(A24="Bachillerato",B24&gt;$U$5),$U$5,B24))))))</f>
        <v>19900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S24" s="92">
        <v>746.05</v>
      </c>
      <c r="T24" s="93">
        <v>6332.05</v>
      </c>
      <c r="U24" s="93">
        <v>14.32</v>
      </c>
      <c r="V24" s="94">
        <v>6.4</v>
      </c>
      <c r="W24" s="99" t="s">
        <v>58</v>
      </c>
      <c r="X24" s="98">
        <f>VLOOKUP($X$23,$S$23:$V$33,1)</f>
        <v>49233.01</v>
      </c>
      <c r="AD24" s="7"/>
    </row>
    <row r="25" spans="1:30" ht="24" customHeight="1" x14ac:dyDescent="0.2">
      <c r="A25" s="3"/>
      <c r="B25" s="4"/>
      <c r="C25" s="28" t="str">
        <f>+IF(B25="","",IF(AND(A25="Preescolar",B25&gt;$U$1),$U$1,IF(AND(A25="Primaria",B25&gt;$U$2),$U$2,IF(AND(A25="Secundaria",B25&gt;$U$3),$U$3,IF(AND(A25="Profesional técnico",B25&gt;$U$4),$U$4,IF(AND(A25="Bachillerato",B25&gt;$U$5),$U$5,B25))))))</f>
        <v/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S25" s="92">
        <v>6332.06</v>
      </c>
      <c r="T25" s="93">
        <v>11128.01</v>
      </c>
      <c r="U25" s="93">
        <v>371.83</v>
      </c>
      <c r="V25" s="94">
        <v>10.88</v>
      </c>
      <c r="W25" s="99" t="s">
        <v>59</v>
      </c>
      <c r="X25" s="98">
        <f>+X23-X24</f>
        <v>17433.656666666669</v>
      </c>
      <c r="AD25" s="7"/>
    </row>
    <row r="26" spans="1:30" ht="24" customHeight="1" x14ac:dyDescent="0.2">
      <c r="A26" s="3"/>
      <c r="B26" s="4"/>
      <c r="C26" s="28" t="str">
        <f>+IF(B26="","",IF(AND(A26="Preescolar",B26&gt;$U$1),$U$1,IF(AND(A26="Primaria",B26&gt;$U$2),$U$2,IF(AND(A26="Secundaria",B26&gt;$U$3),$U$3,IF(AND(A26="Profesional técnico",B26&gt;$U$4),$U$4,IF(AND(A26="Bachillerato",B26&gt;$U$5),$U$5,B26))))))</f>
        <v/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S26" s="92">
        <v>11128.02</v>
      </c>
      <c r="T26" s="93">
        <v>12935.82</v>
      </c>
      <c r="U26" s="93">
        <v>893.63</v>
      </c>
      <c r="V26" s="94">
        <v>16</v>
      </c>
      <c r="W26" s="99" t="s">
        <v>60</v>
      </c>
      <c r="X26" s="98">
        <f>VLOOKUP($X$24,$S$23:$V$33,4)</f>
        <v>30</v>
      </c>
      <c r="AD26" s="7"/>
    </row>
    <row r="27" spans="1:30" ht="24" customHeight="1" x14ac:dyDescent="0.2">
      <c r="A27" s="3"/>
      <c r="B27" s="4"/>
      <c r="C27" s="28" t="str">
        <f>+IF(B27="","",IF(AND(A27="Preescolar",B27&gt;$U$1),$U$1,IF(AND(A27="Primaria",B27&gt;$U$2),$U$2,IF(AND(A27="Secundaria",B27&gt;$U$3),$U$3,IF(AND(A27="Profesional técnico",B27&gt;$U$4),$U$4,IF(AND(A27="Bachillerato",B27&gt;$U$5),$U$5,B27))))))</f>
        <v/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S27" s="92">
        <v>12935.83</v>
      </c>
      <c r="T27" s="93">
        <v>15487.71</v>
      </c>
      <c r="U27" s="93">
        <v>1182.8800000000001</v>
      </c>
      <c r="V27" s="94">
        <v>17.920000000000002</v>
      </c>
      <c r="W27" s="99" t="s">
        <v>61</v>
      </c>
      <c r="X27" s="98">
        <f>X25*(X26/100)</f>
        <v>5230.0970000000007</v>
      </c>
      <c r="AD27" s="7"/>
    </row>
    <row r="28" spans="1:30" ht="24" customHeight="1" x14ac:dyDescent="0.2">
      <c r="A28" s="29" t="s">
        <v>23</v>
      </c>
      <c r="B28" s="30">
        <f>SUM(B23:B27)</f>
        <v>42000</v>
      </c>
      <c r="C28" s="31">
        <f>SUM(C23:C27)</f>
        <v>32800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S28" s="92">
        <v>15487.72</v>
      </c>
      <c r="T28" s="93">
        <v>31236.49</v>
      </c>
      <c r="U28" s="93">
        <v>1640.18</v>
      </c>
      <c r="V28" s="94">
        <v>21.36</v>
      </c>
      <c r="W28" s="99" t="s">
        <v>62</v>
      </c>
      <c r="X28" s="98">
        <f>VLOOKUP($X$24,$S$23:$V$33,3)</f>
        <v>9236.89</v>
      </c>
      <c r="AD28" s="7"/>
    </row>
    <row r="29" spans="1:30" x14ac:dyDescent="0.2">
      <c r="A29" s="23"/>
      <c r="B29" s="7"/>
      <c r="C29" s="10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S29" s="92">
        <v>31236.5</v>
      </c>
      <c r="T29" s="93">
        <v>49233</v>
      </c>
      <c r="U29" s="93">
        <v>5004.12</v>
      </c>
      <c r="V29" s="94">
        <v>23.52</v>
      </c>
      <c r="W29" s="99" t="s">
        <v>63</v>
      </c>
      <c r="X29" s="98">
        <f>+X28+X27</f>
        <v>14466.987000000001</v>
      </c>
      <c r="AD29" s="7"/>
    </row>
    <row r="30" spans="1:30" ht="24" customHeight="1" thickBot="1" x14ac:dyDescent="0.3">
      <c r="A30" s="117">
        <f>SUM(B14:B19)+B28</f>
        <v>175000</v>
      </c>
      <c r="B30" s="118"/>
      <c r="C30" s="32">
        <f>+IF((SUM($C14:$C19)+C28)&gt;$Z$3,$Z$3,(SUM($C$14:$C$19)+C28))</f>
        <v>120000</v>
      </c>
      <c r="D30" s="65">
        <f>+C30/$C$8</f>
        <v>0.15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S30" s="92">
        <v>49233.01</v>
      </c>
      <c r="T30" s="93">
        <v>93993.9</v>
      </c>
      <c r="U30" s="93">
        <v>9236.89</v>
      </c>
      <c r="V30" s="94">
        <v>30</v>
      </c>
      <c r="W30" s="99" t="s">
        <v>64</v>
      </c>
      <c r="X30" s="98">
        <v>0</v>
      </c>
      <c r="AD30" s="7"/>
    </row>
    <row r="31" spans="1:30" ht="29.25" customHeight="1" x14ac:dyDescent="0.2">
      <c r="A31" s="7"/>
      <c r="B31" s="7"/>
      <c r="C31" s="7"/>
      <c r="D31" s="6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S31" s="92">
        <v>93993.91</v>
      </c>
      <c r="T31" s="93">
        <v>125325.2</v>
      </c>
      <c r="U31" s="93">
        <v>22665.17</v>
      </c>
      <c r="V31" s="94">
        <v>32</v>
      </c>
      <c r="W31" s="99" t="s">
        <v>65</v>
      </c>
      <c r="X31" s="98">
        <f>+X29-X30</f>
        <v>14466.987000000001</v>
      </c>
      <c r="AD31" s="7"/>
    </row>
    <row r="32" spans="1:30" ht="24" customHeight="1" thickBot="1" x14ac:dyDescent="0.25">
      <c r="A32" s="119" t="s">
        <v>49</v>
      </c>
      <c r="B32" s="119"/>
      <c r="C32" s="119"/>
      <c r="D32" s="6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S32" s="92">
        <v>125325.21</v>
      </c>
      <c r="T32" s="93">
        <v>375975.61</v>
      </c>
      <c r="U32" s="93">
        <v>32691.18</v>
      </c>
      <c r="V32" s="94">
        <v>34</v>
      </c>
      <c r="W32" s="103" t="s">
        <v>66</v>
      </c>
      <c r="X32" s="104">
        <f>+X23-X31</f>
        <v>52199.679666666671</v>
      </c>
      <c r="AD32" s="7"/>
    </row>
    <row r="33" spans="1:30" ht="24" customHeight="1" thickBot="1" x14ac:dyDescent="0.25">
      <c r="A33" s="33" t="s">
        <v>17</v>
      </c>
      <c r="B33" s="33" t="s">
        <v>18</v>
      </c>
      <c r="C33" s="33" t="s">
        <v>20</v>
      </c>
      <c r="D33" s="6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S33" s="100">
        <v>375975.62</v>
      </c>
      <c r="T33" s="101" t="s">
        <v>56</v>
      </c>
      <c r="U33" s="101">
        <v>117912.32000000001</v>
      </c>
      <c r="V33" s="102">
        <v>35</v>
      </c>
      <c r="AD33" s="7"/>
    </row>
    <row r="34" spans="1:30" ht="30" x14ac:dyDescent="0.2">
      <c r="A34" s="34" t="s">
        <v>50</v>
      </c>
      <c r="B34" s="2">
        <v>0</v>
      </c>
      <c r="C34" s="35">
        <f>+IF($B$34="",0,IF($B$34&gt;$X$3,$X$3,$B$34))</f>
        <v>0</v>
      </c>
      <c r="D34" s="65">
        <f>+C34/$C$8</f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D34" s="7"/>
    </row>
    <row r="35" spans="1:30" ht="45" x14ac:dyDescent="0.2">
      <c r="A35" s="36" t="s">
        <v>51</v>
      </c>
      <c r="B35" s="2">
        <v>80000</v>
      </c>
      <c r="C35" s="37">
        <f>+IF($B$35="",0,IF($B$35&gt;$Y$3,$Y$3,IF($B$35&gt;$Y$4,$Y$4,$B$35)))</f>
        <v>80000</v>
      </c>
      <c r="D35" s="65">
        <f>+C35/$C$8</f>
        <v>0.1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D35" s="7"/>
    </row>
    <row r="36" spans="1:30" ht="39" customHeight="1" x14ac:dyDescent="0.25">
      <c r="A36" s="67" t="s">
        <v>24</v>
      </c>
      <c r="B36" s="68">
        <f>+B35+B34</f>
        <v>80000</v>
      </c>
      <c r="C36" s="38">
        <f>+C35+C34</f>
        <v>80000</v>
      </c>
      <c r="D36" s="65">
        <f>+C36/$C$8</f>
        <v>0.1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D36" s="7"/>
    </row>
    <row r="37" spans="1:30" ht="15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AD37" s="7"/>
    </row>
    <row r="38" spans="1:30" ht="15" thickBo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AD38" s="7"/>
    </row>
    <row r="39" spans="1:30" ht="24" customHeight="1" thickBot="1" x14ac:dyDescent="0.25">
      <c r="A39" s="120" t="s">
        <v>52</v>
      </c>
      <c r="B39" s="121"/>
      <c r="C39" s="121"/>
      <c r="D39" s="121"/>
      <c r="E39" s="12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AD39" s="7"/>
    </row>
    <row r="40" spans="1:30" ht="33" customHeight="1" x14ac:dyDescent="0.2">
      <c r="A40" s="39" t="s">
        <v>17</v>
      </c>
      <c r="B40" s="123" t="s">
        <v>25</v>
      </c>
      <c r="C40" s="123"/>
      <c r="D40" s="40" t="s">
        <v>26</v>
      </c>
      <c r="E40" s="41" t="s">
        <v>27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AD40" s="7"/>
    </row>
    <row r="41" spans="1:30" ht="24" customHeight="1" x14ac:dyDescent="0.25">
      <c r="A41" s="42" t="s">
        <v>28</v>
      </c>
      <c r="B41" s="124">
        <f>+C8</f>
        <v>800000</v>
      </c>
      <c r="C41" s="124"/>
      <c r="D41" s="43">
        <f>+C8</f>
        <v>800000</v>
      </c>
      <c r="E41" s="44">
        <f>+C8</f>
        <v>800000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AD41" s="7"/>
    </row>
    <row r="42" spans="1:30" ht="24" customHeight="1" x14ac:dyDescent="0.2">
      <c r="A42" s="45" t="s">
        <v>29</v>
      </c>
      <c r="B42" s="109">
        <f>+C30</f>
        <v>120000</v>
      </c>
      <c r="C42" s="109"/>
      <c r="D42" s="46">
        <f>+C30</f>
        <v>120000</v>
      </c>
      <c r="E42" s="47">
        <f>+C30</f>
        <v>120000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AD42" s="7"/>
    </row>
    <row r="43" spans="1:30" ht="24" customHeight="1" x14ac:dyDescent="0.2">
      <c r="A43" s="48" t="s">
        <v>30</v>
      </c>
      <c r="B43" s="110">
        <v>0</v>
      </c>
      <c r="C43" s="110"/>
      <c r="D43" s="49">
        <v>0</v>
      </c>
      <c r="E43" s="50">
        <f>+C36</f>
        <v>80000</v>
      </c>
      <c r="F43" s="5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AD43" s="7"/>
    </row>
    <row r="44" spans="1:30" ht="24" customHeight="1" x14ac:dyDescent="0.25">
      <c r="A44" s="52" t="s">
        <v>31</v>
      </c>
      <c r="B44" s="111">
        <f>+B43+B42</f>
        <v>120000</v>
      </c>
      <c r="C44" s="111"/>
      <c r="D44" s="53">
        <f>+D43+D42</f>
        <v>120000</v>
      </c>
      <c r="E44" s="54">
        <f>+E43+E42</f>
        <v>200000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AD44" s="7"/>
    </row>
    <row r="45" spans="1:30" ht="24" customHeight="1" thickBot="1" x14ac:dyDescent="0.25">
      <c r="A45" s="55" t="s">
        <v>32</v>
      </c>
      <c r="B45" s="112">
        <f>+X18</f>
        <v>173603.94</v>
      </c>
      <c r="C45" s="112"/>
      <c r="D45" s="56">
        <f>+Y18</f>
        <v>137603.94</v>
      </c>
      <c r="E45" s="57">
        <f>+Z18</f>
        <v>113603.94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AD45" s="7"/>
    </row>
    <row r="46" spans="1:30" s="61" customFormat="1" ht="47.25" customHeight="1" x14ac:dyDescent="0.25">
      <c r="A46" s="58" t="s">
        <v>33</v>
      </c>
      <c r="B46" s="113">
        <v>0</v>
      </c>
      <c r="C46" s="113"/>
      <c r="D46" s="59">
        <f>+B45-D45</f>
        <v>36000</v>
      </c>
      <c r="E46" s="69">
        <f>+B45-E45</f>
        <v>60000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AD46" s="60"/>
    </row>
    <row r="47" spans="1:30" ht="27.75" customHeight="1" thickBot="1" x14ac:dyDescent="0.25">
      <c r="A47" s="62" t="s">
        <v>71</v>
      </c>
      <c r="B47" s="114">
        <f>+B45/B41</f>
        <v>0.21700492500000002</v>
      </c>
      <c r="C47" s="114"/>
      <c r="D47" s="63">
        <f>+D45/D41</f>
        <v>0.172004925</v>
      </c>
      <c r="E47" s="64">
        <f>+E45/E41</f>
        <v>0.142004925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AD47" s="7"/>
    </row>
    <row r="48" spans="1:30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AD48" s="7"/>
    </row>
    <row r="49" spans="1:30" x14ac:dyDescent="0.2">
      <c r="A49" s="7"/>
      <c r="B49" s="7"/>
      <c r="C49" s="7"/>
      <c r="D49" s="10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AD49" s="7"/>
    </row>
    <row r="50" spans="1:30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AD50" s="7"/>
    </row>
    <row r="51" spans="1:30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AD51" s="7"/>
    </row>
    <row r="52" spans="1:30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AD52" s="7"/>
    </row>
    <row r="53" spans="1:30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AD53" s="7"/>
    </row>
    <row r="54" spans="1:30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AD54" s="7"/>
    </row>
    <row r="55" spans="1:30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AD55" s="7"/>
    </row>
    <row r="56" spans="1:30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AD56" s="7"/>
    </row>
    <row r="57" spans="1:30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AD57" s="7"/>
    </row>
    <row r="58" spans="1:30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AD58" s="7"/>
    </row>
    <row r="59" spans="1:30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AD59" s="7"/>
    </row>
    <row r="60" spans="1:30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AD60" s="7"/>
    </row>
    <row r="61" spans="1:30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AD61" s="7"/>
    </row>
    <row r="62" spans="1:30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AD62" s="7"/>
    </row>
    <row r="63" spans="1:30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AD63" s="7"/>
    </row>
    <row r="64" spans="1:30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AD64" s="7"/>
    </row>
    <row r="65" spans="1:3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AD65" s="7"/>
    </row>
    <row r="66" spans="1:3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AD66" s="7"/>
    </row>
    <row r="67" spans="1:3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AD67" s="7"/>
    </row>
    <row r="68" spans="1:30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AD68" s="7"/>
    </row>
    <row r="69" spans="1:30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AD69" s="7"/>
    </row>
    <row r="70" spans="1:30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AD70" s="7"/>
    </row>
    <row r="71" spans="1:30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AD71" s="7"/>
    </row>
    <row r="72" spans="1:30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AD72" s="7"/>
    </row>
    <row r="73" spans="1:30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AD73" s="7"/>
    </row>
    <row r="74" spans="1:30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AD74" s="7"/>
    </row>
    <row r="75" spans="1:30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AD75" s="7"/>
    </row>
    <row r="76" spans="1:30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AD76" s="7"/>
    </row>
    <row r="77" spans="1:30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AD77" s="7"/>
    </row>
    <row r="78" spans="1:30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AD78" s="7"/>
    </row>
    <row r="79" spans="1:30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AD79" s="7"/>
    </row>
    <row r="80" spans="1:30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AD80" s="7"/>
    </row>
    <row r="81" spans="1:30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AD81" s="7"/>
    </row>
    <row r="82" spans="1:30" x14ac:dyDescent="0.2"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AD82" s="7"/>
    </row>
    <row r="83" spans="1:30" x14ac:dyDescent="0.2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AD83" s="7"/>
    </row>
    <row r="84" spans="1:30" x14ac:dyDescent="0.2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AD84" s="7"/>
    </row>
    <row r="85" spans="1:30" x14ac:dyDescent="0.2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AD85" s="7"/>
    </row>
    <row r="86" spans="1:30" x14ac:dyDescent="0.2"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AD86" s="7"/>
    </row>
    <row r="87" spans="1:30" x14ac:dyDescent="0.2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AD87" s="7"/>
    </row>
    <row r="88" spans="1:30" x14ac:dyDescent="0.2"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AD88" s="7"/>
    </row>
    <row r="89" spans="1:30" x14ac:dyDescent="0.2"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AD89" s="7"/>
    </row>
    <row r="90" spans="1:30" x14ac:dyDescent="0.2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AD90" s="7"/>
    </row>
    <row r="91" spans="1:30" x14ac:dyDescent="0.2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AD91" s="7"/>
    </row>
    <row r="92" spans="1:30" x14ac:dyDescent="0.2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AD92" s="7"/>
    </row>
    <row r="93" spans="1:30" x14ac:dyDescent="0.2"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AD93" s="7"/>
    </row>
    <row r="94" spans="1:30" x14ac:dyDescent="0.2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AD94" s="7"/>
    </row>
    <row r="95" spans="1:30" x14ac:dyDescent="0.2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AD95" s="7"/>
    </row>
    <row r="96" spans="1:30" x14ac:dyDescent="0.2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AD96" s="7"/>
    </row>
    <row r="97" spans="6:30" x14ac:dyDescent="0.2"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AD97" s="7"/>
    </row>
    <row r="98" spans="6:30" x14ac:dyDescent="0.2"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AD98" s="7"/>
    </row>
    <row r="99" spans="6:30" x14ac:dyDescent="0.2"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AD99" s="7"/>
    </row>
    <row r="100" spans="6:30" x14ac:dyDescent="0.2"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AD100" s="7"/>
    </row>
    <row r="101" spans="6:30" x14ac:dyDescent="0.2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AD101" s="7"/>
    </row>
    <row r="102" spans="6:30" x14ac:dyDescent="0.2"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AD102" s="7"/>
    </row>
    <row r="103" spans="6:30" x14ac:dyDescent="0.2"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AD103" s="7"/>
    </row>
    <row r="104" spans="6:30" x14ac:dyDescent="0.2"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AD104" s="7"/>
    </row>
    <row r="105" spans="6:30" x14ac:dyDescent="0.2"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AD105" s="7"/>
    </row>
    <row r="106" spans="6:30" x14ac:dyDescent="0.2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AD106" s="7"/>
    </row>
    <row r="107" spans="6:30" x14ac:dyDescent="0.2"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AD107" s="7"/>
    </row>
    <row r="108" spans="6:30" x14ac:dyDescent="0.2"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AD108" s="7"/>
    </row>
    <row r="109" spans="6:30" x14ac:dyDescent="0.2"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AD109" s="7"/>
    </row>
    <row r="110" spans="6:30" x14ac:dyDescent="0.2"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AD110" s="7"/>
    </row>
    <row r="111" spans="6:30" x14ac:dyDescent="0.2"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AD111" s="7"/>
    </row>
    <row r="112" spans="6:30" x14ac:dyDescent="0.2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AD112" s="7"/>
    </row>
    <row r="113" spans="6:30" x14ac:dyDescent="0.2"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AD113" s="7"/>
    </row>
    <row r="114" spans="6:30" x14ac:dyDescent="0.2"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AD114" s="7"/>
    </row>
    <row r="115" spans="6:30" x14ac:dyDescent="0.2"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AD115" s="7"/>
    </row>
    <row r="116" spans="6:30" x14ac:dyDescent="0.2"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AD116" s="7"/>
    </row>
    <row r="117" spans="6:30" x14ac:dyDescent="0.2"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AD117" s="7"/>
    </row>
    <row r="118" spans="6:30" x14ac:dyDescent="0.2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AD118" s="7"/>
    </row>
    <row r="119" spans="6:30" x14ac:dyDescent="0.2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AD119" s="7"/>
    </row>
    <row r="120" spans="6:30" x14ac:dyDescent="0.2"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AD120" s="7"/>
    </row>
    <row r="121" spans="6:30" x14ac:dyDescent="0.2"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AD121" s="7"/>
    </row>
    <row r="122" spans="6:30" x14ac:dyDescent="0.2"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6:30" x14ac:dyDescent="0.2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6:30" x14ac:dyDescent="0.2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6:30" x14ac:dyDescent="0.2"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6:30" x14ac:dyDescent="0.2"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6:30" x14ac:dyDescent="0.2"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6:30" x14ac:dyDescent="0.2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6:17" x14ac:dyDescent="0.2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6:17" x14ac:dyDescent="0.2"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6:17" x14ac:dyDescent="0.2"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6:17" x14ac:dyDescent="0.2"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6:17" x14ac:dyDescent="0.2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6:17" x14ac:dyDescent="0.2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6:17" x14ac:dyDescent="0.2"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6:17" x14ac:dyDescent="0.2"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6:17" x14ac:dyDescent="0.2"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6:17" x14ac:dyDescent="0.2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6:17" x14ac:dyDescent="0.2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6:17" x14ac:dyDescent="0.2"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6:17" x14ac:dyDescent="0.2"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6:17" x14ac:dyDescent="0.2"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6:17" x14ac:dyDescent="0.2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6:17" x14ac:dyDescent="0.2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6:17" x14ac:dyDescent="0.2"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6:17" x14ac:dyDescent="0.2"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6:17" x14ac:dyDescent="0.2"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6:17" x14ac:dyDescent="0.2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6:17" x14ac:dyDescent="0.2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6:17" x14ac:dyDescent="0.2"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6:17" x14ac:dyDescent="0.2"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6:17" x14ac:dyDescent="0.2"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6:17" x14ac:dyDescent="0.2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6:17" x14ac:dyDescent="0.2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6:17" x14ac:dyDescent="0.2"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6:17" x14ac:dyDescent="0.2"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6:17" x14ac:dyDescent="0.2"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6:17" x14ac:dyDescent="0.2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6:17" x14ac:dyDescent="0.2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6:17" x14ac:dyDescent="0.2"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6:17" x14ac:dyDescent="0.2"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6:17" x14ac:dyDescent="0.2"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6:17" x14ac:dyDescent="0.2"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6:17" x14ac:dyDescent="0.2"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6:17" x14ac:dyDescent="0.2"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6:17" x14ac:dyDescent="0.2"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6:17" x14ac:dyDescent="0.2"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6:17" x14ac:dyDescent="0.2"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6:17" x14ac:dyDescent="0.2"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6:17" x14ac:dyDescent="0.2"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</sheetData>
  <sheetProtection algorithmName="SHA-512" hashValue="IYs26C2LW9tbHKLheJIFyDS/K1xY/hMdd7U5xoDeYmtFs3RebQMRjXEzIcMWzzaPDxKgV/OtzCAc8n2W9Lfk+Q==" saltValue="UqYefl5CYbXBhHp3khZupg==" spinCount="100000" sheet="1" objects="1" scenarios="1" selectLockedCells="1"/>
  <mergeCells count="24">
    <mergeCell ref="A21:B21"/>
    <mergeCell ref="A1:E1"/>
    <mergeCell ref="A2:E2"/>
    <mergeCell ref="R2:S2"/>
    <mergeCell ref="A4:C4"/>
    <mergeCell ref="A5:B5"/>
    <mergeCell ref="A6:B6"/>
    <mergeCell ref="A7:B7"/>
    <mergeCell ref="S7:Z7"/>
    <mergeCell ref="A8:B8"/>
    <mergeCell ref="W8:Z8"/>
    <mergeCell ref="A12:C12"/>
    <mergeCell ref="B47:C47"/>
    <mergeCell ref="W22:X22"/>
    <mergeCell ref="A30:B30"/>
    <mergeCell ref="A32:C32"/>
    <mergeCell ref="A39:E39"/>
    <mergeCell ref="B40:C40"/>
    <mergeCell ref="B41:C41"/>
    <mergeCell ref="B42:C42"/>
    <mergeCell ref="B43:C43"/>
    <mergeCell ref="B44:C44"/>
    <mergeCell ref="B45:C45"/>
    <mergeCell ref="B46:C46"/>
  </mergeCells>
  <dataValidations count="2">
    <dataValidation type="list" allowBlank="1" showInputMessage="1" showErrorMessage="1" sqref="A23:A26" xr:uid="{6053C73B-75DC-4801-92C5-A82585883B34}">
      <formula1>$T$1:$T$5</formula1>
    </dataValidation>
    <dataValidation type="list" allowBlank="1" showInputMessage="1" showErrorMessage="1" sqref="A27" xr:uid="{E4A39C0A-5FF2-4EEA-BB04-4851AD747B04}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Line="0" autoPict="0" macro="[1]!Listadesplegable2_AlCambiar">
                <anchor moveWithCells="1">
                  <from>
                    <xdr:col>2</xdr:col>
                    <xdr:colOff>0</xdr:colOff>
                    <xdr:row>19</xdr:row>
                    <xdr:rowOff>47625</xdr:rowOff>
                  </from>
                  <to>
                    <xdr:col>2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2BB9-7328-4994-AC01-4D9FA018D4D6}">
  <dimension ref="A1:AD170"/>
  <sheetViews>
    <sheetView topLeftCell="D1" zoomScale="90" zoomScaleNormal="90" workbookViewId="0">
      <selection activeCell="C6" sqref="C6"/>
    </sheetView>
  </sheetViews>
  <sheetFormatPr baseColWidth="10" defaultRowHeight="14.25" x14ac:dyDescent="0.2"/>
  <cols>
    <col min="1" max="1" width="51.28515625" style="8" customWidth="1"/>
    <col min="2" max="3" width="21.85546875" style="8" customWidth="1"/>
    <col min="4" max="4" width="29" style="8" customWidth="1"/>
    <col min="5" max="5" width="30.7109375" style="8" bestFit="1" customWidth="1"/>
    <col min="6" max="18" width="11.42578125" style="8"/>
    <col min="19" max="19" width="15.28515625" style="8" bestFit="1" customWidth="1"/>
    <col min="20" max="20" width="16.85546875" style="8" customWidth="1"/>
    <col min="21" max="21" width="14.85546875" style="8" bestFit="1" customWidth="1"/>
    <col min="22" max="22" width="11.5703125" style="8" bestFit="1" customWidth="1"/>
    <col min="23" max="23" width="14" style="8" customWidth="1"/>
    <col min="24" max="24" width="18.85546875" style="8" customWidth="1"/>
    <col min="25" max="26" width="14.7109375" style="8" customWidth="1"/>
    <col min="27" max="27" width="11.5703125" style="8" bestFit="1" customWidth="1"/>
    <col min="28" max="28" width="11.42578125" style="8"/>
    <col min="29" max="29" width="11.85546875" style="8" bestFit="1" customWidth="1"/>
    <col min="30" max="16384" width="11.42578125" style="8"/>
  </cols>
  <sheetData>
    <row r="1" spans="1:30" ht="27" customHeight="1" thickBot="1" x14ac:dyDescent="0.4">
      <c r="A1" s="135" t="s">
        <v>74</v>
      </c>
      <c r="B1" s="136"/>
      <c r="C1" s="136"/>
      <c r="D1" s="136"/>
      <c r="E1" s="13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T1" s="8" t="s">
        <v>0</v>
      </c>
      <c r="U1" s="8">
        <v>14200</v>
      </c>
      <c r="V1" s="70" t="s">
        <v>1</v>
      </c>
      <c r="W1" s="70" t="s">
        <v>2</v>
      </c>
      <c r="X1" s="70" t="s">
        <v>3</v>
      </c>
      <c r="Y1" s="71" t="s">
        <v>4</v>
      </c>
      <c r="Z1" s="70" t="s">
        <v>43</v>
      </c>
      <c r="AB1" s="70" t="s">
        <v>44</v>
      </c>
      <c r="AD1" s="7"/>
    </row>
    <row r="2" spans="1:30" x14ac:dyDescent="0.2">
      <c r="A2" s="138" t="s">
        <v>45</v>
      </c>
      <c r="B2" s="138"/>
      <c r="C2" s="138"/>
      <c r="D2" s="138"/>
      <c r="E2" s="1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39" t="s">
        <v>5</v>
      </c>
      <c r="S2" s="139"/>
      <c r="T2" s="8" t="s">
        <v>6</v>
      </c>
      <c r="U2" s="8">
        <v>12900</v>
      </c>
      <c r="V2" s="72">
        <v>7.0000000000000007E-2</v>
      </c>
      <c r="W2" s="70" t="s">
        <v>7</v>
      </c>
      <c r="X2" s="73">
        <v>152000</v>
      </c>
      <c r="Y2" s="71" t="s">
        <v>8</v>
      </c>
      <c r="Z2" s="70" t="s">
        <v>9</v>
      </c>
      <c r="AB2" s="73" t="s">
        <v>10</v>
      </c>
      <c r="AD2" s="7"/>
    </row>
    <row r="3" spans="1:30" ht="1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4" t="s">
        <v>11</v>
      </c>
      <c r="S3" s="75">
        <v>45323</v>
      </c>
      <c r="T3" s="8" t="s">
        <v>12</v>
      </c>
      <c r="U3" s="8">
        <v>19900</v>
      </c>
      <c r="V3" s="76">
        <v>78400</v>
      </c>
      <c r="W3" s="107">
        <v>39606.36</v>
      </c>
      <c r="X3" s="73">
        <v>152000</v>
      </c>
      <c r="Y3" s="77">
        <f>+C8*0.1</f>
        <v>80000</v>
      </c>
      <c r="Z3" s="78">
        <f>+C8*0.15</f>
        <v>120000</v>
      </c>
      <c r="AB3" s="73">
        <f>750000*7.9</f>
        <v>5925000</v>
      </c>
      <c r="AD3" s="7"/>
    </row>
    <row r="4" spans="1:30" ht="24" customHeight="1" x14ac:dyDescent="0.2">
      <c r="A4" s="140" t="s">
        <v>46</v>
      </c>
      <c r="B4" s="141"/>
      <c r="C4" s="14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4" t="s">
        <v>13</v>
      </c>
      <c r="S4" s="75">
        <f ca="1">+TODAY()</f>
        <v>45845</v>
      </c>
      <c r="T4" s="79" t="s">
        <v>14</v>
      </c>
      <c r="U4" s="79">
        <v>17100</v>
      </c>
      <c r="V4" s="80"/>
      <c r="W4" s="81"/>
      <c r="X4" s="82"/>
      <c r="Y4" s="83">
        <f>5*W3</f>
        <v>198031.8</v>
      </c>
      <c r="Z4" s="83">
        <f>5*W3</f>
        <v>198031.8</v>
      </c>
      <c r="AA4" s="79"/>
      <c r="AD4" s="7"/>
    </row>
    <row r="5" spans="1:30" ht="24" customHeight="1" x14ac:dyDescent="0.2">
      <c r="A5" s="143" t="s">
        <v>17</v>
      </c>
      <c r="B5" s="144"/>
      <c r="C5" s="5" t="s">
        <v>18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4" t="s">
        <v>15</v>
      </c>
      <c r="S5" s="84">
        <f ca="1">+IF(S4&lt;S3,1,0)</f>
        <v>0</v>
      </c>
      <c r="T5" s="8" t="s">
        <v>16</v>
      </c>
      <c r="U5" s="8">
        <v>24500</v>
      </c>
      <c r="AD5" s="7"/>
    </row>
    <row r="6" spans="1:30" ht="24" customHeight="1" thickBot="1" x14ac:dyDescent="0.3">
      <c r="A6" s="145" t="s">
        <v>35</v>
      </c>
      <c r="B6" s="146"/>
      <c r="C6" s="1">
        <v>800000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105" t="s">
        <v>75</v>
      </c>
      <c r="W6" s="105"/>
      <c r="AD6" s="7"/>
    </row>
    <row r="7" spans="1:30" ht="26.25" customHeight="1" thickBot="1" x14ac:dyDescent="0.25">
      <c r="A7" s="125" t="s">
        <v>36</v>
      </c>
      <c r="B7" s="126"/>
      <c r="C7" s="1"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115" t="s">
        <v>69</v>
      </c>
      <c r="T7" s="127"/>
      <c r="U7" s="127"/>
      <c r="V7" s="127"/>
      <c r="W7" s="127"/>
      <c r="X7" s="127"/>
      <c r="Y7" s="127"/>
      <c r="Z7" s="116"/>
      <c r="AD7" s="7"/>
    </row>
    <row r="8" spans="1:30" ht="27" customHeight="1" thickBot="1" x14ac:dyDescent="0.3">
      <c r="A8" s="128" t="s">
        <v>19</v>
      </c>
      <c r="B8" s="129"/>
      <c r="C8" s="6">
        <f>+C6+C7</f>
        <v>800000</v>
      </c>
      <c r="D8" s="65">
        <f>+C8/$C$8</f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S8" s="88" t="s">
        <v>53</v>
      </c>
      <c r="T8" s="89" t="s">
        <v>54</v>
      </c>
      <c r="U8" s="89" t="s">
        <v>55</v>
      </c>
      <c r="V8" s="90" t="s">
        <v>67</v>
      </c>
      <c r="W8" s="115" t="s">
        <v>68</v>
      </c>
      <c r="X8" s="127"/>
      <c r="Y8" s="127"/>
      <c r="Z8" s="116"/>
      <c r="AD8" s="7"/>
    </row>
    <row r="9" spans="1:30" ht="15" customHeight="1" thickBot="1" x14ac:dyDescent="0.25">
      <c r="A9" s="9" t="s">
        <v>34</v>
      </c>
      <c r="B9" s="7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1"/>
      <c r="S9" s="92">
        <v>0.01</v>
      </c>
      <c r="T9" s="93">
        <v>8952.49</v>
      </c>
      <c r="U9" s="93">
        <v>0</v>
      </c>
      <c r="V9" s="94">
        <v>1.92</v>
      </c>
      <c r="W9" s="85" t="s">
        <v>68</v>
      </c>
      <c r="X9" s="87"/>
      <c r="Y9" s="95" t="s">
        <v>72</v>
      </c>
      <c r="Z9" s="95" t="s">
        <v>73</v>
      </c>
      <c r="AD9" s="7"/>
    </row>
    <row r="10" spans="1:30" ht="15" customHeight="1" thickBot="1" x14ac:dyDescent="0.25">
      <c r="A10" s="11" t="s">
        <v>37</v>
      </c>
      <c r="B10" s="12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1"/>
      <c r="S10" s="92">
        <v>8952.5</v>
      </c>
      <c r="T10" s="93">
        <v>75984.55</v>
      </c>
      <c r="U10" s="93">
        <v>171.88</v>
      </c>
      <c r="V10" s="94">
        <v>6.4</v>
      </c>
      <c r="W10" s="96" t="s">
        <v>57</v>
      </c>
      <c r="X10" s="97">
        <f>+C8</f>
        <v>800000</v>
      </c>
      <c r="Y10" s="98">
        <f>+X10-D44</f>
        <v>680000</v>
      </c>
      <c r="Z10" s="98">
        <f>+X10-E44</f>
        <v>600000</v>
      </c>
      <c r="AD10" s="7"/>
    </row>
    <row r="11" spans="1:30" ht="27" customHeight="1" thickBo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1"/>
      <c r="S11" s="92">
        <v>75984.56</v>
      </c>
      <c r="T11" s="93">
        <v>133536.07</v>
      </c>
      <c r="U11" s="93">
        <v>4461.9399999999996</v>
      </c>
      <c r="V11" s="94">
        <v>10.88</v>
      </c>
      <c r="W11" s="99" t="s">
        <v>58</v>
      </c>
      <c r="X11" s="98">
        <f>VLOOKUP($X$10,$S$9:$V$19,1)</f>
        <v>590796</v>
      </c>
      <c r="Y11" s="98">
        <f>VLOOKUP($Y$10,$S$9:$V$19,1)</f>
        <v>590796</v>
      </c>
      <c r="Z11" s="98">
        <f>VLOOKUP($Z$10,$S$9:$V$19,1)</f>
        <v>590796</v>
      </c>
      <c r="AD11" s="7"/>
    </row>
    <row r="12" spans="1:30" ht="24" customHeight="1" x14ac:dyDescent="0.2">
      <c r="A12" s="130" t="s">
        <v>47</v>
      </c>
      <c r="B12" s="131"/>
      <c r="C12" s="13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1"/>
      <c r="S12" s="92">
        <v>133536.07999999999</v>
      </c>
      <c r="T12" s="93">
        <v>155229.79999999999</v>
      </c>
      <c r="U12" s="93">
        <v>10723.55</v>
      </c>
      <c r="V12" s="94">
        <v>16</v>
      </c>
      <c r="W12" s="99" t="s">
        <v>59</v>
      </c>
      <c r="X12" s="98">
        <f>+X10-X11</f>
        <v>209204</v>
      </c>
      <c r="Y12" s="98">
        <f>+Y10-Y11</f>
        <v>89204</v>
      </c>
      <c r="Z12" s="98">
        <f>+Z10-Z11</f>
        <v>9204</v>
      </c>
      <c r="AD12" s="7"/>
    </row>
    <row r="13" spans="1:30" ht="24" customHeight="1" x14ac:dyDescent="0.2">
      <c r="A13" s="14" t="s">
        <v>17</v>
      </c>
      <c r="B13" s="15" t="s">
        <v>18</v>
      </c>
      <c r="C13" s="16" t="s">
        <v>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1"/>
      <c r="S13" s="92">
        <v>155229.81</v>
      </c>
      <c r="T13" s="93">
        <v>185852.57</v>
      </c>
      <c r="U13" s="93">
        <v>14194.54</v>
      </c>
      <c r="V13" s="94">
        <v>17.920000000000002</v>
      </c>
      <c r="W13" s="99" t="s">
        <v>60</v>
      </c>
      <c r="X13" s="98">
        <f>VLOOKUP($X$11,$S$9:$V$19,4)</f>
        <v>30</v>
      </c>
      <c r="Y13" s="98">
        <f>VLOOKUP($Y$11,$S$9:$V$19,4)</f>
        <v>30</v>
      </c>
      <c r="Z13" s="98">
        <f>VLOOKUP($Z$11,$S$9:$V$19,4)</f>
        <v>30</v>
      </c>
      <c r="AD13" s="7"/>
    </row>
    <row r="14" spans="1:30" ht="24" customHeight="1" x14ac:dyDescent="0.2">
      <c r="A14" s="17" t="s">
        <v>39</v>
      </c>
      <c r="B14" s="2"/>
      <c r="C14" s="18">
        <f>+B14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1"/>
      <c r="S14" s="92">
        <v>185852.58</v>
      </c>
      <c r="T14" s="93">
        <v>374837.88</v>
      </c>
      <c r="U14" s="93">
        <v>19682.13</v>
      </c>
      <c r="V14" s="94">
        <v>21.36</v>
      </c>
      <c r="W14" s="99" t="s">
        <v>61</v>
      </c>
      <c r="X14" s="98">
        <f>X12*(X13/100)</f>
        <v>62761.2</v>
      </c>
      <c r="Y14" s="98">
        <f>Y12*(Y13/100)</f>
        <v>26761.200000000001</v>
      </c>
      <c r="Z14" s="98">
        <f>Z12*(Z13/100)</f>
        <v>2761.2</v>
      </c>
      <c r="AD14" s="7"/>
    </row>
    <row r="15" spans="1:30" ht="24" customHeight="1" x14ac:dyDescent="0.2">
      <c r="A15" s="19" t="s">
        <v>1</v>
      </c>
      <c r="B15" s="2">
        <v>25000</v>
      </c>
      <c r="C15" s="20">
        <f>+IF($B$15="",0,IF($B$15&gt;$U$3,$U$3,$B$15))</f>
        <v>19900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1"/>
      <c r="S15" s="92">
        <v>374837.89</v>
      </c>
      <c r="T15" s="93">
        <v>590795.99</v>
      </c>
      <c r="U15" s="93">
        <v>60049.4</v>
      </c>
      <c r="V15" s="94">
        <v>23.52</v>
      </c>
      <c r="W15" s="99" t="s">
        <v>62</v>
      </c>
      <c r="X15" s="98">
        <f>VLOOKUP($X$11,$S$9:$V$19,3)</f>
        <v>110842.74</v>
      </c>
      <c r="Y15" s="98">
        <f>VLOOKUP($Y$11,$S$9:$V$19,3)</f>
        <v>110842.74</v>
      </c>
      <c r="Z15" s="98">
        <f>VLOOKUP($Z$11,$S$9:$V$19,3)</f>
        <v>110842.74</v>
      </c>
      <c r="AD15" s="7"/>
    </row>
    <row r="16" spans="1:30" ht="24" customHeight="1" x14ac:dyDescent="0.2">
      <c r="A16" s="19" t="s">
        <v>40</v>
      </c>
      <c r="B16" s="2">
        <v>48000</v>
      </c>
      <c r="C16" s="20">
        <f>+IF($B$16="",0,IF($B$16&gt;$T$3,$T$3,$B$16))</f>
        <v>48000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1"/>
      <c r="S16" s="92">
        <v>590796</v>
      </c>
      <c r="T16" s="93">
        <v>1127926.8400000001</v>
      </c>
      <c r="U16" s="93">
        <v>110842.74</v>
      </c>
      <c r="V16" s="94">
        <v>30</v>
      </c>
      <c r="W16" s="99" t="s">
        <v>63</v>
      </c>
      <c r="X16" s="98">
        <f>+X15+X14</f>
        <v>173603.94</v>
      </c>
      <c r="Y16" s="98">
        <f>+Y15+Y14</f>
        <v>137603.94</v>
      </c>
      <c r="Z16" s="98">
        <f>+Z15+Z14</f>
        <v>113603.94</v>
      </c>
      <c r="AD16" s="7"/>
    </row>
    <row r="17" spans="1:30" ht="24" customHeight="1" x14ac:dyDescent="0.2">
      <c r="A17" s="17" t="s">
        <v>41</v>
      </c>
      <c r="B17" s="2"/>
      <c r="C17" s="21">
        <f>+IF($B$17="",0,IF($B$17&gt;$AA$3,$AA$3,$B$17))</f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1"/>
      <c r="S17" s="92">
        <v>1127926.8500000001</v>
      </c>
      <c r="T17" s="93">
        <v>1503902.46</v>
      </c>
      <c r="U17" s="93">
        <v>271981.99</v>
      </c>
      <c r="V17" s="94">
        <v>32</v>
      </c>
      <c r="W17" s="99" t="s">
        <v>64</v>
      </c>
      <c r="X17" s="98">
        <v>0</v>
      </c>
      <c r="Y17" s="98">
        <v>0</v>
      </c>
      <c r="Z17" s="98">
        <v>0</v>
      </c>
      <c r="AD17" s="7"/>
    </row>
    <row r="18" spans="1:30" ht="24" customHeight="1" x14ac:dyDescent="0.2">
      <c r="A18" s="19" t="s">
        <v>42</v>
      </c>
      <c r="B18" s="2">
        <v>60000</v>
      </c>
      <c r="C18" s="22">
        <f>+B18</f>
        <v>60000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1"/>
      <c r="S18" s="92">
        <v>1503902.47</v>
      </c>
      <c r="T18" s="93">
        <v>4511707.37</v>
      </c>
      <c r="U18" s="93">
        <v>392294.17</v>
      </c>
      <c r="V18" s="94">
        <v>34</v>
      </c>
      <c r="W18" s="99" t="s">
        <v>65</v>
      </c>
      <c r="X18" s="98">
        <f>+X16-X17</f>
        <v>173603.94</v>
      </c>
      <c r="Y18" s="98">
        <f>+Y16-Y17</f>
        <v>137603.94</v>
      </c>
      <c r="Z18" s="98">
        <f>+Z16-Z17</f>
        <v>113603.94</v>
      </c>
      <c r="AD18" s="7"/>
    </row>
    <row r="19" spans="1:30" ht="24" customHeight="1" thickBot="1" x14ac:dyDescent="0.25">
      <c r="A19" s="19" t="s">
        <v>48</v>
      </c>
      <c r="B19" s="2"/>
      <c r="C19" s="22">
        <f>+B19</f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100">
        <v>4511707.38</v>
      </c>
      <c r="T19" s="101" t="s">
        <v>56</v>
      </c>
      <c r="U19" s="101">
        <v>1414947.85</v>
      </c>
      <c r="V19" s="102">
        <v>35</v>
      </c>
      <c r="W19" s="103" t="s">
        <v>66</v>
      </c>
      <c r="X19" s="104">
        <f>+X10-X18</f>
        <v>626396.06000000006</v>
      </c>
      <c r="Y19" s="104">
        <f>+X10-Y18</f>
        <v>662396.06000000006</v>
      </c>
      <c r="Z19" s="104">
        <f>+X10-Z18</f>
        <v>686396.06</v>
      </c>
      <c r="AD19" s="7"/>
    </row>
    <row r="20" spans="1:30" ht="15.75" customHeight="1" thickBot="1" x14ac:dyDescent="0.25">
      <c r="A20" s="23"/>
      <c r="B20" s="7"/>
      <c r="C20" s="1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D20" s="7"/>
    </row>
    <row r="21" spans="1:30" ht="30.75" customHeight="1" thickBot="1" x14ac:dyDescent="0.25">
      <c r="A21" s="133" t="s">
        <v>21</v>
      </c>
      <c r="B21" s="134">
        <v>6</v>
      </c>
      <c r="C21" s="2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S21" s="85" t="s">
        <v>70</v>
      </c>
      <c r="T21" s="86"/>
      <c r="U21" s="86"/>
      <c r="V21" s="86"/>
      <c r="W21" s="86"/>
      <c r="X21" s="87"/>
      <c r="AD21" s="7"/>
    </row>
    <row r="22" spans="1:30" ht="24" customHeight="1" thickBot="1" x14ac:dyDescent="0.25">
      <c r="A22" s="25" t="s">
        <v>22</v>
      </c>
      <c r="B22" s="26" t="s">
        <v>18</v>
      </c>
      <c r="C22" s="27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S22" s="88" t="s">
        <v>53</v>
      </c>
      <c r="T22" s="89" t="s">
        <v>54</v>
      </c>
      <c r="U22" s="89" t="s">
        <v>55</v>
      </c>
      <c r="V22" s="90" t="s">
        <v>67</v>
      </c>
      <c r="W22" s="115" t="s">
        <v>68</v>
      </c>
      <c r="X22" s="116"/>
      <c r="AD22" s="7"/>
    </row>
    <row r="23" spans="1:30" ht="24" customHeight="1" x14ac:dyDescent="0.2">
      <c r="A23" s="3" t="s">
        <v>6</v>
      </c>
      <c r="B23" s="4">
        <v>18000</v>
      </c>
      <c r="C23" s="28">
        <f>+IF(B23="","",IF(AND(A23="Preescolar",B23&gt;$U$1),$U$1,IF(AND(A23="Primaria",B23&gt;$U$2),$U$2,IF(AND(A23="Secundaria",B23&gt;$U$3),$U$3,IF(AND(A23="Profesional técnico",B23&gt;$U$4),$U$4,IF(AND(A23="Bachillerato",B23&gt;$U$5),$U$5,B23))))))</f>
        <v>12900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S23" s="92">
        <v>0.01</v>
      </c>
      <c r="T23" s="93">
        <v>746.04</v>
      </c>
      <c r="U23" s="93">
        <v>0</v>
      </c>
      <c r="V23" s="94">
        <v>1.92</v>
      </c>
      <c r="W23" s="96" t="s">
        <v>57</v>
      </c>
      <c r="X23" s="97">
        <f>+C8/12</f>
        <v>66666.666666666672</v>
      </c>
      <c r="AD23" s="7"/>
    </row>
    <row r="24" spans="1:30" ht="24" customHeight="1" x14ac:dyDescent="0.2">
      <c r="A24" s="3" t="s">
        <v>12</v>
      </c>
      <c r="B24" s="4">
        <v>24000</v>
      </c>
      <c r="C24" s="28">
        <f>+IF(B24="","",IF(AND(A24="Preescolar",B24&gt;$U$1),$U$1,IF(AND(A24="Primaria",B24&gt;$U$2),$U$2,IF(AND(A24="Secundaria",B24&gt;$U$3),$U$3,IF(AND(A24="Profesional técnico",B24&gt;$U$4),$U$4,IF(AND(A24="Bachillerato",B24&gt;$U$5),$U$5,B24))))))</f>
        <v>19900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S24" s="92">
        <v>746.05</v>
      </c>
      <c r="T24" s="93">
        <v>6332.05</v>
      </c>
      <c r="U24" s="93">
        <v>14.32</v>
      </c>
      <c r="V24" s="94">
        <v>6.4</v>
      </c>
      <c r="W24" s="99" t="s">
        <v>58</v>
      </c>
      <c r="X24" s="98">
        <f>VLOOKUP($X$23,$S$23:$V$33,1)</f>
        <v>49233.01</v>
      </c>
      <c r="AD24" s="7"/>
    </row>
    <row r="25" spans="1:30" ht="24" customHeight="1" x14ac:dyDescent="0.2">
      <c r="A25" s="3"/>
      <c r="B25" s="4"/>
      <c r="C25" s="28" t="str">
        <f>+IF(B25="","",IF(AND(A25="Preescolar",B25&gt;$U$1),$U$1,IF(AND(A25="Primaria",B25&gt;$U$2),$U$2,IF(AND(A25="Secundaria",B25&gt;$U$3),$U$3,IF(AND(A25="Profesional técnico",B25&gt;$U$4),$U$4,IF(AND(A25="Bachillerato",B25&gt;$U$5),$U$5,B25))))))</f>
        <v/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S25" s="92">
        <v>6332.06</v>
      </c>
      <c r="T25" s="93">
        <v>11128.01</v>
      </c>
      <c r="U25" s="93">
        <v>371.83</v>
      </c>
      <c r="V25" s="94">
        <v>10.88</v>
      </c>
      <c r="W25" s="99" t="s">
        <v>59</v>
      </c>
      <c r="X25" s="98">
        <f>+X23-X24</f>
        <v>17433.656666666669</v>
      </c>
      <c r="AD25" s="7"/>
    </row>
    <row r="26" spans="1:30" ht="24" customHeight="1" x14ac:dyDescent="0.2">
      <c r="A26" s="3"/>
      <c r="B26" s="4"/>
      <c r="C26" s="28" t="str">
        <f>+IF(B26="","",IF(AND(A26="Preescolar",B26&gt;$U$1),$U$1,IF(AND(A26="Primaria",B26&gt;$U$2),$U$2,IF(AND(A26="Secundaria",B26&gt;$U$3),$U$3,IF(AND(A26="Profesional técnico",B26&gt;$U$4),$U$4,IF(AND(A26="Bachillerato",B26&gt;$U$5),$U$5,B26))))))</f>
        <v/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S26" s="92">
        <v>11128.02</v>
      </c>
      <c r="T26" s="93">
        <v>12935.82</v>
      </c>
      <c r="U26" s="93">
        <v>893.63</v>
      </c>
      <c r="V26" s="94">
        <v>16</v>
      </c>
      <c r="W26" s="99" t="s">
        <v>60</v>
      </c>
      <c r="X26" s="98">
        <f>VLOOKUP($X$24,$S$23:$V$33,4)</f>
        <v>30</v>
      </c>
      <c r="AD26" s="7"/>
    </row>
    <row r="27" spans="1:30" ht="24" customHeight="1" x14ac:dyDescent="0.2">
      <c r="A27" s="3"/>
      <c r="B27" s="4"/>
      <c r="C27" s="28" t="str">
        <f>+IF(B27="","",IF(AND(A27="Preescolar",B27&gt;$U$1),$U$1,IF(AND(A27="Primaria",B27&gt;$U$2),$U$2,IF(AND(A27="Secundaria",B27&gt;$U$3),$U$3,IF(AND(A27="Profesional técnico",B27&gt;$U$4),$U$4,IF(AND(A27="Bachillerato",B27&gt;$U$5),$U$5,B27))))))</f>
        <v/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S27" s="92">
        <v>12935.83</v>
      </c>
      <c r="T27" s="93">
        <v>15487.71</v>
      </c>
      <c r="U27" s="93">
        <v>1182.8800000000001</v>
      </c>
      <c r="V27" s="94">
        <v>17.920000000000002</v>
      </c>
      <c r="W27" s="99" t="s">
        <v>61</v>
      </c>
      <c r="X27" s="98">
        <f>X25*(X26/100)</f>
        <v>5230.0970000000007</v>
      </c>
      <c r="AD27" s="7"/>
    </row>
    <row r="28" spans="1:30" ht="24" customHeight="1" x14ac:dyDescent="0.2">
      <c r="A28" s="29" t="s">
        <v>23</v>
      </c>
      <c r="B28" s="30">
        <f>SUM(B23:B27)</f>
        <v>42000</v>
      </c>
      <c r="C28" s="31">
        <f>SUM(C23:C27)</f>
        <v>32800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S28" s="92">
        <v>15487.72</v>
      </c>
      <c r="T28" s="93">
        <v>31236.49</v>
      </c>
      <c r="U28" s="93">
        <v>1640.18</v>
      </c>
      <c r="V28" s="94">
        <v>21.36</v>
      </c>
      <c r="W28" s="99" t="s">
        <v>62</v>
      </c>
      <c r="X28" s="98">
        <f>VLOOKUP($X$24,$S$23:$V$33,3)</f>
        <v>9236.89</v>
      </c>
      <c r="AD28" s="7"/>
    </row>
    <row r="29" spans="1:30" x14ac:dyDescent="0.2">
      <c r="A29" s="23"/>
      <c r="B29" s="7"/>
      <c r="C29" s="10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S29" s="92">
        <v>31236.5</v>
      </c>
      <c r="T29" s="93">
        <v>49233</v>
      </c>
      <c r="U29" s="93">
        <v>5004.12</v>
      </c>
      <c r="V29" s="94">
        <v>23.52</v>
      </c>
      <c r="W29" s="99" t="s">
        <v>63</v>
      </c>
      <c r="X29" s="98">
        <f>+X28+X27</f>
        <v>14466.987000000001</v>
      </c>
      <c r="AD29" s="7"/>
    </row>
    <row r="30" spans="1:30" ht="24" customHeight="1" thickBot="1" x14ac:dyDescent="0.3">
      <c r="A30" s="117">
        <f>SUM(B14:B19)+B28</f>
        <v>175000</v>
      </c>
      <c r="B30" s="118"/>
      <c r="C30" s="32">
        <f>+IF((SUM($C14:$C19)+C28)&gt;$Z$3,$Z$3,(SUM($C$14:$C$19)+C28))</f>
        <v>120000</v>
      </c>
      <c r="D30" s="65">
        <f>+C30/$C$8</f>
        <v>0.15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S30" s="92">
        <v>49233.01</v>
      </c>
      <c r="T30" s="93">
        <v>93993.9</v>
      </c>
      <c r="U30" s="93">
        <v>9236.89</v>
      </c>
      <c r="V30" s="94">
        <v>30</v>
      </c>
      <c r="W30" s="99" t="s">
        <v>64</v>
      </c>
      <c r="X30" s="98">
        <v>0</v>
      </c>
      <c r="AD30" s="7"/>
    </row>
    <row r="31" spans="1:30" ht="29.25" customHeight="1" x14ac:dyDescent="0.2">
      <c r="A31" s="7"/>
      <c r="B31" s="7"/>
      <c r="C31" s="7"/>
      <c r="D31" s="6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S31" s="92">
        <v>93993.91</v>
      </c>
      <c r="T31" s="93">
        <v>125325.2</v>
      </c>
      <c r="U31" s="93">
        <v>22665.17</v>
      </c>
      <c r="V31" s="94">
        <v>32</v>
      </c>
      <c r="W31" s="99" t="s">
        <v>65</v>
      </c>
      <c r="X31" s="98">
        <f>+X29-X30</f>
        <v>14466.987000000001</v>
      </c>
      <c r="AD31" s="7"/>
    </row>
    <row r="32" spans="1:30" ht="24" customHeight="1" thickBot="1" x14ac:dyDescent="0.25">
      <c r="A32" s="119" t="s">
        <v>49</v>
      </c>
      <c r="B32" s="119"/>
      <c r="C32" s="119"/>
      <c r="D32" s="6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S32" s="92">
        <v>125325.21</v>
      </c>
      <c r="T32" s="93">
        <v>375975.61</v>
      </c>
      <c r="U32" s="93">
        <v>32691.18</v>
      </c>
      <c r="V32" s="94">
        <v>34</v>
      </c>
      <c r="W32" s="103" t="s">
        <v>66</v>
      </c>
      <c r="X32" s="104">
        <f>+X23-X31</f>
        <v>52199.679666666671</v>
      </c>
      <c r="AD32" s="7"/>
    </row>
    <row r="33" spans="1:30" ht="24" customHeight="1" thickBot="1" x14ac:dyDescent="0.25">
      <c r="A33" s="33" t="s">
        <v>17</v>
      </c>
      <c r="B33" s="33" t="s">
        <v>18</v>
      </c>
      <c r="C33" s="33" t="s">
        <v>20</v>
      </c>
      <c r="D33" s="6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S33" s="100">
        <v>375975.62</v>
      </c>
      <c r="T33" s="101" t="s">
        <v>56</v>
      </c>
      <c r="U33" s="101">
        <v>117912.32000000001</v>
      </c>
      <c r="V33" s="102">
        <v>35</v>
      </c>
      <c r="AD33" s="7"/>
    </row>
    <row r="34" spans="1:30" ht="30" x14ac:dyDescent="0.2">
      <c r="A34" s="34" t="s">
        <v>50</v>
      </c>
      <c r="B34" s="2">
        <v>0</v>
      </c>
      <c r="C34" s="35">
        <f>+IF($B$34="",0,IF($B$34&gt;$X$3,$X$3,$B$34))</f>
        <v>0</v>
      </c>
      <c r="D34" s="65">
        <f>+C34/$C$8</f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D34" s="7"/>
    </row>
    <row r="35" spans="1:30" ht="45" x14ac:dyDescent="0.2">
      <c r="A35" s="36" t="s">
        <v>51</v>
      </c>
      <c r="B35" s="2">
        <v>80000</v>
      </c>
      <c r="C35" s="37">
        <f>+IF($B$35="",0,IF($B$35&gt;$Y$3,$Y$3,IF($B$35&gt;$Y$4,$Y$4,$B$35)))</f>
        <v>80000</v>
      </c>
      <c r="D35" s="65">
        <f>+C35/$C$8</f>
        <v>0.1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D35" s="7"/>
    </row>
    <row r="36" spans="1:30" ht="39" customHeight="1" x14ac:dyDescent="0.25">
      <c r="A36" s="67" t="s">
        <v>24</v>
      </c>
      <c r="B36" s="68">
        <f>+B35+B34</f>
        <v>80000</v>
      </c>
      <c r="C36" s="38">
        <f>+C35+C34</f>
        <v>80000</v>
      </c>
      <c r="D36" s="65">
        <f>+C36/$C$8</f>
        <v>0.1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D36" s="7"/>
    </row>
    <row r="37" spans="1:30" ht="15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AD37" s="7"/>
    </row>
    <row r="38" spans="1:30" ht="15" thickBo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AD38" s="7"/>
    </row>
    <row r="39" spans="1:30" ht="24" customHeight="1" thickBot="1" x14ac:dyDescent="0.25">
      <c r="A39" s="120" t="s">
        <v>52</v>
      </c>
      <c r="B39" s="121"/>
      <c r="C39" s="121"/>
      <c r="D39" s="121"/>
      <c r="E39" s="12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AD39" s="7"/>
    </row>
    <row r="40" spans="1:30" ht="33" customHeight="1" x14ac:dyDescent="0.2">
      <c r="A40" s="39" t="s">
        <v>17</v>
      </c>
      <c r="B40" s="123" t="s">
        <v>25</v>
      </c>
      <c r="C40" s="123"/>
      <c r="D40" s="40" t="s">
        <v>26</v>
      </c>
      <c r="E40" s="41" t="s">
        <v>27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AD40" s="7"/>
    </row>
    <row r="41" spans="1:30" ht="24" customHeight="1" x14ac:dyDescent="0.25">
      <c r="A41" s="42" t="s">
        <v>28</v>
      </c>
      <c r="B41" s="124">
        <f>+C8</f>
        <v>800000</v>
      </c>
      <c r="C41" s="124"/>
      <c r="D41" s="43">
        <f>+C8</f>
        <v>800000</v>
      </c>
      <c r="E41" s="44">
        <f>+C8</f>
        <v>800000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AD41" s="7"/>
    </row>
    <row r="42" spans="1:30" ht="24" customHeight="1" x14ac:dyDescent="0.2">
      <c r="A42" s="45" t="s">
        <v>29</v>
      </c>
      <c r="B42" s="109">
        <f>+C30</f>
        <v>120000</v>
      </c>
      <c r="C42" s="109"/>
      <c r="D42" s="46">
        <f>+C30</f>
        <v>120000</v>
      </c>
      <c r="E42" s="47">
        <f>+C30</f>
        <v>120000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AD42" s="7"/>
    </row>
    <row r="43" spans="1:30" ht="24" customHeight="1" x14ac:dyDescent="0.2">
      <c r="A43" s="48" t="s">
        <v>30</v>
      </c>
      <c r="B43" s="110">
        <v>0</v>
      </c>
      <c r="C43" s="110"/>
      <c r="D43" s="49">
        <v>0</v>
      </c>
      <c r="E43" s="50">
        <f>+C36</f>
        <v>80000</v>
      </c>
      <c r="F43" s="5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AD43" s="7"/>
    </row>
    <row r="44" spans="1:30" ht="24" customHeight="1" x14ac:dyDescent="0.25">
      <c r="A44" s="52" t="s">
        <v>31</v>
      </c>
      <c r="B44" s="111">
        <f>+B43+B42</f>
        <v>120000</v>
      </c>
      <c r="C44" s="111"/>
      <c r="D44" s="53">
        <f>+D43+D42</f>
        <v>120000</v>
      </c>
      <c r="E44" s="54">
        <f>+E43+E42</f>
        <v>200000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AD44" s="7"/>
    </row>
    <row r="45" spans="1:30" ht="24" customHeight="1" thickBot="1" x14ac:dyDescent="0.25">
      <c r="A45" s="55" t="s">
        <v>32</v>
      </c>
      <c r="B45" s="112">
        <f>+X18</f>
        <v>173603.94</v>
      </c>
      <c r="C45" s="112"/>
      <c r="D45" s="56">
        <f>+Y18</f>
        <v>137603.94</v>
      </c>
      <c r="E45" s="57">
        <f>+Z18</f>
        <v>113603.94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AD45" s="7"/>
    </row>
    <row r="46" spans="1:30" s="61" customFormat="1" ht="47.25" customHeight="1" x14ac:dyDescent="0.25">
      <c r="A46" s="58" t="s">
        <v>33</v>
      </c>
      <c r="B46" s="113">
        <v>0</v>
      </c>
      <c r="C46" s="113"/>
      <c r="D46" s="59">
        <f>+B45-D45</f>
        <v>36000</v>
      </c>
      <c r="E46" s="69">
        <f>+B45-E45</f>
        <v>60000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AD46" s="60"/>
    </row>
    <row r="47" spans="1:30" ht="27.75" customHeight="1" thickBot="1" x14ac:dyDescent="0.25">
      <c r="A47" s="62" t="s">
        <v>71</v>
      </c>
      <c r="B47" s="114">
        <f>+B45/B41</f>
        <v>0.21700492500000002</v>
      </c>
      <c r="C47" s="114"/>
      <c r="D47" s="63">
        <f>+D45/D41</f>
        <v>0.172004925</v>
      </c>
      <c r="E47" s="64">
        <f>+E45/E41</f>
        <v>0.142004925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AD47" s="7"/>
    </row>
    <row r="48" spans="1:30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AD48" s="7"/>
    </row>
    <row r="49" spans="1:30" x14ac:dyDescent="0.2">
      <c r="A49" s="7"/>
      <c r="B49" s="7"/>
      <c r="C49" s="7"/>
      <c r="D49" s="10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AD49" s="7"/>
    </row>
    <row r="50" spans="1:30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AD50" s="7"/>
    </row>
    <row r="51" spans="1:30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AD51" s="7"/>
    </row>
    <row r="52" spans="1:30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AD52" s="7"/>
    </row>
    <row r="53" spans="1:30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AD53" s="7"/>
    </row>
    <row r="54" spans="1:30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AD54" s="7"/>
    </row>
    <row r="55" spans="1:30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AD55" s="7"/>
    </row>
    <row r="56" spans="1:30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AD56" s="7"/>
    </row>
    <row r="57" spans="1:30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AD57" s="7"/>
    </row>
    <row r="58" spans="1:30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AD58" s="7"/>
    </row>
    <row r="59" spans="1:30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AD59" s="7"/>
    </row>
    <row r="60" spans="1:30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AD60" s="7"/>
    </row>
    <row r="61" spans="1:30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AD61" s="7"/>
    </row>
    <row r="62" spans="1:30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AD62" s="7"/>
    </row>
    <row r="63" spans="1:30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AD63" s="7"/>
    </row>
    <row r="64" spans="1:30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AD64" s="7"/>
    </row>
    <row r="65" spans="1:3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AD65" s="7"/>
    </row>
    <row r="66" spans="1:3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AD66" s="7"/>
    </row>
    <row r="67" spans="1:3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AD67" s="7"/>
    </row>
    <row r="68" spans="1:30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AD68" s="7"/>
    </row>
    <row r="69" spans="1:30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AD69" s="7"/>
    </row>
    <row r="70" spans="1:30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AD70" s="7"/>
    </row>
    <row r="71" spans="1:30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AD71" s="7"/>
    </row>
    <row r="72" spans="1:30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AD72" s="7"/>
    </row>
    <row r="73" spans="1:30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AD73" s="7"/>
    </row>
    <row r="74" spans="1:30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AD74" s="7"/>
    </row>
    <row r="75" spans="1:30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AD75" s="7"/>
    </row>
    <row r="76" spans="1:30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AD76" s="7"/>
    </row>
    <row r="77" spans="1:30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AD77" s="7"/>
    </row>
    <row r="78" spans="1:30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AD78" s="7"/>
    </row>
    <row r="79" spans="1:30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AD79" s="7"/>
    </row>
    <row r="80" spans="1:30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AD80" s="7"/>
    </row>
    <row r="81" spans="1:30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AD81" s="7"/>
    </row>
    <row r="82" spans="1:30" x14ac:dyDescent="0.2"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AD82" s="7"/>
    </row>
    <row r="83" spans="1:30" x14ac:dyDescent="0.2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AD83" s="7"/>
    </row>
    <row r="84" spans="1:30" x14ac:dyDescent="0.2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AD84" s="7"/>
    </row>
    <row r="85" spans="1:30" x14ac:dyDescent="0.2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AD85" s="7"/>
    </row>
    <row r="86" spans="1:30" x14ac:dyDescent="0.2"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AD86" s="7"/>
    </row>
    <row r="87" spans="1:30" x14ac:dyDescent="0.2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AD87" s="7"/>
    </row>
    <row r="88" spans="1:30" x14ac:dyDescent="0.2"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AD88" s="7"/>
    </row>
    <row r="89" spans="1:30" x14ac:dyDescent="0.2"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AD89" s="7"/>
    </row>
    <row r="90" spans="1:30" x14ac:dyDescent="0.2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AD90" s="7"/>
    </row>
    <row r="91" spans="1:30" x14ac:dyDescent="0.2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AD91" s="7"/>
    </row>
    <row r="92" spans="1:30" x14ac:dyDescent="0.2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AD92" s="7"/>
    </row>
    <row r="93" spans="1:30" x14ac:dyDescent="0.2"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AD93" s="7"/>
    </row>
    <row r="94" spans="1:30" x14ac:dyDescent="0.2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AD94" s="7"/>
    </row>
    <row r="95" spans="1:30" x14ac:dyDescent="0.2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AD95" s="7"/>
    </row>
    <row r="96" spans="1:30" x14ac:dyDescent="0.2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AD96" s="7"/>
    </row>
    <row r="97" spans="6:30" x14ac:dyDescent="0.2"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AD97" s="7"/>
    </row>
    <row r="98" spans="6:30" x14ac:dyDescent="0.2"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AD98" s="7"/>
    </row>
    <row r="99" spans="6:30" x14ac:dyDescent="0.2"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AD99" s="7"/>
    </row>
    <row r="100" spans="6:30" x14ac:dyDescent="0.2"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AD100" s="7"/>
    </row>
    <row r="101" spans="6:30" x14ac:dyDescent="0.2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AD101" s="7"/>
    </row>
    <row r="102" spans="6:30" x14ac:dyDescent="0.2"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AD102" s="7"/>
    </row>
    <row r="103" spans="6:30" x14ac:dyDescent="0.2"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AD103" s="7"/>
    </row>
    <row r="104" spans="6:30" x14ac:dyDescent="0.2"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AD104" s="7"/>
    </row>
    <row r="105" spans="6:30" x14ac:dyDescent="0.2"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AD105" s="7"/>
    </row>
    <row r="106" spans="6:30" x14ac:dyDescent="0.2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AD106" s="7"/>
    </row>
    <row r="107" spans="6:30" x14ac:dyDescent="0.2"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AD107" s="7"/>
    </row>
    <row r="108" spans="6:30" x14ac:dyDescent="0.2"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AD108" s="7"/>
    </row>
    <row r="109" spans="6:30" x14ac:dyDescent="0.2"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AD109" s="7"/>
    </row>
    <row r="110" spans="6:30" x14ac:dyDescent="0.2"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AD110" s="7"/>
    </row>
    <row r="111" spans="6:30" x14ac:dyDescent="0.2"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AD111" s="7"/>
    </row>
    <row r="112" spans="6:30" x14ac:dyDescent="0.2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AD112" s="7"/>
    </row>
    <row r="113" spans="6:30" x14ac:dyDescent="0.2"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AD113" s="7"/>
    </row>
    <row r="114" spans="6:30" x14ac:dyDescent="0.2"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AD114" s="7"/>
    </row>
    <row r="115" spans="6:30" x14ac:dyDescent="0.2"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AD115" s="7"/>
    </row>
    <row r="116" spans="6:30" x14ac:dyDescent="0.2"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AD116" s="7"/>
    </row>
    <row r="117" spans="6:30" x14ac:dyDescent="0.2"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AD117" s="7"/>
    </row>
    <row r="118" spans="6:30" x14ac:dyDescent="0.2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AD118" s="7"/>
    </row>
    <row r="119" spans="6:30" x14ac:dyDescent="0.2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AD119" s="7"/>
    </row>
    <row r="120" spans="6:30" x14ac:dyDescent="0.2"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AD120" s="7"/>
    </row>
    <row r="121" spans="6:30" x14ac:dyDescent="0.2"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AD121" s="7"/>
    </row>
    <row r="122" spans="6:30" x14ac:dyDescent="0.2"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6:30" x14ac:dyDescent="0.2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6:30" x14ac:dyDescent="0.2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6:30" x14ac:dyDescent="0.2"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6:30" x14ac:dyDescent="0.2"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6:30" x14ac:dyDescent="0.2"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6:30" x14ac:dyDescent="0.2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6:17" x14ac:dyDescent="0.2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6:17" x14ac:dyDescent="0.2"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6:17" x14ac:dyDescent="0.2"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6:17" x14ac:dyDescent="0.2"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6:17" x14ac:dyDescent="0.2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6:17" x14ac:dyDescent="0.2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6:17" x14ac:dyDescent="0.2"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6:17" x14ac:dyDescent="0.2"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6:17" x14ac:dyDescent="0.2"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6:17" x14ac:dyDescent="0.2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6:17" x14ac:dyDescent="0.2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6:17" x14ac:dyDescent="0.2"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6:17" x14ac:dyDescent="0.2"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6:17" x14ac:dyDescent="0.2"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6:17" x14ac:dyDescent="0.2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6:17" x14ac:dyDescent="0.2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6:17" x14ac:dyDescent="0.2"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6:17" x14ac:dyDescent="0.2"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6:17" x14ac:dyDescent="0.2"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6:17" x14ac:dyDescent="0.2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6:17" x14ac:dyDescent="0.2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6:17" x14ac:dyDescent="0.2"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6:17" x14ac:dyDescent="0.2"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6:17" x14ac:dyDescent="0.2"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6:17" x14ac:dyDescent="0.2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6:17" x14ac:dyDescent="0.2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6:17" x14ac:dyDescent="0.2"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6:17" x14ac:dyDescent="0.2"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6:17" x14ac:dyDescent="0.2"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6:17" x14ac:dyDescent="0.2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6:17" x14ac:dyDescent="0.2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6:17" x14ac:dyDescent="0.2"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6:17" x14ac:dyDescent="0.2"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6:17" x14ac:dyDescent="0.2"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6:17" x14ac:dyDescent="0.2"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6:17" x14ac:dyDescent="0.2"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6:17" x14ac:dyDescent="0.2"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6:17" x14ac:dyDescent="0.2"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6:17" x14ac:dyDescent="0.2"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6:17" x14ac:dyDescent="0.2"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6:17" x14ac:dyDescent="0.2"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6:17" x14ac:dyDescent="0.2"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</sheetData>
  <sheetProtection algorithmName="SHA-512" hashValue="OBL0gr/npw3gF4975PqhcBZYgC/s0v3ENZwWaZ5tvoYp2VuJf0QYZn8B9dERgQKWBGPnj9BZfgGy1w+LCrshNQ==" saltValue="2ZYO8U+FVYAI+X6Yulm3gg==" spinCount="100000" sheet="1" objects="1" scenarios="1" selectLockedCells="1"/>
  <mergeCells count="24">
    <mergeCell ref="A21:B21"/>
    <mergeCell ref="A1:E1"/>
    <mergeCell ref="A2:E2"/>
    <mergeCell ref="R2:S2"/>
    <mergeCell ref="A4:C4"/>
    <mergeCell ref="A5:B5"/>
    <mergeCell ref="A6:B6"/>
    <mergeCell ref="A7:B7"/>
    <mergeCell ref="S7:Z7"/>
    <mergeCell ref="A8:B8"/>
    <mergeCell ref="W8:Z8"/>
    <mergeCell ref="A12:C12"/>
    <mergeCell ref="W22:X22"/>
    <mergeCell ref="A30:B30"/>
    <mergeCell ref="A32:C32"/>
    <mergeCell ref="A39:E39"/>
    <mergeCell ref="B40:C40"/>
    <mergeCell ref="B47:C47"/>
    <mergeCell ref="B41:C41"/>
    <mergeCell ref="B42:C42"/>
    <mergeCell ref="B43:C43"/>
    <mergeCell ref="B44:C44"/>
    <mergeCell ref="B45:C45"/>
    <mergeCell ref="B46:C46"/>
  </mergeCells>
  <dataValidations disablePrompts="1" count="2">
    <dataValidation type="list" allowBlank="1" showInputMessage="1" showErrorMessage="1" sqref="A27" xr:uid="{8D77DB4C-1449-4973-A1FA-CA9C4DBC7D68}">
      <formula1>#REF!</formula1>
    </dataValidation>
    <dataValidation type="list" allowBlank="1" showInputMessage="1" showErrorMessage="1" sqref="A23:A26" xr:uid="{554E58B6-3E3B-4522-94F1-B447594E0771}">
      <formula1>$T$1:$T$5</formula1>
    </dataValidation>
  </dataValidations>
  <hyperlinks>
    <hyperlink ref="S6" r:id="rId1" xr:uid="{1739446A-8AB8-495F-98E5-B40092D7CAB6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 macro="[1]!Listadesplegable2_AlCambiar">
                <anchor moveWithCells="1">
                  <from>
                    <xdr:col>2</xdr:col>
                    <xdr:colOff>0</xdr:colOff>
                    <xdr:row>19</xdr:row>
                    <xdr:rowOff>47625</xdr:rowOff>
                  </from>
                  <to>
                    <xdr:col>2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 2025</vt:lpstr>
      <vt:lpstr>Calculadora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Galindo</dc:creator>
  <cp:lastModifiedBy>Raul Galindo</cp:lastModifiedBy>
  <dcterms:created xsi:type="dcterms:W3CDTF">2023-11-15T01:19:30Z</dcterms:created>
  <dcterms:modified xsi:type="dcterms:W3CDTF">2025-07-07T15:09:11Z</dcterms:modified>
</cp:coreProperties>
</file>