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Galindo\Downloads\Yeira Taller Cecoban\"/>
    </mc:Choice>
  </mc:AlternateContent>
  <xr:revisionPtr revIDLastSave="0" documentId="8_{38E66847-5291-4F39-8849-AD338BE37220}" xr6:coauthVersionLast="47" xr6:coauthVersionMax="47" xr10:uidLastSave="{00000000-0000-0000-0000-000000000000}"/>
  <bookViews>
    <workbookView xWindow="-120" yWindow="-120" windowWidth="20730" windowHeight="11040" xr2:uid="{94A71058-DC38-45D0-8D60-6F6D561D8F76}"/>
  </bookViews>
  <sheets>
    <sheet name="Calculadora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44" i="2" l="1"/>
  <c r="V4" i="2"/>
  <c r="W4" i="2"/>
  <c r="Y3" i="2"/>
  <c r="C34" i="2"/>
  <c r="C27" i="2" l="1"/>
  <c r="C26" i="2"/>
  <c r="C25" i="2"/>
  <c r="P4" i="2"/>
  <c r="P5" i="2" s="1"/>
  <c r="C15" i="2"/>
  <c r="C19" i="2"/>
  <c r="C18" i="2"/>
  <c r="C17" i="2"/>
  <c r="C16" i="2"/>
  <c r="C14" i="2"/>
  <c r="C8" i="2"/>
  <c r="U10" i="2" s="1"/>
  <c r="U23" i="2" l="1"/>
  <c r="E41" i="2"/>
  <c r="D41" i="2"/>
  <c r="B41" i="2"/>
  <c r="W3" i="2"/>
  <c r="V3" i="2"/>
  <c r="C35" i="2" s="1"/>
  <c r="C36" i="2" s="1"/>
  <c r="E43" i="2" s="1"/>
  <c r="C23" i="2"/>
  <c r="C24" i="2"/>
  <c r="C28" i="2" l="1"/>
  <c r="C30" i="2" s="1"/>
  <c r="E42" i="2" s="1"/>
  <c r="E44" i="2" s="1"/>
  <c r="W10" i="2" s="1"/>
  <c r="U11" i="2"/>
  <c r="U24" i="2"/>
  <c r="U25" i="2" s="1"/>
  <c r="U26" i="2" l="1"/>
  <c r="U27" i="2" s="1"/>
  <c r="U28" i="2"/>
  <c r="U12" i="2"/>
  <c r="U15" i="2"/>
  <c r="U13" i="2"/>
  <c r="U14" i="2" s="1"/>
  <c r="U16" i="2" s="1"/>
  <c r="U18" i="2" s="1"/>
  <c r="D42" i="2"/>
  <c r="D44" i="2" s="1"/>
  <c r="V10" i="2" s="1"/>
  <c r="V11" i="2" s="1"/>
  <c r="V12" i="2" s="1"/>
  <c r="W11" i="2"/>
  <c r="W12" i="2" s="1"/>
  <c r="U29" i="2" l="1"/>
  <c r="U31" i="2" s="1"/>
  <c r="U32" i="2" s="1"/>
  <c r="B45" i="2"/>
  <c r="B47" i="2" s="1"/>
  <c r="U19" i="2"/>
  <c r="W15" i="2"/>
  <c r="W13" i="2"/>
  <c r="W14" i="2" s="1"/>
  <c r="V13" i="2"/>
  <c r="V14" i="2" s="1"/>
  <c r="V15" i="2"/>
  <c r="V16" i="2" l="1"/>
  <c r="V18" i="2" s="1"/>
  <c r="V19" i="2" s="1"/>
  <c r="W16" i="2"/>
  <c r="W18" i="2" s="1"/>
  <c r="D45" i="2" l="1"/>
  <c r="D47" i="2" s="1"/>
  <c r="W19" i="2"/>
  <c r="E45" i="2"/>
  <c r="D46" i="2" l="1"/>
  <c r="E47" i="2"/>
  <c r="E46" i="2"/>
</calcChain>
</file>

<file path=xl/sharedStrings.xml><?xml version="1.0" encoding="utf-8"?>
<sst xmlns="http://schemas.openxmlformats.org/spreadsheetml/2006/main" count="103" uniqueCount="76">
  <si>
    <t>Preescolar</t>
  </si>
  <si>
    <t>Donativos</t>
  </si>
  <si>
    <t>Gastos funerarios</t>
  </si>
  <si>
    <t>Ctas ahorro</t>
  </si>
  <si>
    <t>PPR</t>
  </si>
  <si>
    <t>Caducidad</t>
  </si>
  <si>
    <t>Primaria</t>
  </si>
  <si>
    <t>1 UMA anual</t>
  </si>
  <si>
    <t>min(10% ingreso y 5UMA anual)</t>
  </si>
  <si>
    <t>15% ing o 5UMA</t>
  </si>
  <si>
    <t>750mil udis</t>
  </si>
  <si>
    <t>Fin Vigencia</t>
  </si>
  <si>
    <t>Secundaria</t>
  </si>
  <si>
    <t>HOY</t>
  </si>
  <si>
    <t>Profesional técnico</t>
  </si>
  <si>
    <t>Validación</t>
  </si>
  <si>
    <t>Bachillerato</t>
  </si>
  <si>
    <t>Concepto</t>
  </si>
  <si>
    <t>Monto Anual</t>
  </si>
  <si>
    <t>TOTAL DE INGRESOS</t>
  </si>
  <si>
    <t>Monto a Deducir</t>
  </si>
  <si>
    <t>No. de hijos de los que desea deducir colegiatura:</t>
  </si>
  <si>
    <t>Nivel Educativo</t>
  </si>
  <si>
    <t>Colegiaturas:</t>
  </si>
  <si>
    <t>TOTAL DE DEDUCCIONES ENFOCADAS AL RETIRO</t>
  </si>
  <si>
    <t>Sin Deducciones</t>
  </si>
  <si>
    <t>Con Deducciones sin Retiro</t>
  </si>
  <si>
    <t>Con Deducciones y con Retiro</t>
  </si>
  <si>
    <t>Ingreso anual acumulado:</t>
  </si>
  <si>
    <t>Deducciones personales:</t>
  </si>
  <si>
    <t>Deducciones enfocadas al Retiro:</t>
  </si>
  <si>
    <t>Total de deducciones:</t>
  </si>
  <si>
    <t>Impuesto a pagar:</t>
  </si>
  <si>
    <t>DEVOLUCIÓN ESTIMADA DE IMPUESTOS:</t>
  </si>
  <si>
    <t>*Suma de los ingresos mensuales, aguinaldo, utilidades, primas vacacionales y bonos. TODO ANTES DE IMPUESTOS</t>
  </si>
  <si>
    <t>Ingreso anual bruto*</t>
  </si>
  <si>
    <t>Otros ingresos anuales**</t>
  </si>
  <si>
    <t>**Todo ingreso acumulable: negocio, honorarios, rentas, etc</t>
  </si>
  <si>
    <t>Monto Deducible</t>
  </si>
  <si>
    <t>Honorarios médicos y dentales</t>
  </si>
  <si>
    <t>Intereses pagados por créditos hipotecarios</t>
  </si>
  <si>
    <t>Gastos funerales</t>
  </si>
  <si>
    <t>Seguro de Gastos Médicos Mayores</t>
  </si>
  <si>
    <t>Calculadora de Impuestos 2023</t>
  </si>
  <si>
    <t>Total ingresos deducibles</t>
  </si>
  <si>
    <t>crédito hipotecario</t>
  </si>
  <si>
    <t>Este es un simulador para personas Físicas dadas de alta en el regímen de sueldos y salarios., los resutados deben validarse con un Contador.</t>
  </si>
  <si>
    <t>TOTAL DEDUCCIONES PERSONALES</t>
  </si>
  <si>
    <t>1.  INGRESOS</t>
  </si>
  <si>
    <t>2.  DEDUCCIONES PERSONALES</t>
  </si>
  <si>
    <r>
      <t xml:space="preserve">Transporte Escolar </t>
    </r>
    <r>
      <rPr>
        <b/>
        <sz val="10"/>
        <color theme="1"/>
        <rFont val="Tahoma"/>
        <family val="2"/>
      </rPr>
      <t>(cuando es obligatorio)</t>
    </r>
  </si>
  <si>
    <t>3. DEDUCCIONES POR INVERSIONES ENFOCADAS AL RETIRO</t>
  </si>
  <si>
    <t>Primas de Seguro para el Retiro Art. 185 LISR</t>
  </si>
  <si>
    <t>Aportaciones al Plan Personal de Retiro (PPR)
Art. 151 LISR</t>
  </si>
  <si>
    <t>4.   ESCENARIOS</t>
  </si>
  <si>
    <t>Limite Inf</t>
  </si>
  <si>
    <t>Limite Sup</t>
  </si>
  <si>
    <t>Cuota Fija</t>
  </si>
  <si>
    <t>en adelante</t>
  </si>
  <si>
    <t>ingreso</t>
  </si>
  <si>
    <t>lim inf</t>
  </si>
  <si>
    <t>dif</t>
  </si>
  <si>
    <t>tasa</t>
  </si>
  <si>
    <t>imp marginal</t>
  </si>
  <si>
    <t>cuota fija</t>
  </si>
  <si>
    <t>imp previo</t>
  </si>
  <si>
    <t>subsidio</t>
  </si>
  <si>
    <t>imp a retener</t>
  </si>
  <si>
    <t>perc efectiv</t>
  </si>
  <si>
    <t>% sobre exc lim inf</t>
  </si>
  <si>
    <t>CALCULO</t>
  </si>
  <si>
    <t>ANUAL</t>
  </si>
  <si>
    <t>MENSUAL</t>
  </si>
  <si>
    <t>% Impuestos</t>
  </si>
  <si>
    <t>con Ded Per</t>
  </si>
  <si>
    <t>con Plan 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</si>
</sst>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&quot;$&quot;#,##0_);[Red]\(&quot;$&quot;#,##0\)"/>
    <numFmt numFmtId="167" formatCode="_(&quot;$&quot;* #,##0_);_(&quot;$&quot;* \(#,##0\);_(&quot;$&quot;* &quot;-&quot;??_);_(@_)"/>
    <numFmt numFmtId="168" formatCode="&quot;$&quot;#,##0"/>
    <numFmt numFmtId="169" formatCode="0.0%"/>
    <numFmt numFmtId="170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ahoma"/>
      <family val="2"/>
    </font>
    <font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0"/>
      <name val="Tahoma"/>
      <family val="2"/>
    </font>
    <font>
      <b/>
      <sz val="12"/>
      <color theme="1"/>
      <name val="Tahoma"/>
      <family val="2"/>
    </font>
    <font>
      <b/>
      <sz val="1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sz val="12"/>
      <color theme="0" tint="-0.499984740745262"/>
      <name val="Tahoma"/>
      <family val="2"/>
    </font>
    <font>
      <b/>
      <sz val="10"/>
      <color theme="1"/>
      <name val="Tahoma"/>
      <family val="2"/>
    </font>
    <font>
      <sz val="12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33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165" fontId="9" fillId="2" borderId="11" xfId="2" applyNumberFormat="1" applyFont="1" applyFill="1" applyBorder="1" applyAlignment="1" applyProtection="1">
      <alignment horizontal="center" vertical="center"/>
      <protection locked="0"/>
    </xf>
    <xf numFmtId="165" fontId="9" fillId="2" borderId="1" xfId="2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168" fontId="9" fillId="2" borderId="1" xfId="1" applyNumberFormat="1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/>
    </xf>
    <xf numFmtId="165" fontId="10" fillId="6" borderId="11" xfId="2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11" borderId="0" xfId="0" applyFont="1" applyFill="1" applyProtection="1"/>
    <xf numFmtId="0" fontId="3" fillId="11" borderId="1" xfId="0" applyFont="1" applyFill="1" applyBorder="1" applyProtection="1"/>
    <xf numFmtId="0" fontId="3" fillId="11" borderId="1" xfId="0" applyFont="1" applyFill="1" applyBorder="1" applyAlignment="1" applyProtection="1">
      <alignment horizontal="center"/>
    </xf>
    <xf numFmtId="0" fontId="3" fillId="0" borderId="0" xfId="0" applyFont="1" applyProtection="1"/>
    <xf numFmtId="0" fontId="4" fillId="2" borderId="7" xfId="0" applyFont="1" applyFill="1" applyBorder="1" applyAlignment="1" applyProtection="1">
      <alignment horizontal="center"/>
    </xf>
    <xf numFmtId="0" fontId="5" fillId="11" borderId="1" xfId="0" applyFont="1" applyFill="1" applyBorder="1" applyAlignment="1" applyProtection="1">
      <alignment horizontal="center"/>
    </xf>
    <xf numFmtId="9" fontId="3" fillId="11" borderId="1" xfId="0" applyNumberFormat="1" applyFont="1" applyFill="1" applyBorder="1" applyProtection="1"/>
    <xf numFmtId="164" fontId="3" fillId="11" borderId="1" xfId="1" applyNumberFormat="1" applyFont="1" applyFill="1" applyBorder="1" applyProtection="1"/>
    <xf numFmtId="0" fontId="5" fillId="11" borderId="1" xfId="0" applyFont="1" applyFill="1" applyBorder="1" applyAlignment="1" applyProtection="1">
      <alignment vertical="center"/>
    </xf>
    <xf numFmtId="14" fontId="5" fillId="11" borderId="1" xfId="0" applyNumberFormat="1" applyFont="1" applyFill="1" applyBorder="1" applyAlignment="1" applyProtection="1">
      <alignment vertical="center"/>
    </xf>
    <xf numFmtId="165" fontId="3" fillId="11" borderId="1" xfId="0" applyNumberFormat="1" applyFont="1" applyFill="1" applyBorder="1" applyProtection="1"/>
    <xf numFmtId="164" fontId="3" fillId="11" borderId="1" xfId="0" applyNumberFormat="1" applyFont="1" applyFill="1" applyBorder="1" applyProtection="1"/>
    <xf numFmtId="164" fontId="3" fillId="11" borderId="1" xfId="1" applyNumberFormat="1" applyFont="1" applyFill="1" applyBorder="1" applyAlignment="1" applyProtection="1">
      <alignment horizontal="center"/>
    </xf>
    <xf numFmtId="166" fontId="3" fillId="11" borderId="1" xfId="0" applyNumberFormat="1" applyFont="1" applyFill="1" applyBorder="1" applyProtection="1"/>
    <xf numFmtId="0" fontId="6" fillId="5" borderId="8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3" fillId="11" borderId="0" xfId="0" applyFont="1" applyFill="1" applyAlignment="1" applyProtection="1">
      <alignment vertical="center"/>
    </xf>
    <xf numFmtId="165" fontId="3" fillId="11" borderId="0" xfId="0" applyNumberFormat="1" applyFont="1" applyFill="1" applyAlignment="1" applyProtection="1">
      <alignment vertical="center"/>
    </xf>
    <xf numFmtId="164" fontId="3" fillId="11" borderId="0" xfId="0" applyNumberFormat="1" applyFont="1" applyFill="1" applyAlignment="1" applyProtection="1">
      <alignment vertical="center"/>
    </xf>
    <xf numFmtId="164" fontId="3" fillId="11" borderId="0" xfId="1" applyNumberFormat="1" applyFont="1" applyFill="1" applyBorder="1" applyAlignment="1" applyProtection="1">
      <alignment vertical="center"/>
    </xf>
    <xf numFmtId="166" fontId="3" fillId="11" borderId="0" xfId="0" applyNumberFormat="1" applyFont="1" applyFill="1" applyAlignment="1" applyProtection="1">
      <alignment vertical="center"/>
    </xf>
    <xf numFmtId="0" fontId="7" fillId="6" borderId="10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/>
    </xf>
    <xf numFmtId="0" fontId="8" fillId="11" borderId="1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left" vertical="center"/>
    </xf>
    <xf numFmtId="0" fontId="7" fillId="7" borderId="3" xfId="0" applyFont="1" applyFill="1" applyBorder="1" applyAlignment="1" applyProtection="1">
      <alignment horizontal="left" vertical="center"/>
    </xf>
    <xf numFmtId="0" fontId="7" fillId="7" borderId="12" xfId="0" applyFont="1" applyFill="1" applyBorder="1" applyAlignment="1" applyProtection="1">
      <alignment horizontal="left" vertical="center"/>
    </xf>
    <xf numFmtId="0" fontId="7" fillId="7" borderId="2" xfId="0" applyFont="1" applyFill="1" applyBorder="1" applyAlignment="1" applyProtection="1">
      <alignment horizontal="left" vertical="center"/>
    </xf>
    <xf numFmtId="0" fontId="5" fillId="11" borderId="4" xfId="0" applyFont="1" applyFill="1" applyBorder="1" applyAlignment="1" applyProtection="1">
      <alignment horizontal="center"/>
    </xf>
    <xf numFmtId="0" fontId="5" fillId="11" borderId="5" xfId="0" applyFont="1" applyFill="1" applyBorder="1" applyAlignment="1" applyProtection="1">
      <alignment horizontal="center"/>
    </xf>
    <xf numFmtId="0" fontId="5" fillId="11" borderId="6" xfId="0" applyFont="1" applyFill="1" applyBorder="1" applyAlignment="1" applyProtection="1">
      <alignment horizontal="center"/>
    </xf>
    <xf numFmtId="0" fontId="10" fillId="6" borderId="12" xfId="0" applyFont="1" applyFill="1" applyBorder="1" applyAlignment="1" applyProtection="1">
      <alignment horizontal="center"/>
    </xf>
    <xf numFmtId="0" fontId="10" fillId="6" borderId="1" xfId="0" applyFont="1" applyFill="1" applyBorder="1" applyAlignment="1" applyProtection="1">
      <alignment horizontal="center"/>
    </xf>
    <xf numFmtId="0" fontId="3" fillId="11" borderId="24" xfId="0" applyFont="1" applyFill="1" applyBorder="1" applyProtection="1"/>
    <xf numFmtId="0" fontId="3" fillId="11" borderId="25" xfId="0" applyFont="1" applyFill="1" applyBorder="1" applyProtection="1"/>
    <xf numFmtId="0" fontId="3" fillId="11" borderId="26" xfId="0" applyFont="1" applyFill="1" applyBorder="1" applyAlignment="1" applyProtection="1">
      <alignment wrapText="1"/>
    </xf>
    <xf numFmtId="0" fontId="11" fillId="2" borderId="13" xfId="0" applyFont="1" applyFill="1" applyBorder="1" applyProtection="1"/>
    <xf numFmtId="0" fontId="3" fillId="2" borderId="14" xfId="0" applyFont="1" applyFill="1" applyBorder="1" applyProtection="1"/>
    <xf numFmtId="43" fontId="3" fillId="11" borderId="0" xfId="0" applyNumberFormat="1" applyFont="1" applyFill="1" applyProtection="1"/>
    <xf numFmtId="43" fontId="3" fillId="11" borderId="12" xfId="1" applyFont="1" applyFill="1" applyBorder="1" applyProtection="1"/>
    <xf numFmtId="43" fontId="3" fillId="11" borderId="1" xfId="1" applyFont="1" applyFill="1" applyBorder="1" applyProtection="1"/>
    <xf numFmtId="43" fontId="3" fillId="11" borderId="11" xfId="1" applyFont="1" applyFill="1" applyBorder="1" applyProtection="1"/>
    <xf numFmtId="0" fontId="5" fillId="11" borderId="4" xfId="0" applyFont="1" applyFill="1" applyBorder="1" applyAlignment="1" applyProtection="1">
      <alignment horizontal="center"/>
    </xf>
    <xf numFmtId="0" fontId="5" fillId="11" borderId="6" xfId="0" applyFont="1" applyFill="1" applyBorder="1" applyAlignment="1" applyProtection="1">
      <alignment horizontal="center"/>
    </xf>
    <xf numFmtId="0" fontId="5" fillId="11" borderId="23" xfId="0" applyFont="1" applyFill="1" applyBorder="1" applyAlignment="1" applyProtection="1">
      <alignment horizontal="center"/>
    </xf>
    <xf numFmtId="0" fontId="11" fillId="2" borderId="15" xfId="0" applyFont="1" applyFill="1" applyBorder="1" applyProtection="1"/>
    <xf numFmtId="0" fontId="3" fillId="2" borderId="16" xfId="0" applyFont="1" applyFill="1" applyBorder="1" applyProtection="1"/>
    <xf numFmtId="0" fontId="3" fillId="2" borderId="17" xfId="0" applyFont="1" applyFill="1" applyBorder="1" applyProtection="1"/>
    <xf numFmtId="0" fontId="5" fillId="11" borderId="8" xfId="0" applyFont="1" applyFill="1" applyBorder="1" applyAlignment="1" applyProtection="1">
      <alignment horizontal="left"/>
    </xf>
    <xf numFmtId="43" fontId="5" fillId="11" borderId="9" xfId="1" applyFont="1" applyFill="1" applyBorder="1" applyAlignment="1" applyProtection="1">
      <alignment horizontal="left"/>
    </xf>
    <xf numFmtId="43" fontId="5" fillId="11" borderId="14" xfId="1" applyFont="1" applyFill="1" applyBorder="1" applyAlignment="1" applyProtection="1">
      <alignment horizontal="left"/>
    </xf>
    <xf numFmtId="0" fontId="5" fillId="11" borderId="13" xfId="0" applyFont="1" applyFill="1" applyBorder="1" applyAlignment="1" applyProtection="1">
      <alignment horizontal="left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7" fillId="8" borderId="12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/>
    </xf>
    <xf numFmtId="0" fontId="7" fillId="8" borderId="11" xfId="0" applyFont="1" applyFill="1" applyBorder="1" applyAlignment="1" applyProtection="1">
      <alignment horizontal="center"/>
    </xf>
    <xf numFmtId="0" fontId="7" fillId="10" borderId="10" xfId="0" applyFont="1" applyFill="1" applyBorder="1" applyAlignment="1" applyProtection="1">
      <alignment vertical="center" wrapText="1"/>
    </xf>
    <xf numFmtId="165" fontId="12" fillId="12" borderId="11" xfId="0" applyNumberFormat="1" applyFont="1" applyFill="1" applyBorder="1" applyAlignment="1" applyProtection="1">
      <alignment vertical="center"/>
    </xf>
    <xf numFmtId="0" fontId="7" fillId="10" borderId="10" xfId="0" applyFont="1" applyFill="1" applyBorder="1" applyProtection="1"/>
    <xf numFmtId="167" fontId="12" fillId="12" borderId="11" xfId="2" applyNumberFormat="1" applyFont="1" applyFill="1" applyBorder="1" applyAlignment="1" applyProtection="1">
      <alignment horizontal="center"/>
    </xf>
    <xf numFmtId="167" fontId="12" fillId="12" borderId="11" xfId="2" applyNumberFormat="1" applyFont="1" applyFill="1" applyBorder="1" applyAlignment="1" applyProtection="1">
      <alignment horizontal="center" vertical="center"/>
    </xf>
    <xf numFmtId="167" fontId="12" fillId="12" borderId="11" xfId="0" applyNumberFormat="1" applyFont="1" applyFill="1" applyBorder="1" applyProtection="1"/>
    <xf numFmtId="43" fontId="3" fillId="11" borderId="21" xfId="1" applyFont="1" applyFill="1" applyBorder="1" applyProtection="1"/>
    <xf numFmtId="43" fontId="3" fillId="11" borderId="22" xfId="1" applyFont="1" applyFill="1" applyBorder="1" applyProtection="1"/>
    <xf numFmtId="43" fontId="3" fillId="11" borderId="20" xfId="1" applyFont="1" applyFill="1" applyBorder="1" applyProtection="1"/>
    <xf numFmtId="0" fontId="5" fillId="11" borderId="15" xfId="0" applyFont="1" applyFill="1" applyBorder="1" applyAlignment="1" applyProtection="1">
      <alignment horizontal="left"/>
    </xf>
    <xf numFmtId="43" fontId="5" fillId="11" borderId="17" xfId="1" applyFont="1" applyFill="1" applyBorder="1" applyAlignment="1" applyProtection="1">
      <alignment horizontal="left"/>
    </xf>
    <xf numFmtId="0" fontId="3" fillId="2" borderId="13" xfId="0" applyFont="1" applyFill="1" applyBorder="1" applyProtection="1"/>
    <xf numFmtId="0" fontId="7" fillId="8" borderId="10" xfId="0" applyFont="1" applyFill="1" applyBorder="1" applyAlignment="1" applyProtection="1">
      <alignment horizontal="center"/>
    </xf>
    <xf numFmtId="0" fontId="7" fillId="8" borderId="3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5" fillId="11" borderId="5" xfId="0" applyFont="1" applyFill="1" applyBorder="1" applyAlignment="1" applyProtection="1">
      <alignment horizontal="center"/>
    </xf>
    <xf numFmtId="0" fontId="7" fillId="9" borderId="12" xfId="0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11" xfId="0" applyFont="1" applyFill="1" applyBorder="1" applyAlignment="1" applyProtection="1">
      <alignment horizontal="center" vertical="center"/>
    </xf>
    <xf numFmtId="168" fontId="12" fillId="12" borderId="11" xfId="1" applyNumberFormat="1" applyFont="1" applyFill="1" applyBorder="1" applyAlignment="1" applyProtection="1">
      <alignment horizontal="center" vertical="center"/>
    </xf>
    <xf numFmtId="0" fontId="7" fillId="8" borderId="10" xfId="0" applyFont="1" applyFill="1" applyBorder="1" applyProtection="1"/>
    <xf numFmtId="165" fontId="14" fillId="8" borderId="1" xfId="2" applyNumberFormat="1" applyFont="1" applyFill="1" applyBorder="1" applyAlignment="1" applyProtection="1">
      <alignment horizontal="center" vertical="center"/>
    </xf>
    <xf numFmtId="165" fontId="12" fillId="12" borderId="11" xfId="0" applyNumberFormat="1" applyFont="1" applyFill="1" applyBorder="1" applyProtection="1"/>
    <xf numFmtId="0" fontId="10" fillId="3" borderId="18" xfId="0" applyFont="1" applyFill="1" applyBorder="1" applyAlignment="1" applyProtection="1">
      <alignment horizontal="left"/>
    </xf>
    <xf numFmtId="0" fontId="10" fillId="3" borderId="19" xfId="0" applyFont="1" applyFill="1" applyBorder="1" applyAlignment="1" applyProtection="1">
      <alignment horizontal="left"/>
    </xf>
    <xf numFmtId="165" fontId="10" fillId="3" borderId="20" xfId="0" applyNumberFormat="1" applyFont="1" applyFill="1" applyBorder="1" applyProtection="1"/>
    <xf numFmtId="0" fontId="6" fillId="13" borderId="0" xfId="0" applyFont="1" applyFill="1" applyAlignment="1" applyProtection="1">
      <alignment horizontal="center" vertical="center"/>
    </xf>
    <xf numFmtId="0" fontId="7" fillId="14" borderId="1" xfId="0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 applyProtection="1">
      <alignment horizontal="left" wrapText="1"/>
    </xf>
    <xf numFmtId="165" fontId="12" fillId="12" borderId="1" xfId="2" applyNumberFormat="1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 applyProtection="1">
      <alignment wrapText="1"/>
    </xf>
    <xf numFmtId="165" fontId="12" fillId="12" borderId="1" xfId="0" applyNumberFormat="1" applyFont="1" applyFill="1" applyBorder="1" applyAlignment="1" applyProtection="1">
      <alignment vertical="center"/>
    </xf>
    <xf numFmtId="164" fontId="3" fillId="2" borderId="0" xfId="0" applyNumberFormat="1" applyFont="1" applyFill="1" applyProtection="1"/>
    <xf numFmtId="0" fontId="10" fillId="14" borderId="2" xfId="0" applyFont="1" applyFill="1" applyBorder="1" applyAlignment="1" applyProtection="1">
      <alignment horizontal="left" vertical="center"/>
    </xf>
    <xf numFmtId="0" fontId="10" fillId="14" borderId="3" xfId="0" applyFont="1" applyFill="1" applyBorder="1" applyAlignment="1" applyProtection="1">
      <alignment horizontal="left" vertical="center"/>
    </xf>
    <xf numFmtId="165" fontId="10" fillId="14" borderId="1" xfId="0" applyNumberFormat="1" applyFont="1" applyFill="1" applyBorder="1" applyProtection="1"/>
    <xf numFmtId="0" fontId="6" fillId="16" borderId="33" xfId="0" applyFont="1" applyFill="1" applyBorder="1" applyAlignment="1" applyProtection="1">
      <alignment horizontal="center" vertical="center"/>
    </xf>
    <xf numFmtId="0" fontId="6" fillId="16" borderId="34" xfId="0" applyFont="1" applyFill="1" applyBorder="1" applyAlignment="1" applyProtection="1">
      <alignment horizontal="center" vertical="center"/>
    </xf>
    <xf numFmtId="0" fontId="6" fillId="16" borderId="35" xfId="0" applyFont="1" applyFill="1" applyBorder="1" applyAlignment="1" applyProtection="1">
      <alignment horizontal="center" vertical="center"/>
    </xf>
    <xf numFmtId="0" fontId="16" fillId="20" borderId="30" xfId="0" applyFont="1" applyFill="1" applyBorder="1" applyAlignment="1" applyProtection="1">
      <alignment horizontal="center"/>
    </xf>
    <xf numFmtId="0" fontId="16" fillId="20" borderId="32" xfId="0" applyFont="1" applyFill="1" applyBorder="1" applyAlignment="1" applyProtection="1">
      <alignment horizontal="center"/>
    </xf>
    <xf numFmtId="0" fontId="16" fillId="20" borderId="32" xfId="0" applyFont="1" applyFill="1" applyBorder="1" applyAlignment="1" applyProtection="1">
      <alignment horizontal="center" wrapText="1"/>
    </xf>
    <xf numFmtId="0" fontId="16" fillId="20" borderId="31" xfId="0" applyFont="1" applyFill="1" applyBorder="1" applyAlignment="1" applyProtection="1">
      <alignment horizontal="center" wrapText="1"/>
    </xf>
    <xf numFmtId="0" fontId="7" fillId="6" borderId="12" xfId="0" applyFont="1" applyFill="1" applyBorder="1" applyProtection="1"/>
    <xf numFmtId="166" fontId="10" fillId="6" borderId="1" xfId="0" applyNumberFormat="1" applyFont="1" applyFill="1" applyBorder="1" applyAlignment="1" applyProtection="1">
      <alignment horizontal="center"/>
    </xf>
    <xf numFmtId="166" fontId="10" fillId="6" borderId="1" xfId="0" applyNumberFormat="1" applyFont="1" applyFill="1" applyBorder="1" applyAlignment="1" applyProtection="1">
      <alignment horizontal="center"/>
    </xf>
    <xf numFmtId="166" fontId="10" fillId="6" borderId="11" xfId="0" applyNumberFormat="1" applyFont="1" applyFill="1" applyBorder="1" applyAlignment="1" applyProtection="1">
      <alignment horizontal="center"/>
    </xf>
    <xf numFmtId="0" fontId="7" fillId="9" borderId="12" xfId="0" applyFont="1" applyFill="1" applyBorder="1" applyProtection="1"/>
    <xf numFmtId="166" fontId="7" fillId="9" borderId="1" xfId="0" applyNumberFormat="1" applyFont="1" applyFill="1" applyBorder="1" applyAlignment="1" applyProtection="1">
      <alignment horizontal="center"/>
    </xf>
    <xf numFmtId="166" fontId="7" fillId="9" borderId="1" xfId="0" applyNumberFormat="1" applyFont="1" applyFill="1" applyBorder="1" applyAlignment="1" applyProtection="1">
      <alignment horizontal="center"/>
    </xf>
    <xf numFmtId="166" fontId="7" fillId="9" borderId="11" xfId="0" applyNumberFormat="1" applyFont="1" applyFill="1" applyBorder="1" applyAlignment="1" applyProtection="1">
      <alignment horizontal="center"/>
    </xf>
    <xf numFmtId="0" fontId="7" fillId="17" borderId="12" xfId="0" applyFont="1" applyFill="1" applyBorder="1" applyProtection="1"/>
    <xf numFmtId="166" fontId="7" fillId="17" borderId="1" xfId="0" applyNumberFormat="1" applyFont="1" applyFill="1" applyBorder="1" applyAlignment="1" applyProtection="1">
      <alignment horizontal="center"/>
    </xf>
    <xf numFmtId="166" fontId="7" fillId="17" borderId="1" xfId="0" applyNumberFormat="1" applyFont="1" applyFill="1" applyBorder="1" applyAlignment="1" applyProtection="1">
      <alignment horizontal="center"/>
    </xf>
    <xf numFmtId="166" fontId="7" fillId="17" borderId="11" xfId="0" applyNumberFormat="1" applyFont="1" applyFill="1" applyBorder="1" applyAlignment="1" applyProtection="1">
      <alignment horizontal="center"/>
    </xf>
    <xf numFmtId="170" fontId="3" fillId="2" borderId="0" xfId="0" applyNumberFormat="1" applyFont="1" applyFill="1" applyProtection="1"/>
    <xf numFmtId="0" fontId="7" fillId="18" borderId="12" xfId="0" applyFont="1" applyFill="1" applyBorder="1" applyProtection="1"/>
    <xf numFmtId="166" fontId="7" fillId="19" borderId="1" xfId="0" applyNumberFormat="1" applyFont="1" applyFill="1" applyBorder="1" applyAlignment="1" applyProtection="1">
      <alignment horizontal="center"/>
    </xf>
    <xf numFmtId="166" fontId="10" fillId="18" borderId="1" xfId="0" applyNumberFormat="1" applyFont="1" applyFill="1" applyBorder="1" applyAlignment="1" applyProtection="1">
      <alignment horizontal="center"/>
    </xf>
    <xf numFmtId="166" fontId="10" fillId="18" borderId="11" xfId="0" applyNumberFormat="1" applyFont="1" applyFill="1" applyBorder="1" applyAlignment="1" applyProtection="1">
      <alignment horizontal="center"/>
    </xf>
    <xf numFmtId="0" fontId="7" fillId="21" borderId="27" xfId="0" applyFont="1" applyFill="1" applyBorder="1" applyProtection="1"/>
    <xf numFmtId="166" fontId="7" fillId="21" borderId="28" xfId="0" applyNumberFormat="1" applyFont="1" applyFill="1" applyBorder="1" applyAlignment="1" applyProtection="1">
      <alignment horizontal="center"/>
    </xf>
    <xf numFmtId="166" fontId="7" fillId="21" borderId="28" xfId="0" applyNumberFormat="1" applyFont="1" applyFill="1" applyBorder="1" applyAlignment="1" applyProtection="1">
      <alignment horizontal="center"/>
    </xf>
    <xf numFmtId="166" fontId="7" fillId="21" borderId="29" xfId="0" applyNumberFormat="1" applyFont="1" applyFill="1" applyBorder="1" applyAlignment="1" applyProtection="1">
      <alignment horizontal="center"/>
    </xf>
    <xf numFmtId="0" fontId="6" fillId="13" borderId="24" xfId="0" applyFont="1" applyFill="1" applyBorder="1" applyAlignment="1" applyProtection="1">
      <alignment wrapText="1"/>
    </xf>
    <xf numFmtId="166" fontId="15" fillId="13" borderId="25" xfId="0" applyNumberFormat="1" applyFont="1" applyFill="1" applyBorder="1" applyAlignment="1" applyProtection="1">
      <alignment horizontal="center" vertical="center"/>
    </xf>
    <xf numFmtId="166" fontId="15" fillId="13" borderId="25" xfId="0" applyNumberFormat="1" applyFont="1" applyFill="1" applyBorder="1" applyAlignment="1" applyProtection="1">
      <alignment horizontal="center" vertical="center"/>
    </xf>
    <xf numFmtId="166" fontId="15" fillId="13" borderId="26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0" fontId="2" fillId="0" borderId="0" xfId="0" applyFont="1" applyProtection="1"/>
    <xf numFmtId="0" fontId="7" fillId="4" borderId="21" xfId="0" applyFont="1" applyFill="1" applyBorder="1" applyProtection="1"/>
    <xf numFmtId="169" fontId="7" fillId="4" borderId="22" xfId="3" applyNumberFormat="1" applyFont="1" applyFill="1" applyBorder="1" applyAlignment="1" applyProtection="1">
      <alignment horizontal="center"/>
    </xf>
    <xf numFmtId="169" fontId="7" fillId="4" borderId="22" xfId="3" applyNumberFormat="1" applyFont="1" applyFill="1" applyBorder="1" applyAlignment="1" applyProtection="1">
      <alignment horizontal="center"/>
    </xf>
    <xf numFmtId="169" fontId="7" fillId="4" borderId="20" xfId="3" applyNumberFormat="1" applyFont="1" applyFill="1" applyBorder="1" applyAlignment="1" applyProtection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3300"/>
      <color rgb="FFCC99FF"/>
      <color rgb="FFFF6600"/>
      <color rgb="FFCC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" dropStyle="combo" dx="16" fmlaLink="$C$21" fmlaRange="$V$2:$V$5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47625</xdr:rowOff>
        </xdr:from>
        <xdr:to>
          <xdr:col>2</xdr:col>
          <xdr:colOff>0</xdr:colOff>
          <xdr:row>19</xdr:row>
          <xdr:rowOff>152400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287727</xdr:colOff>
      <xdr:row>4</xdr:row>
      <xdr:rowOff>0</xdr:rowOff>
    </xdr:from>
    <xdr:to>
      <xdr:col>3</xdr:col>
      <xdr:colOff>287727</xdr:colOff>
      <xdr:row>31</xdr:row>
      <xdr:rowOff>170391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777" y="1367367"/>
          <a:ext cx="0" cy="6100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%20JRGG\0%20GNP\Productos\Calculadora%20de%20impuestos%202023%20-%202VF.xlsm" TargetMode="External"/><Relationship Id="rId1" Type="http://schemas.openxmlformats.org/officeDocument/2006/relationships/externalLinkPath" Target="file:///D:\0%20JRGG\0%20GNP\Productos\Calculadora%20de%20impuestos%202023%20-%202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CIO"/>
      <sheetName val="límites"/>
      <sheetName val="comprobaciones"/>
      <sheetName val="Cálculo ISR"/>
      <sheetName val="Topes"/>
      <sheetName val="Calculadora de impuestos 2023 -"/>
    </sheetNames>
    <definedNames>
      <definedName name="Listadesplegable2_AlCambiar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2449-BAF1-44D8-9828-12FDD582F9C3}">
  <dimension ref="A1:AA170"/>
  <sheetViews>
    <sheetView tabSelected="1" zoomScale="90" zoomScaleNormal="90" workbookViewId="0">
      <selection activeCell="O18" sqref="O18"/>
    </sheetView>
  </sheetViews>
  <sheetFormatPr baseColWidth="10" defaultRowHeight="14.25" x14ac:dyDescent="0.2"/>
  <cols>
    <col min="1" max="1" width="51.28515625" style="14" customWidth="1"/>
    <col min="2" max="3" width="21.85546875" style="14" customWidth="1"/>
    <col min="4" max="4" width="29" style="14" customWidth="1"/>
    <col min="5" max="5" width="30.7109375" style="14" bestFit="1" customWidth="1"/>
    <col min="6" max="15" width="11.42578125" style="14"/>
    <col min="16" max="16" width="15.28515625" style="14" bestFit="1" customWidth="1"/>
    <col min="17" max="17" width="16.85546875" style="14" customWidth="1"/>
    <col min="18" max="18" width="14.85546875" style="14" bestFit="1" customWidth="1"/>
    <col min="19" max="20" width="11.5703125" style="14" bestFit="1" customWidth="1"/>
    <col min="21" max="21" width="15.85546875" style="14" bestFit="1" customWidth="1"/>
    <col min="22" max="23" width="14.7109375" style="14" customWidth="1"/>
    <col min="24" max="24" width="11.5703125" style="14" bestFit="1" customWidth="1"/>
    <col min="25" max="25" width="11.42578125" style="14"/>
    <col min="26" max="26" width="11.85546875" style="14" bestFit="1" customWidth="1"/>
    <col min="27" max="16384" width="11.42578125" style="14"/>
  </cols>
  <sheetData>
    <row r="1" spans="1:27" ht="20.25" thickBot="1" x14ac:dyDescent="0.3">
      <c r="A1" s="7" t="s">
        <v>43</v>
      </c>
      <c r="B1" s="8"/>
      <c r="C1" s="8"/>
      <c r="D1" s="8"/>
      <c r="E1" s="9"/>
      <c r="F1" s="10"/>
      <c r="G1" s="10"/>
      <c r="H1" s="10"/>
      <c r="I1" s="10"/>
      <c r="J1" s="10"/>
      <c r="K1" s="10"/>
      <c r="L1" s="10"/>
      <c r="M1" s="10"/>
      <c r="N1" s="10"/>
      <c r="O1" s="11"/>
      <c r="P1" s="11"/>
      <c r="Q1" s="11" t="s">
        <v>0</v>
      </c>
      <c r="R1" s="11">
        <v>14200</v>
      </c>
      <c r="S1" s="12" t="s">
        <v>1</v>
      </c>
      <c r="T1" s="12" t="s">
        <v>2</v>
      </c>
      <c r="U1" s="12" t="s">
        <v>3</v>
      </c>
      <c r="V1" s="13" t="s">
        <v>4</v>
      </c>
      <c r="W1" s="12" t="s">
        <v>44</v>
      </c>
      <c r="X1" s="11"/>
      <c r="Y1" s="12" t="s">
        <v>45</v>
      </c>
      <c r="Z1" s="11"/>
      <c r="AA1" s="10"/>
    </row>
    <row r="2" spans="1:27" x14ac:dyDescent="0.2">
      <c r="A2" s="15" t="s">
        <v>46</v>
      </c>
      <c r="B2" s="15"/>
      <c r="C2" s="15"/>
      <c r="D2" s="15"/>
      <c r="E2" s="15"/>
      <c r="F2" s="10"/>
      <c r="G2" s="10"/>
      <c r="H2" s="10"/>
      <c r="I2" s="10"/>
      <c r="J2" s="10"/>
      <c r="K2" s="10"/>
      <c r="L2" s="10"/>
      <c r="M2" s="10"/>
      <c r="N2" s="10"/>
      <c r="O2" s="16" t="s">
        <v>5</v>
      </c>
      <c r="P2" s="16"/>
      <c r="Q2" s="11" t="s">
        <v>6</v>
      </c>
      <c r="R2" s="11">
        <v>12900</v>
      </c>
      <c r="S2" s="17">
        <v>7.0000000000000007E-2</v>
      </c>
      <c r="T2" s="12" t="s">
        <v>7</v>
      </c>
      <c r="U2" s="18">
        <v>152000</v>
      </c>
      <c r="V2" s="13" t="s">
        <v>8</v>
      </c>
      <c r="W2" s="12" t="s">
        <v>9</v>
      </c>
      <c r="X2" s="11"/>
      <c r="Y2" s="18" t="s">
        <v>10</v>
      </c>
      <c r="Z2" s="11"/>
      <c r="AA2" s="10"/>
    </row>
    <row r="3" spans="1:27" ht="15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" t="s">
        <v>11</v>
      </c>
      <c r="P3" s="20">
        <v>45323</v>
      </c>
      <c r="Q3" s="11" t="s">
        <v>12</v>
      </c>
      <c r="R3" s="11">
        <v>19900</v>
      </c>
      <c r="S3" s="21">
        <v>78400</v>
      </c>
      <c r="T3" s="22">
        <v>37844</v>
      </c>
      <c r="U3" s="18">
        <v>152000</v>
      </c>
      <c r="V3" s="23">
        <f>+C8*0.1</f>
        <v>12240</v>
      </c>
      <c r="W3" s="24">
        <f>+C8*0.15</f>
        <v>18360</v>
      </c>
      <c r="X3" s="11"/>
      <c r="Y3" s="18">
        <f>750000*7.9</f>
        <v>5925000</v>
      </c>
      <c r="Z3" s="11"/>
      <c r="AA3" s="10"/>
    </row>
    <row r="4" spans="1:27" ht="24" customHeight="1" x14ac:dyDescent="0.2">
      <c r="A4" s="25" t="s">
        <v>48</v>
      </c>
      <c r="B4" s="26"/>
      <c r="C4" s="2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9" t="s">
        <v>13</v>
      </c>
      <c r="P4" s="20">
        <f ca="1">+TODAY()</f>
        <v>45245</v>
      </c>
      <c r="Q4" s="28" t="s">
        <v>14</v>
      </c>
      <c r="R4" s="28">
        <v>17100</v>
      </c>
      <c r="S4" s="29"/>
      <c r="T4" s="30"/>
      <c r="U4" s="31"/>
      <c r="V4" s="32">
        <f>5*T3</f>
        <v>189220</v>
      </c>
      <c r="W4" s="32">
        <f>5*T3</f>
        <v>189220</v>
      </c>
      <c r="X4" s="28"/>
      <c r="Y4" s="11"/>
      <c r="Z4" s="11"/>
      <c r="AA4" s="10"/>
    </row>
    <row r="5" spans="1:27" ht="24" customHeight="1" x14ac:dyDescent="0.2">
      <c r="A5" s="33" t="s">
        <v>17</v>
      </c>
      <c r="B5" s="34"/>
      <c r="C5" s="5" t="s">
        <v>18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9" t="s">
        <v>15</v>
      </c>
      <c r="P5" s="35">
        <f ca="1">+IF(P4&lt;P3,1,0)</f>
        <v>1</v>
      </c>
      <c r="Q5" s="11" t="s">
        <v>16</v>
      </c>
      <c r="R5" s="11">
        <v>24500</v>
      </c>
      <c r="S5" s="11"/>
      <c r="T5" s="11"/>
      <c r="U5" s="11"/>
      <c r="V5" s="11"/>
      <c r="W5" s="11"/>
      <c r="X5" s="11"/>
      <c r="Y5" s="11"/>
      <c r="Z5" s="11"/>
      <c r="AA5" s="10"/>
    </row>
    <row r="6" spans="1:27" ht="24" customHeight="1" thickBot="1" x14ac:dyDescent="0.25">
      <c r="A6" s="36" t="s">
        <v>35</v>
      </c>
      <c r="B6" s="37"/>
      <c r="C6" s="1">
        <v>120000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0"/>
    </row>
    <row r="7" spans="1:27" ht="26.25" customHeight="1" thickBot="1" x14ac:dyDescent="0.25">
      <c r="A7" s="38" t="s">
        <v>36</v>
      </c>
      <c r="B7" s="39"/>
      <c r="C7" s="1">
        <v>2400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40" t="s">
        <v>71</v>
      </c>
      <c r="Q7" s="41"/>
      <c r="R7" s="41"/>
      <c r="S7" s="41"/>
      <c r="T7" s="41"/>
      <c r="U7" s="41"/>
      <c r="V7" s="41"/>
      <c r="W7" s="42"/>
      <c r="X7" s="11"/>
      <c r="Y7" s="11"/>
      <c r="Z7" s="11"/>
      <c r="AA7" s="10"/>
    </row>
    <row r="8" spans="1:27" ht="27" customHeight="1" thickBot="1" x14ac:dyDescent="0.3">
      <c r="A8" s="43" t="s">
        <v>19</v>
      </c>
      <c r="B8" s="44"/>
      <c r="C8" s="6">
        <f>+C6+C7</f>
        <v>122400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45" t="s">
        <v>55</v>
      </c>
      <c r="Q8" s="46" t="s">
        <v>56</v>
      </c>
      <c r="R8" s="46" t="s">
        <v>57</v>
      </c>
      <c r="S8" s="47" t="s">
        <v>69</v>
      </c>
      <c r="T8" s="40" t="s">
        <v>70</v>
      </c>
      <c r="U8" s="41"/>
      <c r="V8" s="41"/>
      <c r="W8" s="42"/>
      <c r="X8" s="11"/>
      <c r="Y8" s="11"/>
      <c r="Z8" s="11"/>
      <c r="AA8" s="10"/>
    </row>
    <row r="9" spans="1:27" ht="15" customHeight="1" thickBot="1" x14ac:dyDescent="0.25">
      <c r="A9" s="48" t="s">
        <v>34</v>
      </c>
      <c r="B9" s="10"/>
      <c r="C9" s="4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50"/>
      <c r="P9" s="51">
        <v>0.01</v>
      </c>
      <c r="Q9" s="52">
        <v>8952.49</v>
      </c>
      <c r="R9" s="52">
        <v>0</v>
      </c>
      <c r="S9" s="53">
        <v>1.92</v>
      </c>
      <c r="T9" s="54" t="s">
        <v>70</v>
      </c>
      <c r="U9" s="55"/>
      <c r="V9" s="56" t="s">
        <v>74</v>
      </c>
      <c r="W9" s="56" t="s">
        <v>75</v>
      </c>
      <c r="X9" s="11"/>
      <c r="Y9" s="11"/>
      <c r="Z9" s="11"/>
      <c r="AA9" s="10"/>
    </row>
    <row r="10" spans="1:27" ht="15" customHeight="1" thickBot="1" x14ac:dyDescent="0.25">
      <c r="A10" s="57" t="s">
        <v>37</v>
      </c>
      <c r="B10" s="58"/>
      <c r="C10" s="5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0"/>
      <c r="P10" s="51">
        <v>8952.5</v>
      </c>
      <c r="Q10" s="52">
        <v>75984.55</v>
      </c>
      <c r="R10" s="52">
        <v>171.88</v>
      </c>
      <c r="S10" s="53">
        <v>6.4</v>
      </c>
      <c r="T10" s="60" t="s">
        <v>59</v>
      </c>
      <c r="U10" s="61">
        <f>+C8</f>
        <v>122400</v>
      </c>
      <c r="V10" s="62">
        <f>+U10-D44</f>
        <v>104040</v>
      </c>
      <c r="W10" s="62">
        <f>+U10-E44</f>
        <v>91800</v>
      </c>
      <c r="X10" s="11"/>
      <c r="Y10" s="11"/>
      <c r="Z10" s="11"/>
      <c r="AA10" s="10"/>
    </row>
    <row r="11" spans="1:27" ht="27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0"/>
      <c r="P11" s="51">
        <v>75984.56</v>
      </c>
      <c r="Q11" s="52">
        <v>133536.07</v>
      </c>
      <c r="R11" s="52">
        <v>4461.9399999999996</v>
      </c>
      <c r="S11" s="53">
        <v>10.88</v>
      </c>
      <c r="T11" s="63" t="s">
        <v>60</v>
      </c>
      <c r="U11" s="62">
        <f>VLOOKUP($U$10,$P$9:$S$19,1)</f>
        <v>75984.56</v>
      </c>
      <c r="V11" s="62">
        <f>VLOOKUP($V$10,$P$9:$S$19,1)</f>
        <v>75984.56</v>
      </c>
      <c r="W11" s="62">
        <f>VLOOKUP($W$10,$P$9:$S$19,1)</f>
        <v>75984.56</v>
      </c>
      <c r="X11" s="11"/>
      <c r="Y11" s="11"/>
      <c r="Z11" s="11"/>
      <c r="AA11" s="10"/>
    </row>
    <row r="12" spans="1:27" ht="24" customHeight="1" x14ac:dyDescent="0.2">
      <c r="A12" s="64" t="s">
        <v>49</v>
      </c>
      <c r="B12" s="65"/>
      <c r="C12" s="6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50"/>
      <c r="P12" s="51">
        <v>133536.07999999999</v>
      </c>
      <c r="Q12" s="52">
        <v>155229.79999999999</v>
      </c>
      <c r="R12" s="52">
        <v>10723.55</v>
      </c>
      <c r="S12" s="53">
        <v>16</v>
      </c>
      <c r="T12" s="63" t="s">
        <v>61</v>
      </c>
      <c r="U12" s="62">
        <f>+U10-U11</f>
        <v>46415.44</v>
      </c>
      <c r="V12" s="62">
        <f>+V10-V11</f>
        <v>28055.440000000002</v>
      </c>
      <c r="W12" s="62">
        <f>+W10-W11</f>
        <v>15815.440000000002</v>
      </c>
      <c r="X12" s="11"/>
      <c r="Y12" s="11"/>
      <c r="Z12" s="11"/>
      <c r="AA12" s="10"/>
    </row>
    <row r="13" spans="1:27" ht="24" customHeight="1" x14ac:dyDescent="0.2">
      <c r="A13" s="67" t="s">
        <v>17</v>
      </c>
      <c r="B13" s="68" t="s">
        <v>18</v>
      </c>
      <c r="C13" s="69" t="s">
        <v>38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50"/>
      <c r="P13" s="51">
        <v>155229.81</v>
      </c>
      <c r="Q13" s="52">
        <v>185852.57</v>
      </c>
      <c r="R13" s="52">
        <v>14194.54</v>
      </c>
      <c r="S13" s="53">
        <v>17.920000000000002</v>
      </c>
      <c r="T13" s="63" t="s">
        <v>62</v>
      </c>
      <c r="U13" s="62">
        <f>VLOOKUP($U$11,$P$9:$S$19,4)</f>
        <v>10.88</v>
      </c>
      <c r="V13" s="62">
        <f>VLOOKUP($V$11,$P$9:$S$19,4)</f>
        <v>10.88</v>
      </c>
      <c r="W13" s="62">
        <f>VLOOKUP($W$11,$P$9:$S$19,4)</f>
        <v>10.88</v>
      </c>
      <c r="X13" s="11"/>
      <c r="Y13" s="11"/>
      <c r="Z13" s="11"/>
      <c r="AA13" s="10"/>
    </row>
    <row r="14" spans="1:27" ht="24" customHeight="1" x14ac:dyDescent="0.2">
      <c r="A14" s="70" t="s">
        <v>39</v>
      </c>
      <c r="B14" s="2">
        <v>3000</v>
      </c>
      <c r="C14" s="71">
        <f>+B14</f>
        <v>3000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50"/>
      <c r="P14" s="51">
        <v>185852.58</v>
      </c>
      <c r="Q14" s="52">
        <v>374837.88</v>
      </c>
      <c r="R14" s="52">
        <v>19682.13</v>
      </c>
      <c r="S14" s="53">
        <v>21.36</v>
      </c>
      <c r="T14" s="63" t="s">
        <v>63</v>
      </c>
      <c r="U14" s="62">
        <f>U12*(U13/100)</f>
        <v>5049.9998720000003</v>
      </c>
      <c r="V14" s="62">
        <f>V12*(V13/100)</f>
        <v>3052.4318720000006</v>
      </c>
      <c r="W14" s="62">
        <f>W12*(W13/100)</f>
        <v>1720.7198720000004</v>
      </c>
      <c r="X14" s="11"/>
      <c r="Y14" s="11"/>
      <c r="Z14" s="11"/>
      <c r="AA14" s="10"/>
    </row>
    <row r="15" spans="1:27" ht="24" customHeight="1" x14ac:dyDescent="0.2">
      <c r="A15" s="72" t="s">
        <v>1</v>
      </c>
      <c r="B15" s="2">
        <v>500</v>
      </c>
      <c r="C15" s="73">
        <f>+IF($B$15="",0,IF($B$15&gt;$R$3,$R$3,$B$15))</f>
        <v>500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50"/>
      <c r="P15" s="51">
        <v>374837.89</v>
      </c>
      <c r="Q15" s="52">
        <v>590795.99</v>
      </c>
      <c r="R15" s="52">
        <v>60049.4</v>
      </c>
      <c r="S15" s="53">
        <v>23.52</v>
      </c>
      <c r="T15" s="63" t="s">
        <v>64</v>
      </c>
      <c r="U15" s="62">
        <f>VLOOKUP($U$11,$P$9:$S$19,3)</f>
        <v>4461.9399999999996</v>
      </c>
      <c r="V15" s="62">
        <f>VLOOKUP($V$11,$P$9:$S$19,3)</f>
        <v>4461.9399999999996</v>
      </c>
      <c r="W15" s="62">
        <f>VLOOKUP($W$11,$P$9:$S$19,3)</f>
        <v>4461.9399999999996</v>
      </c>
      <c r="X15" s="11"/>
      <c r="Y15" s="11"/>
      <c r="Z15" s="11"/>
      <c r="AA15" s="10"/>
    </row>
    <row r="16" spans="1:27" ht="24" customHeight="1" x14ac:dyDescent="0.2">
      <c r="A16" s="72" t="s">
        <v>40</v>
      </c>
      <c r="B16" s="2"/>
      <c r="C16" s="73">
        <f>+IF($B$16="",0,IF($B$16&gt;$Q$3,$Q$3,$B$16))</f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50"/>
      <c r="P16" s="51">
        <v>590796</v>
      </c>
      <c r="Q16" s="52">
        <v>1127926.8400000001</v>
      </c>
      <c r="R16" s="52">
        <v>110842.74</v>
      </c>
      <c r="S16" s="53">
        <v>30</v>
      </c>
      <c r="T16" s="63" t="s">
        <v>65</v>
      </c>
      <c r="U16" s="62">
        <f>+U15+U14</f>
        <v>9511.939871999999</v>
      </c>
      <c r="V16" s="62">
        <f>+V15+V14</f>
        <v>7514.3718719999997</v>
      </c>
      <c r="W16" s="62">
        <f>+W15+W14</f>
        <v>6182.6598720000002</v>
      </c>
      <c r="X16" s="11"/>
      <c r="Y16" s="11"/>
      <c r="Z16" s="11"/>
      <c r="AA16" s="10"/>
    </row>
    <row r="17" spans="1:27" ht="24" customHeight="1" x14ac:dyDescent="0.2">
      <c r="A17" s="70" t="s">
        <v>41</v>
      </c>
      <c r="B17" s="2"/>
      <c r="C17" s="74">
        <f>+IF($B$17="",0,IF($B$17&gt;$X$3,$X$3,$B$17))</f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50"/>
      <c r="P17" s="51">
        <v>1127926.8500000001</v>
      </c>
      <c r="Q17" s="52">
        <v>1503902.46</v>
      </c>
      <c r="R17" s="52">
        <v>271981.99</v>
      </c>
      <c r="S17" s="53">
        <v>32</v>
      </c>
      <c r="T17" s="63" t="s">
        <v>66</v>
      </c>
      <c r="U17" s="62">
        <v>0</v>
      </c>
      <c r="V17" s="62">
        <v>0</v>
      </c>
      <c r="W17" s="62">
        <v>0</v>
      </c>
      <c r="X17" s="11"/>
      <c r="Y17" s="11"/>
      <c r="Z17" s="11"/>
      <c r="AA17" s="10"/>
    </row>
    <row r="18" spans="1:27" ht="24" customHeight="1" x14ac:dyDescent="0.2">
      <c r="A18" s="72" t="s">
        <v>42</v>
      </c>
      <c r="B18" s="2">
        <v>7000</v>
      </c>
      <c r="C18" s="75">
        <f>+B18</f>
        <v>7000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50"/>
      <c r="P18" s="51">
        <v>1503902.47</v>
      </c>
      <c r="Q18" s="52">
        <v>4511707.37</v>
      </c>
      <c r="R18" s="52">
        <v>392294.17</v>
      </c>
      <c r="S18" s="53">
        <v>34</v>
      </c>
      <c r="T18" s="63" t="s">
        <v>67</v>
      </c>
      <c r="U18" s="62">
        <f>+U16-U17</f>
        <v>9511.939871999999</v>
      </c>
      <c r="V18" s="62">
        <f>+V16-V17</f>
        <v>7514.3718719999997</v>
      </c>
      <c r="W18" s="62">
        <f>+W16-W17</f>
        <v>6182.6598720000002</v>
      </c>
      <c r="X18" s="11"/>
      <c r="Y18" s="11"/>
      <c r="Z18" s="11"/>
      <c r="AA18" s="10"/>
    </row>
    <row r="19" spans="1:27" ht="24" customHeight="1" thickBot="1" x14ac:dyDescent="0.25">
      <c r="A19" s="72" t="s">
        <v>50</v>
      </c>
      <c r="B19" s="2"/>
      <c r="C19" s="75">
        <f>+B19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76">
        <v>4511707.38</v>
      </c>
      <c r="Q19" s="77" t="s">
        <v>58</v>
      </c>
      <c r="R19" s="77">
        <v>1414947.85</v>
      </c>
      <c r="S19" s="78">
        <v>35</v>
      </c>
      <c r="T19" s="79" t="s">
        <v>68</v>
      </c>
      <c r="U19" s="80">
        <f>+U10-U18</f>
        <v>112888.060128</v>
      </c>
      <c r="V19" s="80">
        <f>+U10-V18</f>
        <v>114885.628128</v>
      </c>
      <c r="W19" s="80">
        <f>+U10-W18</f>
        <v>116217.340128</v>
      </c>
      <c r="X19" s="11"/>
      <c r="Y19" s="11"/>
      <c r="Z19" s="11"/>
      <c r="AA19" s="10"/>
    </row>
    <row r="20" spans="1:27" ht="15.75" customHeight="1" thickBot="1" x14ac:dyDescent="0.25">
      <c r="A20" s="81"/>
      <c r="B20" s="10"/>
      <c r="C20" s="4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0"/>
    </row>
    <row r="21" spans="1:27" ht="30.75" customHeight="1" thickBot="1" x14ac:dyDescent="0.25">
      <c r="A21" s="82" t="s">
        <v>21</v>
      </c>
      <c r="B21" s="83">
        <v>6</v>
      </c>
      <c r="C21" s="84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54" t="s">
        <v>72</v>
      </c>
      <c r="Q21" s="85"/>
      <c r="R21" s="85"/>
      <c r="S21" s="85"/>
      <c r="T21" s="85"/>
      <c r="U21" s="55"/>
      <c r="V21" s="11"/>
      <c r="W21" s="11"/>
      <c r="X21" s="11"/>
      <c r="Y21" s="11"/>
      <c r="Z21" s="11"/>
      <c r="AA21" s="10"/>
    </row>
    <row r="22" spans="1:27" ht="24" customHeight="1" thickBot="1" x14ac:dyDescent="0.25">
      <c r="A22" s="86" t="s">
        <v>22</v>
      </c>
      <c r="B22" s="87" t="s">
        <v>18</v>
      </c>
      <c r="C22" s="88" t="s">
        <v>20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45" t="s">
        <v>55</v>
      </c>
      <c r="Q22" s="46" t="s">
        <v>56</v>
      </c>
      <c r="R22" s="46" t="s">
        <v>57</v>
      </c>
      <c r="S22" s="47" t="s">
        <v>69</v>
      </c>
      <c r="T22" s="40" t="s">
        <v>70</v>
      </c>
      <c r="U22" s="42"/>
      <c r="V22" s="11"/>
      <c r="W22" s="11"/>
      <c r="X22" s="11"/>
      <c r="Y22" s="11"/>
      <c r="Z22" s="11"/>
      <c r="AA22" s="10"/>
    </row>
    <row r="23" spans="1:27" ht="24" customHeight="1" x14ac:dyDescent="0.2">
      <c r="A23" s="3" t="s">
        <v>6</v>
      </c>
      <c r="B23" s="4">
        <v>18000</v>
      </c>
      <c r="C23" s="89">
        <f>+IF(B23="","",IF(AND(A23="Preescolar",B23&gt;$R$1),$R$1,IF(AND(A23="Primaria",B23&gt;$R$2),$R$2,IF(AND(A23="Secundaria",B23&gt;$R$3),$R$3,IF(AND(A23="Profesional técnico",B23&gt;$R$4),$R$4,IF(AND(A23="Bachillerato",B23&gt;$R$5),$R$5,B23))))))</f>
        <v>12900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51">
        <v>0.01</v>
      </c>
      <c r="Q23" s="52">
        <v>746.04</v>
      </c>
      <c r="R23" s="52">
        <v>0</v>
      </c>
      <c r="S23" s="53">
        <v>1.92</v>
      </c>
      <c r="T23" s="60" t="s">
        <v>59</v>
      </c>
      <c r="U23" s="61">
        <f>+C8/12</f>
        <v>10200</v>
      </c>
      <c r="V23" s="11"/>
      <c r="W23" s="11"/>
      <c r="X23" s="11"/>
      <c r="Y23" s="11"/>
      <c r="Z23" s="11"/>
      <c r="AA23" s="10"/>
    </row>
    <row r="24" spans="1:27" ht="24" customHeight="1" x14ac:dyDescent="0.2">
      <c r="A24" s="3" t="s">
        <v>12</v>
      </c>
      <c r="B24" s="4">
        <v>24000</v>
      </c>
      <c r="C24" s="89">
        <f>+IF(B24="","",IF(AND(A24="Preescolar",B24&gt;$R$1),$R$1,IF(AND(A24="Primaria",B24&gt;$R$2),$R$2,IF(AND(A24="Secundaria",B24&gt;$R$3),$R$3,IF(AND(A24="Profesional técnico",B24&gt;$R$4),$R$4,IF(AND(A24="Bachillerato",B24&gt;$R$5),$R$5,B24))))))</f>
        <v>19900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51">
        <v>746.05</v>
      </c>
      <c r="Q24" s="52">
        <v>6332.05</v>
      </c>
      <c r="R24" s="52">
        <v>14.32</v>
      </c>
      <c r="S24" s="53">
        <v>6.4</v>
      </c>
      <c r="T24" s="63" t="s">
        <v>60</v>
      </c>
      <c r="U24" s="62">
        <f>VLOOKUP($U$23,$P$23:$S$33,1)</f>
        <v>6332.06</v>
      </c>
      <c r="V24" s="11"/>
      <c r="W24" s="11"/>
      <c r="X24" s="11"/>
      <c r="Y24" s="11"/>
      <c r="Z24" s="11"/>
      <c r="AA24" s="10"/>
    </row>
    <row r="25" spans="1:27" ht="24" customHeight="1" x14ac:dyDescent="0.2">
      <c r="A25" s="3"/>
      <c r="B25" s="4"/>
      <c r="C25" s="89" t="str">
        <f>+IF(B25="","",IF(AND(A25="Preescolar",B25&gt;$R$1),$R$1,IF(AND(A25="Primaria",B25&gt;$R$2),$R$2,IF(AND(A25="Secundaria",B25&gt;$R$3),$R$3,IF(AND(A25="Profesional técnico",B25&gt;$R$4),$R$4,IF(AND(A25="Bachillerato",B25&gt;$R$5),$R$5,B25))))))</f>
        <v/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51">
        <v>6332.06</v>
      </c>
      <c r="Q25" s="52">
        <v>11128.01</v>
      </c>
      <c r="R25" s="52">
        <v>371.83</v>
      </c>
      <c r="S25" s="53">
        <v>10.88</v>
      </c>
      <c r="T25" s="63" t="s">
        <v>61</v>
      </c>
      <c r="U25" s="62">
        <f>+U23-U24</f>
        <v>3867.9399999999996</v>
      </c>
      <c r="V25" s="11"/>
      <c r="W25" s="11"/>
      <c r="X25" s="11"/>
      <c r="Y25" s="11"/>
      <c r="Z25" s="11"/>
      <c r="AA25" s="10"/>
    </row>
    <row r="26" spans="1:27" ht="24" customHeight="1" x14ac:dyDescent="0.2">
      <c r="A26" s="3"/>
      <c r="B26" s="4"/>
      <c r="C26" s="89" t="str">
        <f>+IF(B26="","",IF(AND(A26="Preescolar",B26&gt;$R$1),$R$1,IF(AND(A26="Primaria",B26&gt;$R$2),$R$2,IF(AND(A26="Secundaria",B26&gt;$R$3),$R$3,IF(AND(A26="Profesional técnico",B26&gt;$R$4),$R$4,IF(AND(A26="Bachillerato",B26&gt;$R$5),$R$5,B26))))))</f>
        <v/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51">
        <v>11128.02</v>
      </c>
      <c r="Q26" s="52">
        <v>12935.82</v>
      </c>
      <c r="R26" s="52">
        <v>893.63</v>
      </c>
      <c r="S26" s="53">
        <v>16</v>
      </c>
      <c r="T26" s="63" t="s">
        <v>62</v>
      </c>
      <c r="U26" s="62">
        <f>VLOOKUP($U$24,$P$23:$S$33,4)</f>
        <v>10.88</v>
      </c>
      <c r="V26" s="11"/>
      <c r="W26" s="11"/>
      <c r="X26" s="11"/>
      <c r="Y26" s="11"/>
      <c r="Z26" s="11"/>
      <c r="AA26" s="10"/>
    </row>
    <row r="27" spans="1:27" ht="24" customHeight="1" x14ac:dyDescent="0.2">
      <c r="A27" s="3"/>
      <c r="B27" s="4"/>
      <c r="C27" s="89" t="str">
        <f>+IF(B27="","",IF(AND(A27="Preescolar",B27&gt;$R$1),$R$1,IF(AND(A27="Primaria",B27&gt;$R$2),$R$2,IF(AND(A27="Secundaria",B27&gt;$R$3),$R$3,IF(AND(A27="Profesional técnico",B27&gt;$R$4),$R$4,IF(AND(A27="Bachillerato",B27&gt;$R$5),$R$5,B27))))))</f>
        <v/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51">
        <v>12935.83</v>
      </c>
      <c r="Q27" s="52">
        <v>15487.71</v>
      </c>
      <c r="R27" s="52">
        <v>1182.8800000000001</v>
      </c>
      <c r="S27" s="53">
        <v>17.920000000000002</v>
      </c>
      <c r="T27" s="63" t="s">
        <v>63</v>
      </c>
      <c r="U27" s="62">
        <f>U25*(U26/100)</f>
        <v>420.83187199999998</v>
      </c>
      <c r="V27" s="11"/>
      <c r="W27" s="11"/>
      <c r="X27" s="11"/>
      <c r="Y27" s="11"/>
      <c r="Z27" s="11"/>
      <c r="AA27" s="10"/>
    </row>
    <row r="28" spans="1:27" ht="24" customHeight="1" x14ac:dyDescent="0.2">
      <c r="A28" s="90" t="s">
        <v>23</v>
      </c>
      <c r="B28" s="91">
        <f>SUM(B23:B27)</f>
        <v>42000</v>
      </c>
      <c r="C28" s="92">
        <f>SUM(C23:C27)</f>
        <v>32800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51">
        <v>15487.72</v>
      </c>
      <c r="Q28" s="52">
        <v>31236.49</v>
      </c>
      <c r="R28" s="52">
        <v>1640.18</v>
      </c>
      <c r="S28" s="53">
        <v>21.36</v>
      </c>
      <c r="T28" s="63" t="s">
        <v>64</v>
      </c>
      <c r="U28" s="62">
        <f>VLOOKUP($U$24,$P$23:$S$33,3)</f>
        <v>371.83</v>
      </c>
      <c r="V28" s="11"/>
      <c r="W28" s="11"/>
      <c r="X28" s="11"/>
      <c r="Y28" s="11"/>
      <c r="Z28" s="11"/>
      <c r="AA28" s="10"/>
    </row>
    <row r="29" spans="1:27" x14ac:dyDescent="0.2">
      <c r="A29" s="81"/>
      <c r="B29" s="10"/>
      <c r="C29" s="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51">
        <v>31236.5</v>
      </c>
      <c r="Q29" s="52">
        <v>49233</v>
      </c>
      <c r="R29" s="52">
        <v>5004.12</v>
      </c>
      <c r="S29" s="53">
        <v>23.52</v>
      </c>
      <c r="T29" s="63" t="s">
        <v>65</v>
      </c>
      <c r="U29" s="62">
        <f>+U28+U27</f>
        <v>792.6618719999999</v>
      </c>
      <c r="V29" s="11"/>
      <c r="W29" s="11"/>
      <c r="X29" s="11"/>
      <c r="Y29" s="11"/>
      <c r="Z29" s="11"/>
      <c r="AA29" s="10"/>
    </row>
    <row r="30" spans="1:27" ht="24" customHeight="1" thickBot="1" x14ac:dyDescent="0.3">
      <c r="A30" s="93" t="s">
        <v>47</v>
      </c>
      <c r="B30" s="94"/>
      <c r="C30" s="95">
        <f>+IF((SUM($C14:$C19)+C28)&gt;$W$3,$W$3,(SUM($C$14:$C$19)+C28))</f>
        <v>18360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51">
        <v>49233.01</v>
      </c>
      <c r="Q30" s="52">
        <v>93993.9</v>
      </c>
      <c r="R30" s="52">
        <v>9236.89</v>
      </c>
      <c r="S30" s="53">
        <v>30</v>
      </c>
      <c r="T30" s="63" t="s">
        <v>66</v>
      </c>
      <c r="U30" s="62">
        <v>0</v>
      </c>
      <c r="V30" s="11"/>
      <c r="W30" s="11"/>
      <c r="X30" s="11"/>
      <c r="Y30" s="11"/>
      <c r="Z30" s="11"/>
      <c r="AA30" s="10"/>
    </row>
    <row r="31" spans="1:27" ht="29.2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51">
        <v>93993.91</v>
      </c>
      <c r="Q31" s="52">
        <v>125325.2</v>
      </c>
      <c r="R31" s="52">
        <v>22665.17</v>
      </c>
      <c r="S31" s="53">
        <v>32</v>
      </c>
      <c r="T31" s="63" t="s">
        <v>67</v>
      </c>
      <c r="U31" s="62">
        <f>+U29-U30</f>
        <v>792.6618719999999</v>
      </c>
      <c r="V31" s="11"/>
      <c r="W31" s="11"/>
      <c r="X31" s="11"/>
      <c r="Y31" s="11"/>
      <c r="Z31" s="11"/>
      <c r="AA31" s="10"/>
    </row>
    <row r="32" spans="1:27" ht="24" customHeight="1" thickBot="1" x14ac:dyDescent="0.25">
      <c r="A32" s="96" t="s">
        <v>51</v>
      </c>
      <c r="B32" s="96"/>
      <c r="C32" s="9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51">
        <v>125325.21</v>
      </c>
      <c r="Q32" s="52">
        <v>375975.61</v>
      </c>
      <c r="R32" s="52">
        <v>32691.18</v>
      </c>
      <c r="S32" s="53">
        <v>34</v>
      </c>
      <c r="T32" s="79" t="s">
        <v>68</v>
      </c>
      <c r="U32" s="80">
        <f>+U23-U31</f>
        <v>9407.3381279999994</v>
      </c>
      <c r="V32" s="11"/>
      <c r="W32" s="11"/>
      <c r="X32" s="11"/>
      <c r="Y32" s="11"/>
      <c r="Z32" s="11"/>
      <c r="AA32" s="10"/>
    </row>
    <row r="33" spans="1:27" ht="24" customHeight="1" thickBot="1" x14ac:dyDescent="0.25">
      <c r="A33" s="97" t="s">
        <v>17</v>
      </c>
      <c r="B33" s="97" t="s">
        <v>18</v>
      </c>
      <c r="C33" s="97" t="s">
        <v>20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76">
        <v>375975.62</v>
      </c>
      <c r="Q33" s="77" t="s">
        <v>58</v>
      </c>
      <c r="R33" s="77">
        <v>117912.32000000001</v>
      </c>
      <c r="S33" s="78">
        <v>35</v>
      </c>
      <c r="T33" s="11"/>
      <c r="U33" s="11"/>
      <c r="V33" s="11"/>
      <c r="W33" s="11"/>
      <c r="X33" s="11"/>
      <c r="Y33" s="11"/>
      <c r="Z33" s="11"/>
      <c r="AA33" s="10"/>
    </row>
    <row r="34" spans="1:27" ht="30" x14ac:dyDescent="0.2">
      <c r="A34" s="98" t="s">
        <v>52</v>
      </c>
      <c r="B34" s="2">
        <v>0</v>
      </c>
      <c r="C34" s="99">
        <f>+IF($B$34="",0,IF($B$34&gt;$U$3,$U$3,$B$34))</f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45" x14ac:dyDescent="0.2">
      <c r="A35" s="100" t="s">
        <v>53</v>
      </c>
      <c r="B35" s="2">
        <v>12500</v>
      </c>
      <c r="C35" s="101">
        <f>+IF($B$35="",0,IF($B$35&gt;$V$3,$V$3,IF($B$35&gt;$V$4,$V$4,$B$35)))</f>
        <v>12240</v>
      </c>
      <c r="D35" s="10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24" customHeight="1" x14ac:dyDescent="0.25">
      <c r="A36" s="103" t="s">
        <v>24</v>
      </c>
      <c r="B36" s="104"/>
      <c r="C36" s="105">
        <f>+C35+C34</f>
        <v>12240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" customHeigh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" thickBo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24" customHeight="1" thickBot="1" x14ac:dyDescent="0.25">
      <c r="A39" s="106" t="s">
        <v>54</v>
      </c>
      <c r="B39" s="107"/>
      <c r="C39" s="107"/>
      <c r="D39" s="107"/>
      <c r="E39" s="10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33" customHeight="1" x14ac:dyDescent="0.2">
      <c r="A40" s="109" t="s">
        <v>17</v>
      </c>
      <c r="B40" s="110" t="s">
        <v>25</v>
      </c>
      <c r="C40" s="110"/>
      <c r="D40" s="111" t="s">
        <v>26</v>
      </c>
      <c r="E40" s="112" t="s">
        <v>27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24" customHeight="1" x14ac:dyDescent="0.25">
      <c r="A41" s="113" t="s">
        <v>28</v>
      </c>
      <c r="B41" s="114">
        <f>+C8</f>
        <v>122400</v>
      </c>
      <c r="C41" s="114"/>
      <c r="D41" s="115">
        <f>+C8</f>
        <v>122400</v>
      </c>
      <c r="E41" s="116">
        <f>+C8</f>
        <v>122400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24" customHeight="1" x14ac:dyDescent="0.2">
      <c r="A42" s="117" t="s">
        <v>29</v>
      </c>
      <c r="B42" s="118">
        <v>0</v>
      </c>
      <c r="C42" s="118"/>
      <c r="D42" s="119">
        <f>+C30</f>
        <v>18360</v>
      </c>
      <c r="E42" s="120">
        <f>+C30</f>
        <v>18360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24" customHeight="1" x14ac:dyDescent="0.2">
      <c r="A43" s="121" t="s">
        <v>30</v>
      </c>
      <c r="B43" s="122">
        <v>0</v>
      </c>
      <c r="C43" s="122"/>
      <c r="D43" s="123">
        <v>0</v>
      </c>
      <c r="E43" s="124">
        <f>+C36</f>
        <v>12240</v>
      </c>
      <c r="F43" s="12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24" customHeight="1" x14ac:dyDescent="0.25">
      <c r="A44" s="126" t="s">
        <v>31</v>
      </c>
      <c r="B44" s="127">
        <f>+B43+B42</f>
        <v>0</v>
      </c>
      <c r="C44" s="127"/>
      <c r="D44" s="128">
        <f>+D43+D42</f>
        <v>18360</v>
      </c>
      <c r="E44" s="129">
        <f>+E43+E42</f>
        <v>30600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24" customHeight="1" thickBot="1" x14ac:dyDescent="0.25">
      <c r="A45" s="130" t="s">
        <v>32</v>
      </c>
      <c r="B45" s="131">
        <f>+U18</f>
        <v>9511.939871999999</v>
      </c>
      <c r="C45" s="131"/>
      <c r="D45" s="132">
        <f>+V18</f>
        <v>7514.3718719999997</v>
      </c>
      <c r="E45" s="133">
        <f>+W18</f>
        <v>6182.6598720000002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s="139" customFormat="1" ht="47.25" customHeight="1" x14ac:dyDescent="0.25">
      <c r="A46" s="134" t="s">
        <v>33</v>
      </c>
      <c r="B46" s="135">
        <v>0</v>
      </c>
      <c r="C46" s="135"/>
      <c r="D46" s="136">
        <f>+B45-D45</f>
        <v>1997.5679999999993</v>
      </c>
      <c r="E46" s="137">
        <f>+B45-E45</f>
        <v>3329.2799999999988</v>
      </c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</row>
    <row r="47" spans="1:27" ht="27.75" customHeight="1" thickBot="1" x14ac:dyDescent="0.25">
      <c r="A47" s="140" t="s">
        <v>73</v>
      </c>
      <c r="B47" s="141">
        <f>+B45/B41</f>
        <v>7.7711927058823516E-2</v>
      </c>
      <c r="C47" s="141"/>
      <c r="D47" s="142">
        <f>+D45/D41</f>
        <v>6.1391927058823528E-2</v>
      </c>
      <c r="E47" s="143">
        <f>+E45/E41</f>
        <v>5.0511927058823528E-2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x14ac:dyDescent="0.2"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x14ac:dyDescent="0.2"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x14ac:dyDescent="0.2"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x14ac:dyDescent="0.2"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x14ac:dyDescent="0.2"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x14ac:dyDescent="0.2"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x14ac:dyDescent="0.2"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x14ac:dyDescent="0.2"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x14ac:dyDescent="0.2"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x14ac:dyDescent="0.2"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x14ac:dyDescent="0.2"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x14ac:dyDescent="0.2"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x14ac:dyDescent="0.2"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x14ac:dyDescent="0.2"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x14ac:dyDescent="0.2"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6:27" x14ac:dyDescent="0.2"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6:27" x14ac:dyDescent="0.2"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6:27" x14ac:dyDescent="0.2"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6:27" x14ac:dyDescent="0.2"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6:27" x14ac:dyDescent="0.2"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6:27" x14ac:dyDescent="0.2"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6:27" x14ac:dyDescent="0.2"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6:27" x14ac:dyDescent="0.2"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6:27" x14ac:dyDescent="0.2"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6:27" x14ac:dyDescent="0.2"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6:27" x14ac:dyDescent="0.2"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6:27" x14ac:dyDescent="0.2"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6:27" x14ac:dyDescent="0.2"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6:27" x14ac:dyDescent="0.2"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6:27" x14ac:dyDescent="0.2"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6:27" x14ac:dyDescent="0.2"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6:27" x14ac:dyDescent="0.2"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6:27" x14ac:dyDescent="0.2"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6:27" x14ac:dyDescent="0.2"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6:27" x14ac:dyDescent="0.2"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6:27" x14ac:dyDescent="0.2"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6:27" x14ac:dyDescent="0.2"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6:27" x14ac:dyDescent="0.2"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6:27" x14ac:dyDescent="0.2"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6:27" x14ac:dyDescent="0.2"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6:27" x14ac:dyDescent="0.2"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6:27" x14ac:dyDescent="0.2"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6:27" x14ac:dyDescent="0.2"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6:27" x14ac:dyDescent="0.2"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6:27" x14ac:dyDescent="0.2"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6:27" x14ac:dyDescent="0.2"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6:27" x14ac:dyDescent="0.2"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6:17" x14ac:dyDescent="0.2"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6:17" x14ac:dyDescent="0.2"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6:17" x14ac:dyDescent="0.2"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6:17" x14ac:dyDescent="0.2"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6:17" x14ac:dyDescent="0.2"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6:17" x14ac:dyDescent="0.2"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6:17" x14ac:dyDescent="0.2"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6:17" x14ac:dyDescent="0.2"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6:17" x14ac:dyDescent="0.2"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6:17" x14ac:dyDescent="0.2"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6:17" x14ac:dyDescent="0.2"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6:17" x14ac:dyDescent="0.2"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6:17" x14ac:dyDescent="0.2"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6:17" x14ac:dyDescent="0.2"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6:17" x14ac:dyDescent="0.2"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6:17" x14ac:dyDescent="0.2"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6:17" x14ac:dyDescent="0.2"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6:17" x14ac:dyDescent="0.2"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6:17" x14ac:dyDescent="0.2"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6:17" x14ac:dyDescent="0.2"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6:17" x14ac:dyDescent="0.2"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6:17" x14ac:dyDescent="0.2"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6:17" x14ac:dyDescent="0.2"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6:17" x14ac:dyDescent="0.2"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6:17" x14ac:dyDescent="0.2"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6:17" x14ac:dyDescent="0.2"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6:17" x14ac:dyDescent="0.2"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6:17" x14ac:dyDescent="0.2"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6:17" x14ac:dyDescent="0.2"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6:17" x14ac:dyDescent="0.2"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6:17" x14ac:dyDescent="0.2"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6:17" x14ac:dyDescent="0.2"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6:17" x14ac:dyDescent="0.2"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6:17" x14ac:dyDescent="0.2"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6:17" x14ac:dyDescent="0.2"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6:17" x14ac:dyDescent="0.2"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6:17" x14ac:dyDescent="0.2"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6:17" x14ac:dyDescent="0.2"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6:17" x14ac:dyDescent="0.2"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6:17" x14ac:dyDescent="0.2"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6:17" x14ac:dyDescent="0.2"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6:17" x14ac:dyDescent="0.2"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</sheetData>
  <sheetProtection algorithmName="SHA-512" hashValue="GYj3PqFOnajdJ6w4sX2u56nBMVunLNOf4NaF0QHpaNLIjp97X8W9MDEygNHmdD7Hx1uGE/647cezMIsQDxmPzg==" saltValue="Lun5swLbgN1NmqWxZY8N6w==" spinCount="100000" sheet="1" objects="1" scenarios="1"/>
  <mergeCells count="25">
    <mergeCell ref="O2:P2"/>
    <mergeCell ref="B45:C45"/>
    <mergeCell ref="B46:C46"/>
    <mergeCell ref="A1:E1"/>
    <mergeCell ref="A2:E2"/>
    <mergeCell ref="B42:C42"/>
    <mergeCell ref="B43:C43"/>
    <mergeCell ref="B44:C44"/>
    <mergeCell ref="A36:B36"/>
    <mergeCell ref="A39:E39"/>
    <mergeCell ref="B40:C40"/>
    <mergeCell ref="B41:C41"/>
    <mergeCell ref="A12:C12"/>
    <mergeCell ref="A21:B21"/>
    <mergeCell ref="A30:B30"/>
    <mergeCell ref="A32:C32"/>
    <mergeCell ref="B47:C47"/>
    <mergeCell ref="P7:W7"/>
    <mergeCell ref="T22:U22"/>
    <mergeCell ref="T8:W8"/>
    <mergeCell ref="A4:C4"/>
    <mergeCell ref="A5:B5"/>
    <mergeCell ref="A6:B6"/>
    <mergeCell ref="A7:B7"/>
    <mergeCell ref="A8:B8"/>
  </mergeCells>
  <dataValidations count="2">
    <dataValidation type="list" allowBlank="1" showInputMessage="1" showErrorMessage="1" sqref="A23:A26" xr:uid="{C757B0B6-A8F0-4D7E-8FC6-AF19A19311B3}">
      <formula1>$Q$1:$Q$5</formula1>
    </dataValidation>
    <dataValidation type="list" allowBlank="1" showInputMessage="1" showErrorMessage="1" sqref="A27" xr:uid="{2DE873AF-4269-4416-884C-24F89471A137}">
      <formula1>#REF!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 macro="[1]!Listadesplegable2_AlCambiar">
                <anchor moveWithCells="1">
                  <from>
                    <xdr:col>2</xdr:col>
                    <xdr:colOff>0</xdr:colOff>
                    <xdr:row>19</xdr:row>
                    <xdr:rowOff>47625</xdr:rowOff>
                  </from>
                  <to>
                    <xdr:col>2</xdr:col>
                    <xdr:colOff>0</xdr:colOff>
                    <xdr:row>19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Galindo</dc:creator>
  <cp:lastModifiedBy>Raul Galindo</cp:lastModifiedBy>
  <dcterms:created xsi:type="dcterms:W3CDTF">2023-11-15T01:19:30Z</dcterms:created>
  <dcterms:modified xsi:type="dcterms:W3CDTF">2023-11-15T06:09:32Z</dcterms:modified>
</cp:coreProperties>
</file>