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DUN\Downloads\"/>
    </mc:Choice>
  </mc:AlternateContent>
  <xr:revisionPtr revIDLastSave="0" documentId="8_{9CF9B442-0DC1-4E09-9F0D-4B1D000E0904}" xr6:coauthVersionLast="41" xr6:coauthVersionMax="41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Business Instructions" sheetId="6" r:id="rId1"/>
    <sheet name="Input Business" sheetId="2" r:id="rId2"/>
    <sheet name="Business Price Objectives" sheetId="1" r:id="rId3"/>
    <sheet name="Sheet3" sheetId="3" state="hidden" r:id="rId4"/>
    <sheet name="Marketing Instructions" sheetId="8" r:id="rId5"/>
    <sheet name="Input Marketing" sheetId="5" r:id="rId6"/>
    <sheet name="Driver Trees" sheetId="7" r:id="rId7"/>
    <sheet name="Marketing Objectives" sheetId="4" r:id="rId8"/>
  </sheets>
  <definedNames>
    <definedName name="_xlnm.Print_Area" localSheetId="2">'Business Price Objectives'!$A$3:$V$42</definedName>
  </definedNames>
  <calcPr calcId="181029" concurrentCalc="0"/>
</workbook>
</file>

<file path=xl/calcChain.xml><?xml version="1.0" encoding="utf-8"?>
<calcChain xmlns="http://schemas.openxmlformats.org/spreadsheetml/2006/main">
  <c r="D8" i="5" l="1"/>
  <c r="D12" i="5"/>
  <c r="D16" i="5"/>
  <c r="C12" i="5"/>
  <c r="C16" i="5"/>
  <c r="C13" i="5"/>
  <c r="C17" i="5"/>
  <c r="B22" i="5"/>
  <c r="E22" i="5"/>
  <c r="B23" i="5"/>
  <c r="E23" i="5"/>
  <c r="B24" i="5"/>
  <c r="E24" i="5"/>
  <c r="B25" i="5"/>
  <c r="E25" i="5"/>
  <c r="B21" i="5"/>
  <c r="E21" i="5"/>
  <c r="N14" i="1"/>
  <c r="X6" i="1"/>
  <c r="G23" i="7"/>
  <c r="D13" i="5"/>
  <c r="D17" i="5"/>
  <c r="E17" i="5"/>
  <c r="K27" i="7"/>
  <c r="D18" i="5"/>
  <c r="C18" i="5"/>
  <c r="E18" i="5"/>
  <c r="I27" i="7"/>
  <c r="E16" i="5"/>
  <c r="G27" i="7"/>
  <c r="P37" i="7"/>
  <c r="N37" i="7"/>
  <c r="K34" i="7"/>
  <c r="G34" i="7"/>
  <c r="C34" i="7"/>
  <c r="P38" i="7"/>
  <c r="I37" i="7"/>
  <c r="O34" i="7"/>
  <c r="I34" i="7"/>
  <c r="M30" i="7"/>
  <c r="I30" i="7"/>
  <c r="E30" i="7"/>
  <c r="K26" i="7"/>
  <c r="I26" i="7"/>
  <c r="G26" i="7"/>
  <c r="K25" i="7"/>
  <c r="I25" i="7"/>
  <c r="G25" i="7"/>
  <c r="P16" i="7"/>
  <c r="N16" i="7"/>
  <c r="K13" i="7"/>
  <c r="G13" i="7"/>
  <c r="C13" i="7"/>
  <c r="I16" i="7"/>
  <c r="P17" i="7"/>
  <c r="I13" i="7"/>
  <c r="I9" i="7"/>
  <c r="K5" i="7"/>
  <c r="O13" i="7"/>
  <c r="M9" i="7"/>
  <c r="E9" i="7"/>
  <c r="I5" i="7"/>
  <c r="G5" i="7"/>
  <c r="K4" i="7"/>
  <c r="I4" i="7"/>
  <c r="G4" i="7"/>
  <c r="G2" i="7"/>
  <c r="E5" i="5"/>
  <c r="F5" i="5"/>
  <c r="E6" i="5"/>
  <c r="F6" i="5"/>
  <c r="E7" i="5"/>
  <c r="F7" i="5"/>
  <c r="E8" i="5"/>
  <c r="F8" i="5"/>
  <c r="E9" i="5"/>
  <c r="F9" i="5"/>
  <c r="F10" i="5"/>
  <c r="F18" i="5"/>
  <c r="G10" i="5"/>
  <c r="H10" i="5"/>
  <c r="F26" i="5"/>
  <c r="G9" i="5"/>
  <c r="H9" i="5"/>
  <c r="F25" i="5"/>
  <c r="C25" i="5"/>
  <c r="G8" i="5"/>
  <c r="H8" i="5"/>
  <c r="F24" i="5"/>
  <c r="C24" i="5"/>
  <c r="G7" i="5"/>
  <c r="H7" i="5"/>
  <c r="F23" i="5"/>
  <c r="C23" i="5"/>
  <c r="G6" i="5"/>
  <c r="H6" i="5"/>
  <c r="F22" i="5"/>
  <c r="C22" i="5"/>
  <c r="G5" i="5"/>
  <c r="H5" i="5"/>
  <c r="F21" i="5"/>
  <c r="C21" i="5"/>
  <c r="D14" i="5"/>
  <c r="C14" i="5"/>
  <c r="E14" i="5"/>
  <c r="E13" i="5"/>
  <c r="E12" i="5"/>
  <c r="N8" i="2"/>
  <c r="X30" i="2"/>
  <c r="U30" i="2"/>
  <c r="X29" i="2"/>
  <c r="N10" i="2"/>
  <c r="N9" i="2"/>
  <c r="E13" i="1"/>
  <c r="V37" i="2"/>
  <c r="AK11" i="1"/>
  <c r="AK10" i="1"/>
  <c r="AK9" i="1"/>
  <c r="H38" i="2"/>
  <c r="AD6" i="1"/>
  <c r="K21" i="1"/>
  <c r="K23" i="1"/>
  <c r="X32" i="2"/>
  <c r="X31" i="2"/>
  <c r="X28" i="2"/>
  <c r="U33" i="2"/>
  <c r="U32" i="2"/>
  <c r="U31" i="2"/>
  <c r="U29" i="2"/>
  <c r="U28" i="2"/>
  <c r="Y31" i="2"/>
  <c r="Y29" i="2"/>
  <c r="N11" i="2"/>
  <c r="O6" i="1"/>
  <c r="N17" i="1"/>
  <c r="N15" i="1"/>
  <c r="X23" i="1"/>
  <c r="X21" i="1"/>
  <c r="X22" i="1"/>
  <c r="K20" i="1"/>
  <c r="AE23" i="1"/>
  <c r="AE22" i="1"/>
  <c r="P21" i="1"/>
  <c r="L21" i="1"/>
  <c r="N10" i="1"/>
  <c r="H47" i="2"/>
  <c r="H28" i="2"/>
  <c r="H19" i="2"/>
  <c r="AB9" i="2"/>
  <c r="V15" i="2"/>
  <c r="U15" i="2"/>
  <c r="D10" i="2"/>
  <c r="V17" i="2"/>
  <c r="C10" i="2"/>
  <c r="U17" i="2"/>
  <c r="W17" i="2"/>
  <c r="U9" i="2"/>
  <c r="E8" i="2"/>
  <c r="V18" i="2"/>
  <c r="U18" i="2"/>
  <c r="U8" i="2"/>
  <c r="E9" i="2"/>
  <c r="AB7" i="2"/>
  <c r="V14" i="2"/>
  <c r="W18" i="2"/>
  <c r="U24" i="2"/>
  <c r="V21" i="2"/>
  <c r="B20" i="1"/>
  <c r="U16" i="2"/>
  <c r="U23" i="2"/>
  <c r="U14" i="2"/>
  <c r="Q21" i="1"/>
  <c r="N7" i="1"/>
  <c r="G21" i="1"/>
  <c r="E7" i="1"/>
  <c r="B21" i="1"/>
  <c r="S21" i="1"/>
  <c r="K22" i="1"/>
  <c r="O7" i="1"/>
  <c r="V24" i="2"/>
  <c r="AA17" i="2"/>
  <c r="S23" i="1"/>
  <c r="V19" i="2"/>
  <c r="W19" i="2"/>
  <c r="U7" i="2"/>
  <c r="W14" i="2"/>
  <c r="V16" i="2"/>
  <c r="AA14" i="2"/>
  <c r="G22" i="1"/>
  <c r="Q22" i="1"/>
  <c r="S22" i="1"/>
  <c r="AA16" i="2"/>
  <c r="U25" i="2"/>
  <c r="V25" i="2"/>
  <c r="AA18" i="2"/>
  <c r="U10" i="2"/>
  <c r="V7" i="2"/>
  <c r="W7" i="2"/>
  <c r="V8" i="2"/>
  <c r="W8" i="2"/>
  <c r="AA19" i="2"/>
  <c r="S24" i="1"/>
  <c r="V9" i="2"/>
  <c r="W9" i="2"/>
  <c r="V11" i="2"/>
  <c r="Y6" i="2"/>
  <c r="W10" i="2"/>
  <c r="X9" i="2"/>
  <c r="Y9" i="2"/>
  <c r="Z9" i="2"/>
  <c r="X7" i="2"/>
  <c r="Y7" i="2"/>
  <c r="Z7" i="2"/>
  <c r="X8" i="2"/>
  <c r="Y8" i="2"/>
  <c r="Z8" i="2"/>
  <c r="Z10" i="2"/>
  <c r="X10" i="2"/>
  <c r="Y10" i="2"/>
</calcChain>
</file>

<file path=xl/sharedStrings.xml><?xml version="1.0" encoding="utf-8"?>
<sst xmlns="http://schemas.openxmlformats.org/spreadsheetml/2006/main" count="222" uniqueCount="163">
  <si>
    <t>Revenue</t>
  </si>
  <si>
    <t>Volume</t>
  </si>
  <si>
    <t>% Margin</t>
  </si>
  <si>
    <t>Price/Mix</t>
  </si>
  <si>
    <t>Profit</t>
  </si>
  <si>
    <t>Price /MSU</t>
  </si>
  <si>
    <t>Total Profit</t>
  </si>
  <si>
    <t>Margin Due To Price</t>
  </si>
  <si>
    <t>Margin Due To Cost</t>
  </si>
  <si>
    <t>Business</t>
  </si>
  <si>
    <t>Total Points Margin Change</t>
  </si>
  <si>
    <t>Points Margin</t>
  </si>
  <si>
    <t>Price Change</t>
  </si>
  <si>
    <t>Check</t>
  </si>
  <si>
    <t>Analysis of Change in Profit Due to:</t>
  </si>
  <si>
    <t>Inputs in Red</t>
  </si>
  <si>
    <t>Due to Price/Mix:</t>
  </si>
  <si>
    <t>Costs</t>
  </si>
  <si>
    <t>Costs/MSU</t>
  </si>
  <si>
    <t>Operating Expenses</t>
  </si>
  <si>
    <t>Profit/SU</t>
  </si>
  <si>
    <t>Profit Per SU at old price</t>
  </si>
  <si>
    <t>Profi Per SU at old cost</t>
  </si>
  <si>
    <t>Old Points Margin</t>
  </si>
  <si>
    <t xml:space="preserve">NPM at New Price only </t>
  </si>
  <si>
    <t>NPM @ New Price and Cost</t>
  </si>
  <si>
    <t>% SU Change</t>
  </si>
  <si>
    <t>Key:</t>
  </si>
  <si>
    <t xml:space="preserve">  and price are just means to achieve this end.</t>
  </si>
  <si>
    <t>The most important thing when judging what to</t>
  </si>
  <si>
    <t>do with pricing is to maximize profit.  Its impact on</t>
  </si>
  <si>
    <t>volume and net sales are just means to that end.</t>
  </si>
  <si>
    <t>Only volume counts.  Revenues and profits can fall</t>
  </si>
  <si>
    <t>out from that and will be acceptable if I can hit volume</t>
  </si>
  <si>
    <t>target.</t>
  </si>
  <si>
    <t>2.    % Margin</t>
  </si>
  <si>
    <t>Total Unallocated</t>
  </si>
  <si>
    <t>$ Profit</t>
  </si>
  <si>
    <t>SU Share</t>
  </si>
  <si>
    <t>$ Share</t>
  </si>
  <si>
    <t>do with pricing is to maximize:</t>
  </si>
  <si>
    <t>Business Priorities for Pricing In Planning Period</t>
  </si>
  <si>
    <t>Please allocate points based upon degree of agreement for planning period</t>
  </si>
  <si>
    <t>Max</t>
  </si>
  <si>
    <t>Min</t>
  </si>
  <si>
    <t>Percent Change</t>
  </si>
  <si>
    <t>Points Change</t>
  </si>
  <si>
    <t xml:space="preserve"> Margin</t>
  </si>
  <si>
    <t>Market vs. Business Prioriites</t>
  </si>
  <si>
    <t>Allocate 10 Points Below</t>
  </si>
  <si>
    <t>Allocate 10 points Below</t>
  </si>
  <si>
    <t>Fcst</t>
  </si>
  <si>
    <t>S&amp;OP</t>
  </si>
  <si>
    <t>The most important objective is to maintain/ grow volume share</t>
  </si>
  <si>
    <t>The most important objective is to maintain/ grow dollar share.</t>
  </si>
  <si>
    <t>For Chart</t>
  </si>
  <si>
    <t>List Price</t>
  </si>
  <si>
    <t>Trade</t>
  </si>
  <si>
    <t>Internal Results</t>
  </si>
  <si>
    <t>Max List Price</t>
  </si>
  <si>
    <t>Max Penny Profits</t>
  </si>
  <si>
    <t>Max % Margin</t>
  </si>
  <si>
    <t>Max Volume</t>
  </si>
  <si>
    <t>Will change prices to maximize net sales, volume</t>
  </si>
  <si>
    <t>With regards to my revenue drivers, I am more interested in affecting prices through:</t>
  </si>
  <si>
    <t>1  List Price Changes</t>
  </si>
  <si>
    <t>2  Trade Discount Changes</t>
  </si>
  <si>
    <t>Neither share metric matters as long as I hit my internal goals.</t>
  </si>
  <si>
    <t>1.   $  Profits</t>
  </si>
  <si>
    <t>Max $ Profits</t>
  </si>
  <si>
    <t>Max Gross Sales</t>
  </si>
  <si>
    <t>Mix</t>
  </si>
  <si>
    <t>Price Mechanism Priorities</t>
  </si>
  <si>
    <t>3  Mix</t>
  </si>
  <si>
    <t>Brand X</t>
  </si>
  <si>
    <t>Profit Sub-Priorities</t>
  </si>
  <si>
    <t>The Business Priorities are…..</t>
  </si>
  <si>
    <t>Price will contribute achieving those business priorities primarily through…</t>
  </si>
  <si>
    <t>The primary price mechanisms that will be deployed to achieve these</t>
  </si>
  <si>
    <t>objectives will be….</t>
  </si>
  <si>
    <t>Marketing Objectives</t>
  </si>
  <si>
    <t>Current</t>
  </si>
  <si>
    <t>Desired</t>
  </si>
  <si>
    <t>Penetration</t>
  </si>
  <si>
    <t>Frequency</t>
  </si>
  <si>
    <t>Number of Buyers</t>
  </si>
  <si>
    <t>Qty per Year</t>
  </si>
  <si>
    <t>$/ Occasion</t>
  </si>
  <si>
    <t># of Purchases</t>
  </si>
  <si>
    <t>Volume Per Year</t>
  </si>
  <si>
    <t>$ per Year</t>
  </si>
  <si>
    <t>% Change</t>
  </si>
  <si>
    <t>% Growth</t>
  </si>
  <si>
    <t>Contribution to Growth (with negatives)</t>
  </si>
  <si>
    <t>marketi</t>
  </si>
  <si>
    <t>The Marketing Priorities are…..</t>
  </si>
  <si>
    <t>Price will contribute achieving those marketing objectives primarily through…</t>
  </si>
  <si>
    <t>The primary price mechanisms that will be deployed to achieve these marketing</t>
  </si>
  <si>
    <t>Business Forecast</t>
  </si>
  <si>
    <t>Max Mix</t>
  </si>
  <si>
    <t>Min Discounts</t>
  </si>
  <si>
    <t>Input current year and future year of financial forecast on Input page</t>
  </si>
  <si>
    <t>Input years of forecast (e.g. 2015 and 2016)</t>
  </si>
  <si>
    <t>Revenue, Operating Expense, Volume</t>
  </si>
  <si>
    <t>Exercise 1</t>
  </si>
  <si>
    <t>Exercise 2</t>
  </si>
  <si>
    <t>Exercise 3</t>
  </si>
  <si>
    <t>Exercise 1:  Prioritization of price mechanism to drive volume, revenue, or profit.</t>
  </si>
  <si>
    <t>Exercise 2:  Prioritization of price mechanism to $ profit or % margin</t>
  </si>
  <si>
    <t>Exercise 3 (Optional): Prioritization of price mechanisms to drive revenue</t>
  </si>
  <si>
    <t>Exercise 4:  Prioritization of internal results vs. external share KPIs.</t>
  </si>
  <si>
    <t>Complete chip allocation exercises</t>
  </si>
  <si>
    <t>Steps</t>
  </si>
  <si>
    <t>Do above in a discussion with manaers with PL responsibility to drive consensus and clarity.</t>
  </si>
  <si>
    <t>Review results on Objecives Tab</t>
  </si>
  <si>
    <t>Items in Red Require Inputs</t>
  </si>
  <si>
    <t>Definitions and Assumptions</t>
  </si>
  <si>
    <t>Product</t>
  </si>
  <si>
    <t>Pieces Per Unit =</t>
  </si>
  <si>
    <t>% ACV</t>
  </si>
  <si>
    <t>Currency</t>
  </si>
  <si>
    <t>Average Annual Spend Per Penetrated HH</t>
  </si>
  <si>
    <t>Category Penetration</t>
  </si>
  <si>
    <t>How Often they Buy (Frequency)</t>
  </si>
  <si>
    <t>Average Spend Per Trip</t>
  </si>
  <si>
    <t>Total HHs (MM)</t>
  </si>
  <si>
    <t>Percent</t>
  </si>
  <si>
    <t># of Occasions Per Year</t>
  </si>
  <si>
    <t>Average Px Per Unit</t>
  </si>
  <si>
    <t>Note</t>
  </si>
  <si>
    <t>Units / Trip</t>
  </si>
  <si>
    <t xml:space="preserve">Frequency of Purchase </t>
  </si>
  <si>
    <t>Volume/Occasion</t>
  </si>
  <si>
    <t>US$</t>
  </si>
  <si>
    <t>Net Sales</t>
  </si>
  <si>
    <t>Retailer Margin</t>
  </si>
  <si>
    <t>Internal Operating Margin</t>
  </si>
  <si>
    <t>Intermediary Profit</t>
  </si>
  <si>
    <t xml:space="preserve">Times </t>
  </si>
  <si>
    <t>=       Buyers</t>
  </si>
  <si>
    <t>Purchase Occassions</t>
  </si>
  <si>
    <t xml:space="preserve">       Purchase  Occasions</t>
  </si>
  <si>
    <t xml:space="preserve"> Times</t>
  </si>
  <si>
    <t xml:space="preserve">       Category Size   =</t>
  </si>
  <si>
    <t>Market Population</t>
  </si>
  <si>
    <t>Market popuation -- Buying units in the market (individuals, households,businesses) reachable by the business</t>
  </si>
  <si>
    <t>Penetration -- Based upon the market definition, the % of units that buy at least once in defined time period</t>
  </si>
  <si>
    <t>Frequency -- Number of transasction events per time period</t>
  </si>
  <si>
    <t>Qty per Occasion -- Number of items purchased per occasion</t>
  </si>
  <si>
    <t>Average $ per Unit == Average $ Spent Per Unit Purchased</t>
  </si>
  <si>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elements of driver tree in red on Input Marketing page  (If available, this information could come from panel or internal data)</t>
    </r>
  </si>
  <si>
    <t>Check % change data in Input Marketing Page for accuracy, particularly for aggragated results, such as net revnue.</t>
  </si>
  <si>
    <t>Review aggregated results in driver tree for reasonableness</t>
  </si>
  <si>
    <t>Review analysis of change and spider chart for relative importance of different drivers on Marketing Objectives tab</t>
  </si>
  <si>
    <t>Ave. Units Per Trip</t>
  </si>
  <si>
    <t xml:space="preserve">Volume </t>
  </si>
  <si>
    <t>Year</t>
  </si>
  <si>
    <t>Objectives</t>
  </si>
  <si>
    <t>Operating Profit</t>
  </si>
  <si>
    <t>Price Per Qty</t>
  </si>
  <si>
    <t>Start-Up Company</t>
  </si>
  <si>
    <t>Indicates Priority for Pricing Optimization</t>
  </si>
  <si>
    <t>Qty Per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</si>
</sst>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&quot;$&quot;#,##0"/>
    <numFmt numFmtId="169" formatCode="_(* #,##0.0_);_(* \(#,##0.0\);_(* &quot;-&quot;?_);_(@_)"/>
    <numFmt numFmtId="170" formatCode="_(* #,##0.000_);_(* \(#,##0.000\);_(* &quot;-&quot;??_);_(@_)"/>
    <numFmt numFmtId="171" formatCode="0.0%"/>
    <numFmt numFmtId="172" formatCode="_(&quot;$&quot;* #,##0.0_);_(&quot;$&quot;* \(#,##0.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FDA3"/>
        <bgColor indexed="64"/>
      </patternFill>
    </fill>
    <fill>
      <patternFill patternType="solid">
        <fgColor theme="6" tint="0.3999450666829432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3" applyFont="1"/>
    <xf numFmtId="167" fontId="0" fillId="0" borderId="0" xfId="0" applyNumberFormat="1"/>
    <xf numFmtId="166" fontId="0" fillId="0" borderId="2" xfId="1" applyNumberFormat="1" applyFont="1" applyBorder="1"/>
    <xf numFmtId="166" fontId="0" fillId="0" borderId="3" xfId="1" applyNumberFormat="1" applyFont="1" applyBorder="1"/>
    <xf numFmtId="0" fontId="0" fillId="0" borderId="4" xfId="0" applyBorder="1"/>
    <xf numFmtId="166" fontId="8" fillId="0" borderId="3" xfId="1" applyNumberFormat="1" applyFont="1" applyBorder="1"/>
    <xf numFmtId="43" fontId="0" fillId="0" borderId="0" xfId="1" applyFont="1"/>
    <xf numFmtId="0" fontId="0" fillId="0" borderId="1" xfId="0" applyBorder="1"/>
    <xf numFmtId="0" fontId="7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9" fontId="0" fillId="0" borderId="9" xfId="3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6" fontId="0" fillId="0" borderId="0" xfId="0" applyNumberFormat="1"/>
    <xf numFmtId="166" fontId="0" fillId="0" borderId="0" xfId="1" applyNumberFormat="1" applyFont="1"/>
    <xf numFmtId="0" fontId="6" fillId="0" borderId="11" xfId="0" applyFont="1" applyBorder="1" applyAlignment="1">
      <alignment horizontal="center"/>
    </xf>
    <xf numFmtId="6" fontId="6" fillId="0" borderId="0" xfId="0" applyNumberFormat="1" applyFont="1"/>
    <xf numFmtId="9" fontId="6" fillId="0" borderId="0" xfId="3" applyFont="1"/>
    <xf numFmtId="166" fontId="6" fillId="0" borderId="0" xfId="1" applyNumberFormat="1" applyFont="1"/>
    <xf numFmtId="0" fontId="0" fillId="0" borderId="13" xfId="0" applyBorder="1"/>
    <xf numFmtId="0" fontId="0" fillId="0" borderId="14" xfId="0" applyBorder="1"/>
    <xf numFmtId="9" fontId="0" fillId="0" borderId="14" xfId="3" applyFont="1" applyBorder="1"/>
    <xf numFmtId="0" fontId="0" fillId="0" borderId="15" xfId="0" applyBorder="1"/>
    <xf numFmtId="0" fontId="2" fillId="0" borderId="8" xfId="0" applyFont="1" applyBorder="1"/>
    <xf numFmtId="0" fontId="0" fillId="0" borderId="16" xfId="0" applyBorder="1"/>
    <xf numFmtId="0" fontId="0" fillId="0" borderId="17" xfId="0" applyBorder="1"/>
    <xf numFmtId="9" fontId="0" fillId="0" borderId="18" xfId="3" applyFont="1" applyBorder="1"/>
    <xf numFmtId="0" fontId="3" fillId="0" borderId="11" xfId="0" applyFont="1" applyBorder="1"/>
    <xf numFmtId="0" fontId="6" fillId="0" borderId="8" xfId="0" applyFont="1" applyBorder="1" applyAlignment="1">
      <alignment horizontal="left"/>
    </xf>
    <xf numFmtId="167" fontId="6" fillId="0" borderId="10" xfId="0" applyNumberFormat="1" applyFont="1" applyBorder="1"/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43" fontId="0" fillId="0" borderId="5" xfId="1" applyFont="1" applyBorder="1"/>
    <xf numFmtId="164" fontId="0" fillId="0" borderId="0" xfId="0" applyNumberFormat="1"/>
    <xf numFmtId="8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/>
    <xf numFmtId="169" fontId="10" fillId="0" borderId="0" xfId="0" applyNumberFormat="1" applyFont="1"/>
    <xf numFmtId="43" fontId="10" fillId="0" borderId="0" xfId="0" applyNumberFormat="1" applyFont="1"/>
    <xf numFmtId="169" fontId="11" fillId="0" borderId="0" xfId="0" applyNumberFormat="1" applyFont="1"/>
    <xf numFmtId="0" fontId="12" fillId="0" borderId="0" xfId="0" applyFont="1"/>
    <xf numFmtId="165" fontId="6" fillId="0" borderId="12" xfId="1" applyNumberFormat="1" applyFont="1" applyBorder="1"/>
    <xf numFmtId="165" fontId="0" fillId="0" borderId="15" xfId="1" applyNumberFormat="1" applyFont="1" applyBorder="1"/>
    <xf numFmtId="170" fontId="0" fillId="0" borderId="0" xfId="1" applyNumberFormat="1" applyFont="1"/>
    <xf numFmtId="165" fontId="0" fillId="0" borderId="0" xfId="1" applyNumberFormat="1" applyFont="1"/>
    <xf numFmtId="44" fontId="0" fillId="0" borderId="0" xfId="0" applyNumberFormat="1"/>
    <xf numFmtId="43" fontId="0" fillId="0" borderId="0" xfId="0" applyNumberFormat="1"/>
    <xf numFmtId="8" fontId="0" fillId="0" borderId="0" xfId="1" applyNumberFormat="1" applyFont="1"/>
    <xf numFmtId="165" fontId="0" fillId="0" borderId="0" xfId="0" applyNumberFormat="1"/>
    <xf numFmtId="169" fontId="0" fillId="0" borderId="0" xfId="0" applyNumberFormat="1"/>
    <xf numFmtId="164" fontId="0" fillId="0" borderId="5" xfId="0" applyNumberFormat="1" applyBorder="1"/>
    <xf numFmtId="0" fontId="14" fillId="0" borderId="0" xfId="0" applyFont="1"/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0" borderId="0" xfId="0" applyFont="1"/>
    <xf numFmtId="0" fontId="13" fillId="2" borderId="7" xfId="0" applyFont="1" applyFill="1" applyBorder="1"/>
    <xf numFmtId="0" fontId="0" fillId="0" borderId="12" xfId="0" applyBorder="1" applyAlignment="1">
      <alignment horizontal="left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1" xfId="0" applyFont="1" applyBorder="1"/>
    <xf numFmtId="0" fontId="4" fillId="0" borderId="0" xfId="0" applyFont="1"/>
    <xf numFmtId="0" fontId="6" fillId="0" borderId="8" xfId="0" applyFont="1" applyBorder="1"/>
    <xf numFmtId="0" fontId="0" fillId="0" borderId="9" xfId="0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7" fillId="0" borderId="23" xfId="0" applyFont="1" applyBorder="1"/>
    <xf numFmtId="0" fontId="0" fillId="3" borderId="11" xfId="0" applyFill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0" fillId="3" borderId="13" xfId="0" applyFill="1" applyBorder="1" applyAlignment="1">
      <alignment horizontal="right"/>
    </xf>
    <xf numFmtId="0" fontId="15" fillId="3" borderId="14" xfId="0" applyFont="1" applyFill="1" applyBorder="1" applyAlignment="1">
      <alignment horizontal="center"/>
    </xf>
    <xf numFmtId="0" fontId="0" fillId="3" borderId="5" xfId="0" applyFill="1" applyBorder="1"/>
    <xf numFmtId="0" fontId="0" fillId="3" borderId="20" xfId="0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9" fontId="17" fillId="0" borderId="21" xfId="3" applyFont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0" fontId="19" fillId="0" borderId="25" xfId="0" applyFont="1" applyBorder="1" applyAlignment="1">
      <alignment horizontal="left"/>
    </xf>
    <xf numFmtId="0" fontId="3" fillId="3" borderId="5" xfId="0" applyFont="1" applyFill="1" applyBorder="1"/>
    <xf numFmtId="0" fontId="19" fillId="0" borderId="27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5" fillId="0" borderId="14" xfId="0" applyFont="1" applyBorder="1" applyAlignment="1">
      <alignment horizontal="right"/>
    </xf>
    <xf numFmtId="0" fontId="0" fillId="3" borderId="0" xfId="0" applyFill="1"/>
    <xf numFmtId="0" fontId="0" fillId="3" borderId="9" xfId="0" applyFill="1" applyBorder="1"/>
    <xf numFmtId="0" fontId="0" fillId="3" borderId="14" xfId="0" applyFill="1" applyBorder="1"/>
    <xf numFmtId="0" fontId="0" fillId="3" borderId="8" xfId="0" applyFill="1" applyBorder="1" applyAlignment="1">
      <alignment horizontal="right"/>
    </xf>
    <xf numFmtId="0" fontId="15" fillId="3" borderId="9" xfId="0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26" xfId="0" applyBorder="1" applyAlignment="1">
      <alignment horizontal="left"/>
    </xf>
    <xf numFmtId="0" fontId="0" fillId="0" borderId="20" xfId="0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9" fontId="0" fillId="0" borderId="23" xfId="0" applyNumberFormat="1" applyBorder="1"/>
    <xf numFmtId="9" fontId="0" fillId="0" borderId="25" xfId="0" applyNumberFormat="1" applyBorder="1"/>
    <xf numFmtId="9" fontId="0" fillId="0" borderId="0" xfId="0" applyNumberFormat="1"/>
    <xf numFmtId="9" fontId="0" fillId="0" borderId="18" xfId="0" applyNumberFormat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29" xfId="0" applyBorder="1"/>
    <xf numFmtId="0" fontId="0" fillId="3" borderId="26" xfId="0" applyFill="1" applyBorder="1" applyAlignment="1">
      <alignment horizontal="right"/>
    </xf>
    <xf numFmtId="0" fontId="13" fillId="2" borderId="11" xfId="0" applyFont="1" applyFill="1" applyBorder="1"/>
    <xf numFmtId="0" fontId="13" fillId="0" borderId="7" xfId="0" applyFont="1" applyBorder="1"/>
    <xf numFmtId="0" fontId="13" fillId="0" borderId="11" xfId="0" applyFont="1" applyBorder="1"/>
    <xf numFmtId="43" fontId="12" fillId="0" borderId="0" xfId="1" applyFont="1"/>
    <xf numFmtId="167" fontId="17" fillId="0" borderId="0" xfId="0" applyNumberFormat="1" applyFont="1" applyAlignment="1">
      <alignment horizontal="right"/>
    </xf>
    <xf numFmtId="0" fontId="0" fillId="0" borderId="26" xfId="0" applyBorder="1"/>
    <xf numFmtId="167" fontId="17" fillId="0" borderId="22" xfId="0" applyNumberFormat="1" applyFont="1" applyBorder="1" applyAlignment="1">
      <alignment horizontal="right"/>
    </xf>
    <xf numFmtId="9" fontId="1" fillId="0" borderId="23" xfId="3" applyBorder="1"/>
    <xf numFmtId="0" fontId="0" fillId="0" borderId="25" xfId="0" applyBorder="1" applyAlignment="1">
      <alignment horizontal="center"/>
    </xf>
    <xf numFmtId="0" fontId="5" fillId="0" borderId="20" xfId="0" applyFont="1" applyBorder="1"/>
    <xf numFmtId="171" fontId="0" fillId="0" borderId="24" xfId="3" applyNumberFormat="1" applyFont="1" applyBorder="1"/>
    <xf numFmtId="0" fontId="0" fillId="0" borderId="30" xfId="0" applyBorder="1"/>
    <xf numFmtId="0" fontId="5" fillId="0" borderId="20" xfId="0" applyFont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9" fontId="0" fillId="0" borderId="0" xfId="3" applyFont="1" applyAlignment="1">
      <alignment horizontal="left"/>
    </xf>
    <xf numFmtId="43" fontId="8" fillId="0" borderId="0" xfId="1" applyFont="1"/>
    <xf numFmtId="9" fontId="6" fillId="0" borderId="0" xfId="3" applyFont="1" applyAlignment="1">
      <alignment horizontal="left"/>
    </xf>
    <xf numFmtId="0" fontId="29" fillId="0" borderId="0" xfId="0" applyFont="1"/>
    <xf numFmtId="6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left"/>
    </xf>
    <xf numFmtId="168" fontId="9" fillId="0" borderId="0" xfId="2" applyNumberFormat="1" applyFont="1" applyAlignment="1">
      <alignment horizontal="right"/>
    </xf>
    <xf numFmtId="0" fontId="9" fillId="0" borderId="0" xfId="0" applyFont="1" applyAlignment="1">
      <alignment horizontal="center"/>
    </xf>
    <xf numFmtId="168" fontId="9" fillId="0" borderId="0" xfId="2" applyNumberFormat="1" applyFont="1" applyAlignment="1">
      <alignment horizontal="left"/>
    </xf>
    <xf numFmtId="9" fontId="30" fillId="0" borderId="0" xfId="3" applyFont="1" applyAlignment="1">
      <alignment horizontal="right"/>
    </xf>
    <xf numFmtId="9" fontId="30" fillId="0" borderId="0" xfId="3" applyFont="1" applyAlignment="1">
      <alignment horizontal="left"/>
    </xf>
    <xf numFmtId="0" fontId="31" fillId="0" borderId="0" xfId="0" applyFont="1" applyAlignment="1">
      <alignment horizontal="center"/>
    </xf>
    <xf numFmtId="165" fontId="2" fillId="0" borderId="5" xfId="1" applyNumberFormat="1" applyFont="1" applyBorder="1"/>
    <xf numFmtId="9" fontId="2" fillId="0" borderId="5" xfId="3" applyFont="1" applyBorder="1"/>
    <xf numFmtId="0" fontId="9" fillId="0" borderId="8" xfId="0" applyFont="1" applyBorder="1"/>
    <xf numFmtId="0" fontId="3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/>
    <xf numFmtId="0" fontId="3" fillId="4" borderId="1" xfId="0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3" fillId="5" borderId="33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2" fontId="3" fillId="5" borderId="34" xfId="2" applyNumberFormat="1" applyFont="1" applyFill="1" applyBorder="1" applyAlignment="1">
      <alignment horizontal="center"/>
    </xf>
    <xf numFmtId="2" fontId="3" fillId="5" borderId="4" xfId="2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37" fontId="3" fillId="7" borderId="4" xfId="1" applyNumberFormat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/>
    </xf>
    <xf numFmtId="171" fontId="9" fillId="9" borderId="4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7" fontId="9" fillId="10" borderId="4" xfId="0" applyNumberFormat="1" applyFont="1" applyFill="1" applyBorder="1" applyAlignment="1">
      <alignment horizontal="center" wrapText="1"/>
    </xf>
    <xf numFmtId="7" fontId="3" fillId="10" borderId="4" xfId="0" applyNumberFormat="1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167" fontId="9" fillId="11" borderId="4" xfId="0" applyNumberFormat="1" applyFont="1" applyFill="1" applyBorder="1" applyAlignment="1">
      <alignment horizontal="center" wrapText="1"/>
    </xf>
    <xf numFmtId="39" fontId="9" fillId="11" borderId="4" xfId="1" applyNumberFormat="1" applyFont="1" applyFill="1" applyBorder="1" applyAlignment="1">
      <alignment horizontal="center"/>
    </xf>
    <xf numFmtId="2" fontId="3" fillId="11" borderId="4" xfId="0" applyNumberFormat="1" applyFont="1" applyFill="1" applyBorder="1" applyAlignment="1">
      <alignment horizontal="center" wrapText="1"/>
    </xf>
    <xf numFmtId="7" fontId="3" fillId="11" borderId="4" xfId="0" applyNumberFormat="1" applyFont="1" applyFill="1" applyBorder="1" applyAlignment="1">
      <alignment horizontal="center"/>
    </xf>
    <xf numFmtId="0" fontId="34" fillId="0" borderId="0" xfId="0" applyFont="1"/>
    <xf numFmtId="0" fontId="3" fillId="12" borderId="2" xfId="0" applyFont="1" applyFill="1" applyBorder="1" applyAlignment="1">
      <alignment horizontal="center" wrapText="1"/>
    </xf>
    <xf numFmtId="1" fontId="3" fillId="12" borderId="1" xfId="1" applyNumberFormat="1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wrapText="1"/>
    </xf>
    <xf numFmtId="1" fontId="3" fillId="13" borderId="1" xfId="1" applyNumberFormat="1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9" fontId="9" fillId="4" borderId="32" xfId="0" applyNumberFormat="1" applyFont="1" applyFill="1" applyBorder="1" applyAlignment="1">
      <alignment horizontal="center" wrapText="1"/>
    </xf>
    <xf numFmtId="166" fontId="2" fillId="0" borderId="5" xfId="1" applyNumberFormat="1" applyFont="1" applyBorder="1"/>
    <xf numFmtId="0" fontId="3" fillId="0" borderId="0" xfId="0" quotePrefix="1" applyFont="1" applyAlignment="1">
      <alignment horizontal="right"/>
    </xf>
    <xf numFmtId="166" fontId="33" fillId="0" borderId="0" xfId="1" applyNumberFormat="1" applyFont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172" fontId="2" fillId="0" borderId="35" xfId="2" applyNumberFormat="1" applyFont="1" applyBorder="1" applyAlignment="1">
      <alignment horizontal="right"/>
    </xf>
    <xf numFmtId="167" fontId="2" fillId="0" borderId="36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72" fontId="2" fillId="0" borderId="6" xfId="2" applyNumberFormat="1" applyFont="1" applyBorder="1" applyAlignment="1">
      <alignment horizontal="right"/>
    </xf>
    <xf numFmtId="2" fontId="2" fillId="0" borderId="7" xfId="1" applyNumberFormat="1" applyFont="1" applyBorder="1" applyAlignment="1">
      <alignment horizontal="right"/>
    </xf>
    <xf numFmtId="2" fontId="2" fillId="0" borderId="18" xfId="1" applyNumberFormat="1" applyFont="1" applyBorder="1" applyAlignment="1">
      <alignment horizontal="right"/>
    </xf>
    <xf numFmtId="167" fontId="2" fillId="0" borderId="37" xfId="1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</cellXfs>
  <cellStyles count="212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cat>
            <c:strRef>
              <c:f>'Input Business'!$T$28:$T$33</c:f>
              <c:strCache>
                <c:ptCount val="1"/>
                <c:pt idx="0">
                  <c:v>Max Gross Sales</c:v>
                </c:pt>
              </c:strCache>
            </c:strRef>
          </c:cat>
          <c:val>
            <c:numRef>
              <c:f>'Input Business'!$U$28:$U$33</c:f>
              <c:numCache>
                <c:formatCode>General</c:formatCode>
                <c:ptCount val="1"/>
                <c:pt idx="0">
                  <c:v>0.60000000000000009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633-B589-ED97E782B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0368"/>
        <c:axId val="67820928"/>
      </c:radarChart>
      <c:catAx>
        <c:axId val="678203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7820928"/>
        <c:crosses val="autoZero"/>
        <c:auto val="1"/>
        <c:lblAlgn val="ctr"/>
        <c:lblOffset val="100"/>
        <c:noMultiLvlLbl val="0"/>
      </c:catAx>
      <c:valAx>
        <c:axId val="678209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782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cat>
            <c:strRef>
              <c:f>'Input Business'!$T$7:$T$9</c:f>
              <c:strCache>
                <c:ptCount val="3"/>
                <c:pt idx="0">
                  <c:v>Price/Mix</c:v>
                </c:pt>
                <c:pt idx="1">
                  <c:v>Volume</c:v>
                </c:pt>
                <c:pt idx="2">
                  <c:v>Operating Expenses</c:v>
                </c:pt>
              </c:strCache>
            </c:strRef>
          </c:cat>
          <c:val>
            <c:numRef>
              <c:f>'Input Business'!$Z$7:$Z$9</c:f>
              <c:numCache>
                <c:formatCode>_(* #,##0_);_(* \(#,##0\);_(* "-"??_);_(@_)</c:formatCode>
                <c:ptCount val="3"/>
                <c:pt idx="0">
                  <c:v>7.2727272727272734</c:v>
                </c:pt>
                <c:pt idx="1">
                  <c:v>2.7272727272727275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C-4EA0-B6A0-5C0756C1F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4288"/>
        <c:axId val="67824848"/>
      </c:radarChart>
      <c:catAx>
        <c:axId val="678242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7824848"/>
        <c:crosses val="autoZero"/>
        <c:auto val="1"/>
        <c:lblAlgn val="ctr"/>
        <c:lblOffset val="100"/>
        <c:noMultiLvlLbl val="0"/>
      </c:catAx>
      <c:valAx>
        <c:axId val="67824848"/>
        <c:scaling>
          <c:orientation val="minMax"/>
          <c:max val="10"/>
        </c:scaling>
        <c:delete val="0"/>
        <c:axPos val="l"/>
        <c:majorGridlines/>
        <c:numFmt formatCode="_(* #,##0_);_(* \(#,##0\);_(* &quot;-&quot;??_);_(@_)" sourceLinked="1"/>
        <c:majorTickMark val="cross"/>
        <c:minorTickMark val="none"/>
        <c:tickLblPos val="nextTo"/>
        <c:crossAx val="6782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cat>
            <c:strRef>
              <c:f>'Input Business'!$M$8:$M$10</c:f>
              <c:strCache>
                <c:ptCount val="3"/>
                <c:pt idx="0">
                  <c:v>Revenue</c:v>
                </c:pt>
                <c:pt idx="1">
                  <c:v>Profit</c:v>
                </c:pt>
                <c:pt idx="2">
                  <c:v>Volume</c:v>
                </c:pt>
              </c:strCache>
            </c:strRef>
          </c:cat>
          <c:val>
            <c:numRef>
              <c:f>'Input Business'!$N$8:$N$10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5-412A-A348-9CFD404C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7648"/>
        <c:axId val="67828208"/>
      </c:radarChart>
      <c:catAx>
        <c:axId val="67827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7828208"/>
        <c:crosses val="autoZero"/>
        <c:auto val="1"/>
        <c:lblAlgn val="ctr"/>
        <c:lblOffset val="100"/>
        <c:noMultiLvlLbl val="0"/>
      </c:catAx>
      <c:valAx>
        <c:axId val="678282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782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u="sng"/>
              <a:t>Driver</a:t>
            </a:r>
            <a:r>
              <a:rPr lang="en-US" u="sng" baseline="0"/>
              <a:t> Percent Growth</a:t>
            </a:r>
            <a:endParaRPr lang="en-US" u="sng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Driver Importance</c:v>
          </c:tx>
          <c:invertIfNegative val="0"/>
          <c:cat>
            <c:strRef>
              <c:f>'Input Marketing'!$B$21:$B$25</c:f>
              <c:strCache>
                <c:ptCount val="5"/>
                <c:pt idx="0">
                  <c:v>Market Population</c:v>
                </c:pt>
                <c:pt idx="1">
                  <c:v>Penetration</c:v>
                </c:pt>
                <c:pt idx="2">
                  <c:v>Frequency</c:v>
                </c:pt>
                <c:pt idx="3">
                  <c:v>Qty Per Purchase</c:v>
                </c:pt>
                <c:pt idx="4">
                  <c:v>Price Per Qty</c:v>
                </c:pt>
              </c:strCache>
            </c:strRef>
          </c:cat>
          <c:val>
            <c:numRef>
              <c:f>'Input Marketing'!$C$21:$C$25</c:f>
              <c:numCache>
                <c:formatCode>0%</c:formatCode>
                <c:ptCount val="5"/>
                <c:pt idx="0">
                  <c:v>1.0000000000000009E-2</c:v>
                </c:pt>
                <c:pt idx="1">
                  <c:v>0.16666666666666674</c:v>
                </c:pt>
                <c:pt idx="2">
                  <c:v>0.125</c:v>
                </c:pt>
                <c:pt idx="3">
                  <c:v>-4.0000000000000036E-2</c:v>
                </c:pt>
                <c:pt idx="4">
                  <c:v>4.1666666666666741E-2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F-4091-ACAD-5FB42968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30448"/>
        <c:axId val="67831008"/>
      </c:barChart>
      <c:catAx>
        <c:axId val="678304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7831008"/>
        <c:crosses val="autoZero"/>
        <c:auto val="1"/>
        <c:lblAlgn val="ctr"/>
        <c:lblOffset val="100"/>
        <c:noMultiLvlLbl val="0"/>
      </c:catAx>
      <c:valAx>
        <c:axId val="67831008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6783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u="sng"/>
              <a:t>Driver Growth</a:t>
            </a:r>
            <a:r>
              <a:rPr lang="en-US" u="sng" baseline="0"/>
              <a:t> Importance</a:t>
            </a:r>
            <a:endParaRPr lang="en-US" u="sng"/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'Input Marketing'!$E$21:$E$25</c:f>
              <c:strCache>
                <c:ptCount val="5"/>
                <c:pt idx="0">
                  <c:v>Market Population</c:v>
                </c:pt>
                <c:pt idx="1">
                  <c:v>Penetration</c:v>
                </c:pt>
                <c:pt idx="2">
                  <c:v>Frequency</c:v>
                </c:pt>
                <c:pt idx="3">
                  <c:v>Qty Per Purchase</c:v>
                </c:pt>
                <c:pt idx="4">
                  <c:v>Price Per Qty</c:v>
                </c:pt>
              </c:strCache>
            </c:strRef>
          </c:cat>
          <c:val>
            <c:numRef>
              <c:f>'Input Marketing'!$F$21:$F$25</c:f>
              <c:numCache>
                <c:formatCode>0%</c:formatCode>
                <c:ptCount val="5"/>
                <c:pt idx="0">
                  <c:v>3.0710172744721698E-2</c:v>
                </c:pt>
                <c:pt idx="1">
                  <c:v>0.51695457453614846</c:v>
                </c:pt>
                <c:pt idx="2">
                  <c:v>0.45233525271912967</c:v>
                </c:pt>
                <c:pt idx="3">
                  <c:v>0</c:v>
                </c:pt>
                <c:pt idx="4">
                  <c:v>0.16284069097888695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3-4CA9-BAF5-C5978628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58800"/>
        <c:axId val="163459360"/>
      </c:radarChart>
      <c:catAx>
        <c:axId val="163458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3459360"/>
        <c:crosses val="autoZero"/>
        <c:auto val="1"/>
        <c:lblAlgn val="ctr"/>
        <c:lblOffset val="100"/>
        <c:noMultiLvlLbl val="0"/>
      </c:catAx>
      <c:valAx>
        <c:axId val="163459360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16345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508000</xdr:colOff>
      <xdr:row>37</xdr:row>
      <xdr:rowOff>177800</xdr:rowOff>
    </xdr:from>
    <xdr:to>
      <xdr:col>26</xdr:col>
      <xdr:colOff>10391</xdr:colOff>
      <xdr:row>49</xdr:row>
      <xdr:rowOff>25977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7</xdr:row>
      <xdr:rowOff>50800</xdr:rowOff>
    </xdr:from>
    <xdr:to>
      <xdr:col>15</xdr:col>
      <xdr:colOff>584200</xdr:colOff>
      <xdr:row>21</xdr:row>
      <xdr:rowOff>12700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857375" y="1698625"/>
          <a:ext cx="3241675" cy="3228975"/>
        </a:xfrm>
        <a:prstGeom prst="triangle">
          <a:avLst>
            <a:gd name="adj" fmla="val 46111"/>
          </a:avLst>
        </a:prstGeom>
        <a:solidFill>
          <a:schemeClr val="bg1">
            <a:lumMod val="85000"/>
            <a:alpha val="24000"/>
          </a:schemeClr>
        </a:solidFill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736600</xdr:colOff>
      <xdr:row>7</xdr:row>
      <xdr:rowOff>25400</xdr:rowOff>
    </xdr:from>
    <xdr:to>
      <xdr:col>6</xdr:col>
      <xdr:colOff>368299</xdr:colOff>
      <xdr:row>21</xdr:row>
      <xdr:rowOff>38099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09700" y="1587500"/>
          <a:ext cx="3340099" cy="3136899"/>
        </a:xfrm>
        <a:prstGeom prst="triangle">
          <a:avLst/>
        </a:prstGeom>
        <a:solidFill>
          <a:schemeClr val="bg1">
            <a:lumMod val="85000"/>
            <a:alpha val="16000"/>
          </a:schemeClr>
        </a:solidFill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0</xdr:colOff>
      <xdr:row>6</xdr:row>
      <xdr:rowOff>57150</xdr:rowOff>
    </xdr:from>
    <xdr:to>
      <xdr:col>26</xdr:col>
      <xdr:colOff>13855</xdr:colOff>
      <xdr:row>17</xdr:row>
      <xdr:rowOff>83127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457623</xdr:colOff>
      <xdr:row>27</xdr:row>
      <xdr:rowOff>61383</xdr:rowOff>
    </xdr:from>
    <xdr:to>
      <xdr:col>14</xdr:col>
      <xdr:colOff>300566</xdr:colOff>
      <xdr:row>27</xdr:row>
      <xdr:rowOff>188385</xdr:rowOff>
    </xdr:to>
    <xdr:sp macro="" textlink="">
      <xdr:nvSpPr>
        <xdr:cNvPr id="3" name="Left-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07123" y="6227233"/>
          <a:ext cx="1538393" cy="127002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660401</xdr:colOff>
      <xdr:row>6</xdr:row>
      <xdr:rowOff>122383</xdr:rowOff>
    </xdr:from>
    <xdr:to>
      <xdr:col>32</xdr:col>
      <xdr:colOff>546101</xdr:colOff>
      <xdr:row>17</xdr:row>
      <xdr:rowOff>76201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2382</xdr:colOff>
      <xdr:row>5</xdr:row>
      <xdr:rowOff>11905</xdr:rowOff>
    </xdr:from>
    <xdr:to>
      <xdr:col>8</xdr:col>
      <xdr:colOff>11906</xdr:colOff>
      <xdr:row>6</xdr:row>
      <xdr:rowOff>9524</xdr:rowOff>
    </xdr:to>
    <xdr:cxnSp macro="">
      <xdr:nvCxnSpPr>
        <xdr:cNvPr id="2" name="Elbow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0800000" flipV="1">
          <a:off x="4091782" y="1637505"/>
          <a:ext cx="2905124" cy="188119"/>
        </a:xfrm>
        <a:prstGeom prst="bentConnector3">
          <a:avLst>
            <a:gd name="adj1" fmla="val 184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822332</xdr:colOff>
      <xdr:row>5</xdr:row>
      <xdr:rowOff>19054</xdr:rowOff>
    </xdr:from>
    <xdr:to>
      <xdr:col>12</xdr:col>
      <xdr:colOff>533401</xdr:colOff>
      <xdr:row>5</xdr:row>
      <xdr:rowOff>419101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0800000">
          <a:off x="7426332" y="2178054"/>
          <a:ext cx="3013069" cy="400047"/>
        </a:xfrm>
        <a:prstGeom prst="bentConnector3">
          <a:avLst>
            <a:gd name="adj1" fmla="val 100158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1257303</xdr:colOff>
      <xdr:row>8</xdr:row>
      <xdr:rowOff>400049</xdr:rowOff>
    </xdr:from>
    <xdr:to>
      <xdr:col>4</xdr:col>
      <xdr:colOff>419101</xdr:colOff>
      <xdr:row>11</xdr:row>
      <xdr:rowOff>9524</xdr:rowOff>
    </xdr:to>
    <xdr:cxnSp macro="">
      <xdr:nvCxnSpPr>
        <xdr:cNvPr id="4" name="Elbow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0800000" flipV="1">
          <a:off x="2273303" y="2546349"/>
          <a:ext cx="774698" cy="371475"/>
        </a:xfrm>
        <a:prstGeom prst="bentConnector3">
          <a:avLst>
            <a:gd name="adj1" fmla="val 61500"/>
          </a:avLst>
        </a:prstGeom>
        <a:ln w="31750"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1360</xdr:colOff>
      <xdr:row>9</xdr:row>
      <xdr:rowOff>27212</xdr:rowOff>
    </xdr:from>
    <xdr:to>
      <xdr:col>5</xdr:col>
      <xdr:colOff>787400</xdr:colOff>
      <xdr:row>11</xdr:row>
      <xdr:rowOff>0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4128860" y="3900712"/>
          <a:ext cx="786040" cy="341088"/>
        </a:xfrm>
        <a:prstGeom prst="bentConnector3">
          <a:avLst>
            <a:gd name="adj1" fmla="val 48385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752477</xdr:colOff>
      <xdr:row>9</xdr:row>
      <xdr:rowOff>4088</xdr:rowOff>
    </xdr:from>
    <xdr:to>
      <xdr:col>14</xdr:col>
      <xdr:colOff>530679</xdr:colOff>
      <xdr:row>11</xdr:row>
      <xdr:rowOff>13608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0800000">
          <a:off x="12030077" y="2544088"/>
          <a:ext cx="2000702" cy="377820"/>
        </a:xfrm>
        <a:prstGeom prst="bentConnector3">
          <a:avLst/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657226</xdr:colOff>
      <xdr:row>13</xdr:row>
      <xdr:rowOff>0</xdr:rowOff>
    </xdr:from>
    <xdr:to>
      <xdr:col>15</xdr:col>
      <xdr:colOff>609601</xdr:colOff>
      <xdr:row>14</xdr:row>
      <xdr:rowOff>9525</xdr:rowOff>
    </xdr:to>
    <xdr:cxnSp macro="">
      <xdr:nvCxnSpPr>
        <xdr:cNvPr id="7" name="Elbow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0800000">
          <a:off x="14157326" y="3454400"/>
          <a:ext cx="1438275" cy="377825"/>
        </a:xfrm>
        <a:prstGeom prst="bentConnector3">
          <a:avLst>
            <a:gd name="adj1" fmla="val 47175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12</xdr:row>
      <xdr:rowOff>381001</xdr:rowOff>
    </xdr:from>
    <xdr:to>
      <xdr:col>14</xdr:col>
      <xdr:colOff>9525</xdr:colOff>
      <xdr:row>14</xdr:row>
      <xdr:rowOff>9526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5400000" flipH="1" flipV="1">
          <a:off x="10429875" y="5924551"/>
          <a:ext cx="600075" cy="333375"/>
        </a:xfrm>
        <a:prstGeom prst="bentConnector3">
          <a:avLst>
            <a:gd name="adj1" fmla="val 50000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639535</xdr:colOff>
      <xdr:row>9</xdr:row>
      <xdr:rowOff>13608</xdr:rowOff>
    </xdr:from>
    <xdr:to>
      <xdr:col>12</xdr:col>
      <xdr:colOff>285750</xdr:colOff>
      <xdr:row>11</xdr:row>
      <xdr:rowOff>0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flipV="1">
          <a:off x="9313635" y="2553608"/>
          <a:ext cx="2249715" cy="354692"/>
        </a:xfrm>
        <a:prstGeom prst="bentConnector3">
          <a:avLst>
            <a:gd name="adj1" fmla="val 50000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13</xdr:row>
      <xdr:rowOff>28575</xdr:rowOff>
    </xdr:from>
    <xdr:to>
      <xdr:col>8</xdr:col>
      <xdr:colOff>466726</xdr:colOff>
      <xdr:row>14</xdr:row>
      <xdr:rowOff>63500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H="1">
          <a:off x="7061200" y="4575175"/>
          <a:ext cx="9526" cy="581025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406400</xdr:colOff>
      <xdr:row>9</xdr:row>
      <xdr:rowOff>31750</xdr:rowOff>
    </xdr:from>
    <xdr:to>
      <xdr:col>8</xdr:col>
      <xdr:colOff>416719</xdr:colOff>
      <xdr:row>11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6578600" y="4152900"/>
          <a:ext cx="10319" cy="34290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406400</xdr:colOff>
      <xdr:row>5</xdr:row>
      <xdr:rowOff>63500</xdr:rowOff>
    </xdr:from>
    <xdr:to>
      <xdr:col>8</xdr:col>
      <xdr:colOff>411163</xdr:colOff>
      <xdr:row>7</xdr:row>
      <xdr:rowOff>1587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010400" y="2044700"/>
          <a:ext cx="4763" cy="1271587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2382</xdr:colOff>
      <xdr:row>26</xdr:row>
      <xdr:rowOff>11905</xdr:rowOff>
    </xdr:from>
    <xdr:to>
      <xdr:col>8</xdr:col>
      <xdr:colOff>11906</xdr:colOff>
      <xdr:row>27</xdr:row>
      <xdr:rowOff>9524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0800000" flipV="1">
          <a:off x="4129882" y="1993105"/>
          <a:ext cx="2486024" cy="429419"/>
        </a:xfrm>
        <a:prstGeom prst="bentConnector3">
          <a:avLst>
            <a:gd name="adj1" fmla="val 184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26</xdr:row>
      <xdr:rowOff>38100</xdr:rowOff>
    </xdr:from>
    <xdr:to>
      <xdr:col>12</xdr:col>
      <xdr:colOff>533402</xdr:colOff>
      <xdr:row>27</xdr:row>
      <xdr:rowOff>2</xdr:rowOff>
    </xdr:to>
    <xdr:cxnSp macro="">
      <xdr:nvCxnSpPr>
        <xdr:cNvPr id="24" name="Elbow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0800000">
          <a:off x="7620000" y="9220200"/>
          <a:ext cx="3009902" cy="330202"/>
        </a:xfrm>
        <a:prstGeom prst="bentConnector3">
          <a:avLst>
            <a:gd name="adj1" fmla="val 100211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1257303</xdr:colOff>
      <xdr:row>29</xdr:row>
      <xdr:rowOff>400049</xdr:rowOff>
    </xdr:from>
    <xdr:to>
      <xdr:col>4</xdr:col>
      <xdr:colOff>419101</xdr:colOff>
      <xdr:row>32</xdr:row>
      <xdr:rowOff>9524</xdr:rowOff>
    </xdr:to>
    <xdr:cxnSp macro="">
      <xdr:nvCxnSpPr>
        <xdr:cNvPr id="25" name="Elbow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0800000" flipV="1">
          <a:off x="2476503" y="3879849"/>
          <a:ext cx="1244598" cy="371475"/>
        </a:xfrm>
        <a:prstGeom prst="bentConnector3">
          <a:avLst>
            <a:gd name="adj1" fmla="val 61500"/>
          </a:avLst>
        </a:prstGeom>
        <a:ln w="31750"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1360</xdr:colOff>
      <xdr:row>30</xdr:row>
      <xdr:rowOff>27212</xdr:rowOff>
    </xdr:from>
    <xdr:to>
      <xdr:col>5</xdr:col>
      <xdr:colOff>595312</xdr:colOff>
      <xdr:row>31</xdr:row>
      <xdr:rowOff>190500</xdr:rowOff>
    </xdr:to>
    <xdr:cxnSp macro="">
      <xdr:nvCxnSpPr>
        <xdr:cNvPr id="26" name="Elbow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4128860" y="3900712"/>
          <a:ext cx="593952" cy="341088"/>
        </a:xfrm>
        <a:prstGeom prst="bentConnector3">
          <a:avLst>
            <a:gd name="adj1" fmla="val -4124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752477</xdr:colOff>
      <xdr:row>30</xdr:row>
      <xdr:rowOff>4088</xdr:rowOff>
    </xdr:from>
    <xdr:to>
      <xdr:col>14</xdr:col>
      <xdr:colOff>530679</xdr:colOff>
      <xdr:row>32</xdr:row>
      <xdr:rowOff>13608</xdr:rowOff>
    </xdr:to>
    <xdr:cxnSp macro="">
      <xdr:nvCxnSpPr>
        <xdr:cNvPr id="27" name="Elbow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0800000">
          <a:off x="10760077" y="3877588"/>
          <a:ext cx="1429202" cy="377820"/>
        </a:xfrm>
        <a:prstGeom prst="bentConnector3">
          <a:avLst/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657226</xdr:colOff>
      <xdr:row>34</xdr:row>
      <xdr:rowOff>0</xdr:rowOff>
    </xdr:from>
    <xdr:to>
      <xdr:col>15</xdr:col>
      <xdr:colOff>609601</xdr:colOff>
      <xdr:row>35</xdr:row>
      <xdr:rowOff>9525</xdr:rowOff>
    </xdr:to>
    <xdr:cxnSp macro="">
      <xdr:nvCxnSpPr>
        <xdr:cNvPr id="28" name="Elbow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0800000">
          <a:off x="12315826" y="4978400"/>
          <a:ext cx="777875" cy="555625"/>
        </a:xfrm>
        <a:prstGeom prst="bentConnector3">
          <a:avLst>
            <a:gd name="adj1" fmla="val 47175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34</xdr:row>
      <xdr:rowOff>9526</xdr:rowOff>
    </xdr:from>
    <xdr:to>
      <xdr:col>14</xdr:col>
      <xdr:colOff>9525</xdr:colOff>
      <xdr:row>35</xdr:row>
      <xdr:rowOff>9526</xdr:rowOff>
    </xdr:to>
    <xdr:cxnSp macro="">
      <xdr:nvCxnSpPr>
        <xdr:cNvPr id="29" name="Elbow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5400000" flipH="1" flipV="1">
          <a:off x="10439400" y="13868401"/>
          <a:ext cx="581025" cy="333375"/>
        </a:xfrm>
        <a:prstGeom prst="bentConnector3">
          <a:avLst>
            <a:gd name="adj1" fmla="val 50000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639535</xdr:colOff>
      <xdr:row>30</xdr:row>
      <xdr:rowOff>13608</xdr:rowOff>
    </xdr:from>
    <xdr:to>
      <xdr:col>12</xdr:col>
      <xdr:colOff>285750</xdr:colOff>
      <xdr:row>32</xdr:row>
      <xdr:rowOff>0</xdr:rowOff>
    </xdr:to>
    <xdr:cxnSp macro="">
      <xdr:nvCxnSpPr>
        <xdr:cNvPr id="30" name="Elbow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flipV="1">
          <a:off x="8996135" y="3887108"/>
          <a:ext cx="1297215" cy="354692"/>
        </a:xfrm>
        <a:prstGeom prst="bentConnector3">
          <a:avLst>
            <a:gd name="adj1" fmla="val 50000"/>
          </a:avLst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466726</xdr:colOff>
      <xdr:row>34</xdr:row>
      <xdr:rowOff>28575</xdr:rowOff>
    </xdr:from>
    <xdr:to>
      <xdr:col>8</xdr:col>
      <xdr:colOff>476250</xdr:colOff>
      <xdr:row>35</xdr:row>
      <xdr:rowOff>9525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6334126" y="13763625"/>
          <a:ext cx="9524" cy="561975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406400</xdr:colOff>
      <xdr:row>30</xdr:row>
      <xdr:rowOff>0</xdr:rowOff>
    </xdr:from>
    <xdr:to>
      <xdr:col>8</xdr:col>
      <xdr:colOff>416719</xdr:colOff>
      <xdr:row>32</xdr:row>
      <xdr:rowOff>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7099300" y="11188700"/>
          <a:ext cx="10319" cy="368300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406400</xdr:colOff>
      <xdr:row>27</xdr:row>
      <xdr:rowOff>25400</xdr:rowOff>
    </xdr:from>
    <xdr:to>
      <xdr:col>8</xdr:col>
      <xdr:colOff>411163</xdr:colOff>
      <xdr:row>28</xdr:row>
      <xdr:rowOff>1587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>
          <a:off x="7010400" y="9575800"/>
          <a:ext cx="4763" cy="877887"/>
        </a:xfrm>
        <a:prstGeom prst="straightConnector1">
          <a:avLst/>
        </a:prstGeom>
        <a:ln w="508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</xdr:row>
      <xdr:rowOff>101600</xdr:rowOff>
    </xdr:from>
    <xdr:to>
      <xdr:col>6</xdr:col>
      <xdr:colOff>571500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736600</xdr:colOff>
      <xdr:row>2</xdr:row>
      <xdr:rowOff>127000</xdr:rowOff>
    </xdr:from>
    <xdr:to>
      <xdr:col>13</xdr:col>
      <xdr:colOff>355600</xdr:colOff>
      <xdr:row>18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B1:H11"/>
  <sheetViews>
    <sheetView zoomScale="125" zoomScaleNormal="125" zoomScalePageLayoutView="125" workbookViewId="0">
      <selection activeCell="C29" sqref="C29"/>
    </sheetView>
  </sheetViews>
  <sheetFormatPr defaultColWidth="10.85546875" defaultRowHeight="15" x14ac:dyDescent="0.25"/>
  <sheetData>
    <row r="1" spans="2:8" x14ac:dyDescent="0.25">
      <c r="B1" t="s">
        <v>112</v>
      </c>
    </row>
    <row r="2" spans="2:8" x14ac:dyDescent="0.25">
      <c r="B2">
        <v>1</v>
      </c>
      <c r="C2" t="s">
        <v>101</v>
      </c>
      <c r="H2" t="s">
        <v>103</v>
      </c>
    </row>
    <row r="3" spans="2:8" x14ac:dyDescent="0.25">
      <c r="B3">
        <v>2</v>
      </c>
      <c r="C3" t="s">
        <v>102</v>
      </c>
    </row>
    <row r="4" spans="2:8" x14ac:dyDescent="0.25">
      <c r="B4">
        <v>3</v>
      </c>
      <c r="C4" t="s">
        <v>111</v>
      </c>
    </row>
    <row r="5" spans="2:8" x14ac:dyDescent="0.25">
      <c r="C5" t="s">
        <v>107</v>
      </c>
    </row>
    <row r="6" spans="2:8" x14ac:dyDescent="0.25">
      <c r="C6" t="s">
        <v>108</v>
      </c>
    </row>
    <row r="7" spans="2:8" x14ac:dyDescent="0.25">
      <c r="C7" t="s">
        <v>109</v>
      </c>
    </row>
    <row r="8" spans="2:8" x14ac:dyDescent="0.25">
      <c r="C8" t="s">
        <v>110</v>
      </c>
    </row>
    <row r="9" spans="2:8" x14ac:dyDescent="0.25">
      <c r="B9">
        <v>4</v>
      </c>
      <c r="C9" t="s">
        <v>114</v>
      </c>
    </row>
    <row r="11" spans="2:8" x14ac:dyDescent="0.25">
      <c r="B11" t="s">
        <v>113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66FF"/>
  </sheetPr>
  <dimension ref="B1:AC51"/>
  <sheetViews>
    <sheetView workbookViewId="0">
      <selection activeCell="H47" sqref="H47"/>
    </sheetView>
  </sheetViews>
  <sheetFormatPr defaultColWidth="8.85546875" defaultRowHeight="15" x14ac:dyDescent="0.25"/>
  <cols>
    <col min="1" max="1" width="27.140625" customWidth="1"/>
    <col min="2" max="2" width="16.85546875" customWidth="1"/>
    <col min="3" max="3" width="10.42578125" customWidth="1"/>
    <col min="5" max="5" width="12.42578125" customWidth="1"/>
    <col min="6" max="6" width="12.42578125" style="10" customWidth="1"/>
    <col min="7" max="11" width="12.42578125" customWidth="1"/>
    <col min="12" max="12" width="29.5703125" customWidth="1"/>
    <col min="13" max="13" width="12.42578125" customWidth="1"/>
    <col min="14" max="14" width="16.85546875" customWidth="1"/>
    <col min="15" max="18" width="12.42578125" customWidth="1"/>
    <col min="19" max="19" width="6.140625" customWidth="1"/>
    <col min="20" max="20" width="22.42578125" customWidth="1"/>
    <col min="21" max="21" width="10.42578125" customWidth="1"/>
    <col min="22" max="22" width="10.5703125" customWidth="1"/>
    <col min="23" max="23" width="17" customWidth="1"/>
    <col min="24" max="24" width="9.85546875" style="4" customWidth="1"/>
    <col min="25" max="25" width="8.85546875" customWidth="1"/>
    <col min="26" max="26" width="12.42578125" customWidth="1"/>
    <col min="27" max="29" width="8.85546875" customWidth="1"/>
  </cols>
  <sheetData>
    <row r="1" spans="2:29" ht="23.25" x14ac:dyDescent="0.35">
      <c r="B1" s="149" t="s">
        <v>98</v>
      </c>
    </row>
    <row r="2" spans="2:29" ht="15.75" thickBot="1" x14ac:dyDescent="0.3"/>
    <row r="3" spans="2:29" ht="23.25" x14ac:dyDescent="0.35">
      <c r="B3" s="31" t="s">
        <v>15</v>
      </c>
      <c r="C3" s="15"/>
      <c r="D3" s="17"/>
      <c r="H3" s="149" t="s">
        <v>41</v>
      </c>
      <c r="T3" s="14"/>
      <c r="U3" s="15"/>
      <c r="V3" s="15"/>
      <c r="W3" s="15"/>
      <c r="X3" s="16"/>
      <c r="Y3" s="15"/>
      <c r="Z3" s="17"/>
    </row>
    <row r="4" spans="2:29" x14ac:dyDescent="0.25">
      <c r="B4" s="61" t="s">
        <v>9</v>
      </c>
      <c r="C4" s="210" t="s">
        <v>160</v>
      </c>
      <c r="D4" s="19"/>
      <c r="T4" s="18"/>
      <c r="Z4" s="19"/>
    </row>
    <row r="5" spans="2:29" ht="15.75" thickBot="1" x14ac:dyDescent="0.3">
      <c r="B5" s="61"/>
      <c r="C5" s="112" t="s">
        <v>51</v>
      </c>
      <c r="D5" s="113" t="s">
        <v>52</v>
      </c>
      <c r="H5" s="111" t="s">
        <v>42</v>
      </c>
      <c r="T5" s="18"/>
      <c r="Z5" s="19"/>
    </row>
    <row r="6" spans="2:29" ht="15.75" thickBot="1" x14ac:dyDescent="0.3">
      <c r="B6" s="61" t="s">
        <v>156</v>
      </c>
      <c r="C6" s="205">
        <v>1</v>
      </c>
      <c r="D6" s="205">
        <v>3</v>
      </c>
      <c r="H6" s="160" t="s">
        <v>104</v>
      </c>
      <c r="I6" s="15"/>
      <c r="J6" s="15"/>
      <c r="K6" s="15"/>
      <c r="L6" s="17"/>
      <c r="T6" s="35" t="s">
        <v>14</v>
      </c>
      <c r="Y6" s="11">
        <f>10-V11</f>
        <v>10</v>
      </c>
      <c r="Z6" s="19"/>
    </row>
    <row r="7" spans="2:29" x14ac:dyDescent="0.25">
      <c r="B7" s="64" t="s">
        <v>0</v>
      </c>
      <c r="C7" s="206">
        <v>135</v>
      </c>
      <c r="D7" s="203">
        <v>168.8</v>
      </c>
      <c r="E7" s="13"/>
      <c r="H7" s="18"/>
      <c r="I7" s="67" t="s">
        <v>50</v>
      </c>
      <c r="L7" s="19"/>
      <c r="M7" s="2"/>
      <c r="N7" t="s">
        <v>55</v>
      </c>
      <c r="T7" s="20" t="s">
        <v>3</v>
      </c>
      <c r="U7" s="21">
        <f>(V14-U14)*D8</f>
        <v>17.600000000000012</v>
      </c>
      <c r="V7">
        <f>IF(U7&lt;0,0,IF((ABS(U7)/ABS($U$10))&lt;5%,1,2))</f>
        <v>2</v>
      </c>
      <c r="W7" s="22">
        <f>IF(V7=2,U7,0)</f>
        <v>17.600000000000012</v>
      </c>
      <c r="X7" s="4">
        <f>W7/$W$10</f>
        <v>0.72727272727272729</v>
      </c>
      <c r="Y7" s="22">
        <f>X7*$Y$6</f>
        <v>7.2727272727272734</v>
      </c>
      <c r="Z7" s="6">
        <f>IF(V7=1,1,Y7)</f>
        <v>7.2727272727272734</v>
      </c>
      <c r="AB7" s="52">
        <f>D7-C7-E9</f>
        <v>17.300000000000011</v>
      </c>
    </row>
    <row r="8" spans="2:29" x14ac:dyDescent="0.25">
      <c r="B8" s="65" t="s">
        <v>155</v>
      </c>
      <c r="C8" s="207">
        <v>1</v>
      </c>
      <c r="D8" s="208">
        <v>1.1200000000000001</v>
      </c>
      <c r="E8" s="58">
        <f>+D8-C8</f>
        <v>0.12000000000000011</v>
      </c>
      <c r="G8" s="41"/>
      <c r="H8" s="68">
        <v>3</v>
      </c>
      <c r="I8" s="2" t="s">
        <v>63</v>
      </c>
      <c r="J8" s="2"/>
      <c r="K8" s="2"/>
      <c r="L8" s="69"/>
      <c r="M8" s="3" t="s">
        <v>0</v>
      </c>
      <c r="N8" s="13">
        <f>H8</f>
        <v>3</v>
      </c>
      <c r="O8" s="41"/>
      <c r="P8" s="41"/>
      <c r="Q8" s="41"/>
      <c r="R8" s="41"/>
      <c r="S8" s="41"/>
      <c r="T8" s="20" t="s">
        <v>1</v>
      </c>
      <c r="U8" s="21">
        <f>(D8-C8)*U18</f>
        <v>6.6000000000000059</v>
      </c>
      <c r="V8">
        <f>IF(U8&lt;0,0,IF((ABS(U8)/ABS($U$10))&lt;5%,1,2))</f>
        <v>2</v>
      </c>
      <c r="W8" s="22">
        <f>IF(V8=2,U8,0)</f>
        <v>6.6000000000000059</v>
      </c>
      <c r="X8" s="4">
        <f>W8/$W$10</f>
        <v>0.27272727272727276</v>
      </c>
      <c r="Y8" s="22">
        <f>X8*$Y$6</f>
        <v>2.7272727272727275</v>
      </c>
      <c r="Z8" s="7">
        <f>IF(V8=1,1,Y8)</f>
        <v>2.7272727272727275</v>
      </c>
    </row>
    <row r="9" spans="2:29" ht="18" thickBot="1" x14ac:dyDescent="0.45">
      <c r="B9" s="66" t="s">
        <v>4</v>
      </c>
      <c r="C9" s="209">
        <v>55</v>
      </c>
      <c r="D9" s="204">
        <v>71.5</v>
      </c>
      <c r="E9" s="58">
        <f>+D9-C9</f>
        <v>16.5</v>
      </c>
      <c r="G9" s="41"/>
      <c r="H9" s="18"/>
      <c r="I9" s="2" t="s">
        <v>28</v>
      </c>
      <c r="J9" s="2"/>
      <c r="K9" s="2"/>
      <c r="L9" s="69"/>
      <c r="M9" s="3" t="s">
        <v>4</v>
      </c>
      <c r="N9" s="13">
        <f>H11</f>
        <v>1</v>
      </c>
      <c r="O9" s="41"/>
      <c r="P9" s="41"/>
      <c r="Q9" s="41"/>
      <c r="R9" s="41"/>
      <c r="S9" s="41"/>
      <c r="T9" s="23" t="s">
        <v>19</v>
      </c>
      <c r="U9" s="24">
        <f>(U17-V17)*D8</f>
        <v>-7.7000000000000011</v>
      </c>
      <c r="V9">
        <f>IF(U9&lt;0,0,IF((ABS(U9)/ABS($U$10))&lt;5%,1,2))</f>
        <v>0</v>
      </c>
      <c r="W9" s="26">
        <f>IF(V9=2,U9,0)</f>
        <v>0</v>
      </c>
      <c r="X9" s="25">
        <f>W9/$W$10</f>
        <v>0</v>
      </c>
      <c r="Y9" s="26">
        <f>X9*$Y$6</f>
        <v>0</v>
      </c>
      <c r="Z9" s="9">
        <f>IF(V9=1,1,Y9)</f>
        <v>0</v>
      </c>
      <c r="AB9" s="4">
        <f>D9/C9-1</f>
        <v>0.30000000000000004</v>
      </c>
      <c r="AC9" s="42"/>
    </row>
    <row r="10" spans="2:29" ht="15.75" thickBot="1" x14ac:dyDescent="0.3">
      <c r="B10" s="62" t="s">
        <v>17</v>
      </c>
      <c r="C10" s="58">
        <f>C7-C9</f>
        <v>80</v>
      </c>
      <c r="D10" s="58">
        <f>D7-D9</f>
        <v>97.300000000000011</v>
      </c>
      <c r="E10" s="58"/>
      <c r="G10" s="41"/>
      <c r="H10" s="18"/>
      <c r="L10" s="19"/>
      <c r="M10" s="3" t="s">
        <v>1</v>
      </c>
      <c r="N10" s="13">
        <f>H15</f>
        <v>6</v>
      </c>
      <c r="O10" s="41"/>
      <c r="P10" s="41"/>
      <c r="Q10" s="41"/>
      <c r="R10" s="41"/>
      <c r="S10" s="41"/>
      <c r="T10" s="20" t="s">
        <v>6</v>
      </c>
      <c r="U10" s="21">
        <f>SUM(U7:U9)</f>
        <v>16.500000000000014</v>
      </c>
      <c r="V10" s="21"/>
      <c r="W10" s="22">
        <f>SUM(W7:W9)</f>
        <v>24.200000000000017</v>
      </c>
      <c r="X10" s="4">
        <f>SUM(X7:X9)</f>
        <v>1</v>
      </c>
      <c r="Y10" s="22">
        <f>X10*$Y$6</f>
        <v>10</v>
      </c>
      <c r="Z10" s="8">
        <f>SUM(Z7:Z9)</f>
        <v>10</v>
      </c>
    </row>
    <row r="11" spans="2:29" ht="15.75" thickBot="1" x14ac:dyDescent="0.3">
      <c r="B11" s="63"/>
      <c r="C11" s="28"/>
      <c r="D11" s="30"/>
      <c r="H11" s="68">
        <v>1</v>
      </c>
      <c r="I11" t="s">
        <v>29</v>
      </c>
      <c r="L11" s="19"/>
      <c r="N11">
        <f>SUM(N8:N10)</f>
        <v>10</v>
      </c>
      <c r="T11" s="27"/>
      <c r="U11" s="28"/>
      <c r="V11" s="11">
        <f>SUMIF(V7:V10,1)</f>
        <v>0</v>
      </c>
      <c r="W11" s="28"/>
      <c r="X11" s="29"/>
      <c r="Y11" s="28"/>
      <c r="Z11" s="30"/>
    </row>
    <row r="12" spans="2:29" x14ac:dyDescent="0.25">
      <c r="H12" s="18"/>
      <c r="I12" t="s">
        <v>30</v>
      </c>
      <c r="L12" s="19"/>
    </row>
    <row r="13" spans="2:29" x14ac:dyDescent="0.25">
      <c r="H13" s="18"/>
      <c r="I13" t="s">
        <v>31</v>
      </c>
      <c r="L13" s="19"/>
      <c r="M13" s="3"/>
    </row>
    <row r="14" spans="2:29" x14ac:dyDescent="0.25">
      <c r="H14" s="18"/>
      <c r="L14" s="19"/>
      <c r="M14" s="3"/>
      <c r="T14" s="13" t="s">
        <v>5</v>
      </c>
      <c r="U14" s="40">
        <f>C7/C8</f>
        <v>135</v>
      </c>
      <c r="V14" s="40">
        <f>D7/D8</f>
        <v>150.71428571428572</v>
      </c>
      <c r="W14" s="55">
        <f>V14-U14</f>
        <v>15.714285714285722</v>
      </c>
      <c r="X14" s="10"/>
      <c r="Y14" s="32" t="s">
        <v>12</v>
      </c>
      <c r="Z14" s="33"/>
      <c r="AA14" s="34">
        <f>V14/U14-1</f>
        <v>0.11640211640211651</v>
      </c>
      <c r="AC14" s="4"/>
    </row>
    <row r="15" spans="2:29" ht="15.75" thickBot="1" x14ac:dyDescent="0.3">
      <c r="H15" s="68">
        <v>6</v>
      </c>
      <c r="I15" t="s">
        <v>32</v>
      </c>
      <c r="L15" s="19"/>
      <c r="M15" s="3"/>
      <c r="T15" s="13" t="s">
        <v>2</v>
      </c>
      <c r="U15" s="40">
        <f>C9/C7</f>
        <v>0.40740740740740738</v>
      </c>
      <c r="V15" s="40">
        <f>D9/D7</f>
        <v>0.42357819905213268</v>
      </c>
      <c r="X15"/>
      <c r="AA15" s="4"/>
      <c r="AC15" s="4"/>
    </row>
    <row r="16" spans="2:29" x14ac:dyDescent="0.25">
      <c r="H16" s="18"/>
      <c r="I16" t="s">
        <v>33</v>
      </c>
      <c r="L16" s="19"/>
      <c r="M16" s="3"/>
      <c r="T16" s="13" t="s">
        <v>11</v>
      </c>
      <c r="U16" s="40">
        <f>U15*100</f>
        <v>40.74074074074074</v>
      </c>
      <c r="V16" s="40">
        <f>V15*100</f>
        <v>42.357819905213269</v>
      </c>
      <c r="X16"/>
      <c r="Y16" s="36" t="s">
        <v>10</v>
      </c>
      <c r="Z16" s="15"/>
      <c r="AA16" s="37">
        <f>V16-U16</f>
        <v>1.6170791644725284</v>
      </c>
      <c r="AC16" s="4"/>
    </row>
    <row r="17" spans="7:29" x14ac:dyDescent="0.25">
      <c r="H17" s="18"/>
      <c r="I17" t="s">
        <v>34</v>
      </c>
      <c r="L17" s="19"/>
      <c r="T17" t="s">
        <v>18</v>
      </c>
      <c r="U17" s="10">
        <f>C10/C8</f>
        <v>80</v>
      </c>
      <c r="V17" s="10">
        <f>D10/D8</f>
        <v>86.875</v>
      </c>
      <c r="W17" s="121">
        <f>U17-V17</f>
        <v>-6.875</v>
      </c>
      <c r="X17"/>
      <c r="Y17" s="38" t="s">
        <v>7</v>
      </c>
      <c r="AA17" s="49">
        <f>V24</f>
        <v>6.1786905388801117</v>
      </c>
      <c r="AC17" s="4"/>
    </row>
    <row r="18" spans="7:29" ht="15.75" thickBot="1" x14ac:dyDescent="0.3">
      <c r="G18" s="2"/>
      <c r="H18" s="18"/>
      <c r="L18" s="19"/>
      <c r="N18" s="2"/>
      <c r="O18" s="2"/>
      <c r="P18" s="2"/>
      <c r="Q18" s="2"/>
      <c r="R18" s="2"/>
      <c r="T18" s="48" t="s">
        <v>20</v>
      </c>
      <c r="U18" s="130">
        <f>C9/C8</f>
        <v>55</v>
      </c>
      <c r="V18" s="130">
        <f>D9/D8</f>
        <v>63.839285714285708</v>
      </c>
      <c r="W18" s="4">
        <f>V18/V14</f>
        <v>0.42357819905213262</v>
      </c>
      <c r="Y18" s="38" t="s">
        <v>8</v>
      </c>
      <c r="AA18" s="49">
        <f>V25</f>
        <v>-4.5616113744075832</v>
      </c>
      <c r="AC18" s="4"/>
    </row>
    <row r="19" spans="7:29" ht="15.75" thickBot="1" x14ac:dyDescent="0.3">
      <c r="H19" s="11">
        <f>10-H15-H11-H8</f>
        <v>0</v>
      </c>
      <c r="I19" t="s">
        <v>36</v>
      </c>
      <c r="L19" s="19"/>
      <c r="O19" s="2"/>
      <c r="P19" s="2"/>
      <c r="Q19" s="2"/>
      <c r="R19" s="2"/>
      <c r="T19" t="s">
        <v>21</v>
      </c>
      <c r="V19" s="10">
        <f>(U14-V17)</f>
        <v>48.125</v>
      </c>
      <c r="W19" s="4">
        <f>V19/(V14+V19)</f>
        <v>0.2420296362819937</v>
      </c>
      <c r="X19"/>
      <c r="Y19" s="39" t="s">
        <v>13</v>
      </c>
      <c r="Z19" s="28"/>
      <c r="AA19" s="50">
        <f>AA18+AA17</f>
        <v>1.6170791644725284</v>
      </c>
      <c r="AC19" s="4"/>
    </row>
    <row r="20" spans="7:29" ht="15.75" thickBot="1" x14ac:dyDescent="0.3">
      <c r="H20" s="27"/>
      <c r="I20" s="28"/>
      <c r="J20" s="28"/>
      <c r="K20" s="28"/>
      <c r="L20" s="30"/>
      <c r="O20" s="2"/>
      <c r="P20" s="2"/>
      <c r="Q20" s="2"/>
      <c r="R20" s="2"/>
      <c r="V20" s="51"/>
      <c r="W20" s="4"/>
      <c r="X20"/>
      <c r="Y20" s="2"/>
      <c r="AA20" s="52"/>
      <c r="AC20" s="4"/>
    </row>
    <row r="21" spans="7:29" x14ac:dyDescent="0.25">
      <c r="H21" s="160" t="s">
        <v>105</v>
      </c>
      <c r="I21" s="15"/>
      <c r="J21" s="15"/>
      <c r="K21" s="15"/>
      <c r="L21" s="17"/>
      <c r="T21" t="s">
        <v>22</v>
      </c>
      <c r="V21" s="55">
        <f>(V14-U17)</f>
        <v>70.714285714285722</v>
      </c>
      <c r="X21"/>
      <c r="AA21" s="53"/>
      <c r="AC21" s="4"/>
    </row>
    <row r="22" spans="7:29" x14ac:dyDescent="0.25">
      <c r="H22" s="18"/>
      <c r="I22" s="67" t="s">
        <v>50</v>
      </c>
      <c r="L22" s="19"/>
      <c r="V22" s="51"/>
      <c r="W22" s="4"/>
      <c r="Y22" s="43"/>
      <c r="Z22" s="44"/>
      <c r="AA22" s="44"/>
      <c r="AC22" s="4"/>
    </row>
    <row r="23" spans="7:29" x14ac:dyDescent="0.25">
      <c r="H23" s="18"/>
      <c r="I23" t="s">
        <v>29</v>
      </c>
      <c r="L23" s="19"/>
      <c r="T23" t="s">
        <v>23</v>
      </c>
      <c r="U23" s="5">
        <f>U16</f>
        <v>40.74074074074074</v>
      </c>
      <c r="V23" s="54"/>
      <c r="W23" s="4"/>
      <c r="Y23" s="43"/>
      <c r="Z23" s="45"/>
      <c r="AA23" s="44"/>
      <c r="AC23" s="4"/>
    </row>
    <row r="24" spans="7:29" x14ac:dyDescent="0.25">
      <c r="H24" s="18"/>
      <c r="I24" t="s">
        <v>40</v>
      </c>
      <c r="L24" s="19"/>
      <c r="T24" t="s">
        <v>24</v>
      </c>
      <c r="U24" s="52">
        <f>(V14-U17)/V14*100</f>
        <v>46.919431279620852</v>
      </c>
      <c r="V24" s="52">
        <f>U24-U23</f>
        <v>6.1786905388801117</v>
      </c>
      <c r="X24"/>
      <c r="Y24" s="43"/>
      <c r="Z24" s="46"/>
      <c r="AA24" s="44"/>
      <c r="AC24" s="4"/>
    </row>
    <row r="25" spans="7:29" x14ac:dyDescent="0.25">
      <c r="H25" s="68">
        <v>3</v>
      </c>
      <c r="I25" t="s">
        <v>68</v>
      </c>
      <c r="L25" s="19"/>
      <c r="T25" t="s">
        <v>25</v>
      </c>
      <c r="U25" s="56">
        <f>V16</f>
        <v>42.357819905213269</v>
      </c>
      <c r="V25" s="57">
        <f>U25-U24</f>
        <v>-4.5616113744075832</v>
      </c>
      <c r="X25"/>
      <c r="Y25" s="44"/>
      <c r="Z25" s="45"/>
      <c r="AA25" s="44"/>
      <c r="AC25" s="4"/>
    </row>
    <row r="26" spans="7:29" x14ac:dyDescent="0.25">
      <c r="H26" s="128"/>
      <c r="L26" s="19"/>
      <c r="U26" s="56"/>
      <c r="V26" s="57"/>
      <c r="X26"/>
      <c r="Y26" s="44"/>
      <c r="Z26" s="45"/>
      <c r="AA26" s="44"/>
      <c r="AC26" s="4"/>
    </row>
    <row r="27" spans="7:29" ht="15.75" thickBot="1" x14ac:dyDescent="0.3">
      <c r="H27" s="68">
        <v>7</v>
      </c>
      <c r="I27" t="s">
        <v>35</v>
      </c>
      <c r="L27" s="19"/>
      <c r="X27"/>
      <c r="Z27" s="47"/>
      <c r="AA27" s="44"/>
      <c r="AC27" s="4"/>
    </row>
    <row r="28" spans="7:29" ht="15.75" thickBot="1" x14ac:dyDescent="0.3">
      <c r="H28" s="11">
        <f>10-H25-H27</f>
        <v>0</v>
      </c>
      <c r="I28" t="s">
        <v>36</v>
      </c>
      <c r="L28" s="19"/>
      <c r="T28" s="123" t="s">
        <v>70</v>
      </c>
      <c r="U28" s="13">
        <f>N8*X28</f>
        <v>0.60000000000000009</v>
      </c>
      <c r="W28" s="123" t="s">
        <v>59</v>
      </c>
      <c r="X28" s="119">
        <f>H33/10</f>
        <v>0.2</v>
      </c>
      <c r="Z28" s="47"/>
      <c r="AA28" s="44"/>
      <c r="AC28" s="4"/>
    </row>
    <row r="29" spans="7:29" hidden="1" x14ac:dyDescent="0.25">
      <c r="H29" s="160" t="s">
        <v>106</v>
      </c>
      <c r="I29" s="15"/>
      <c r="J29" s="15"/>
      <c r="K29" s="15"/>
      <c r="L29" s="17"/>
      <c r="T29" s="124" t="s">
        <v>100</v>
      </c>
      <c r="U29" s="13">
        <f>N8*X29</f>
        <v>1.2000000000000002</v>
      </c>
      <c r="W29" s="124" t="s">
        <v>100</v>
      </c>
      <c r="X29" s="120">
        <f>H35/10</f>
        <v>0.4</v>
      </c>
      <c r="Y29" s="121">
        <f>SUM(X28:X29)</f>
        <v>0.60000000000000009</v>
      </c>
      <c r="Z29" t="s">
        <v>13</v>
      </c>
    </row>
    <row r="30" spans="7:29" hidden="1" x14ac:dyDescent="0.25">
      <c r="H30" s="18"/>
      <c r="I30" s="67" t="s">
        <v>50</v>
      </c>
      <c r="L30" s="19"/>
      <c r="T30" t="s">
        <v>99</v>
      </c>
      <c r="U30" s="13">
        <f>N8*X30</f>
        <v>1.2000000000000002</v>
      </c>
      <c r="W30" t="s">
        <v>99</v>
      </c>
      <c r="X30" s="120">
        <f>H37/10</f>
        <v>0.4</v>
      </c>
    </row>
    <row r="31" spans="7:29" hidden="1" x14ac:dyDescent="0.25">
      <c r="H31" s="18"/>
      <c r="I31" t="s">
        <v>64</v>
      </c>
      <c r="L31" s="19"/>
      <c r="T31" s="123" t="s">
        <v>69</v>
      </c>
      <c r="U31" s="13">
        <f>N9*X31</f>
        <v>0.3</v>
      </c>
      <c r="W31" s="123" t="s">
        <v>60</v>
      </c>
      <c r="X31" s="119">
        <f>H25/10</f>
        <v>0.3</v>
      </c>
      <c r="Y31" s="121">
        <f>SUM(X31:X32)</f>
        <v>1</v>
      </c>
    </row>
    <row r="32" spans="7:29" hidden="1" x14ac:dyDescent="0.25">
      <c r="H32" s="18"/>
      <c r="L32" s="19"/>
      <c r="T32" s="125" t="s">
        <v>61</v>
      </c>
      <c r="U32" s="13">
        <f>N9*X32</f>
        <v>0.7</v>
      </c>
      <c r="W32" s="125" t="s">
        <v>61</v>
      </c>
      <c r="X32" s="120">
        <f>H27/10</f>
        <v>0.7</v>
      </c>
    </row>
    <row r="33" spans="8:24" hidden="1" x14ac:dyDescent="0.25">
      <c r="H33" s="68">
        <v>2</v>
      </c>
      <c r="I33" t="s">
        <v>65</v>
      </c>
      <c r="L33" s="19"/>
      <c r="T33" s="13" t="s">
        <v>62</v>
      </c>
      <c r="U33" s="13">
        <f>N10*X33</f>
        <v>6</v>
      </c>
      <c r="W33" s="13" t="s">
        <v>62</v>
      </c>
      <c r="X33" s="122">
        <v>1</v>
      </c>
    </row>
    <row r="34" spans="8:24" hidden="1" x14ac:dyDescent="0.25">
      <c r="H34" s="128"/>
      <c r="L34" s="19"/>
    </row>
    <row r="35" spans="8:24" hidden="1" x14ac:dyDescent="0.25">
      <c r="H35" s="68">
        <v>4</v>
      </c>
      <c r="I35" t="s">
        <v>66</v>
      </c>
      <c r="L35" s="19"/>
    </row>
    <row r="36" spans="8:24" hidden="1" x14ac:dyDescent="0.25">
      <c r="H36" s="129"/>
      <c r="L36" s="19"/>
      <c r="X36"/>
    </row>
    <row r="37" spans="8:24" ht="15.75" hidden="1" thickBot="1" x14ac:dyDescent="0.3">
      <c r="H37" s="127">
        <v>4</v>
      </c>
      <c r="I37" t="s">
        <v>73</v>
      </c>
      <c r="L37" s="19"/>
      <c r="V37" s="82" t="str">
        <f>" Pricing Sub-Objectives Priorities  "&amp;'Business Price Objectives'!N14&amp;" vs. "&amp;'Business Price Objectives'!E13</f>
        <v xml:space="preserve"> Pricing Sub-Objectives Priorities  Year 3 Vs. Year1 vs. 1</v>
      </c>
      <c r="X37"/>
    </row>
    <row r="38" spans="8:24" ht="15.75" hidden="1" thickBot="1" x14ac:dyDescent="0.3">
      <c r="H38" s="73">
        <f>10-H33-H35-H37</f>
        <v>0</v>
      </c>
      <c r="I38" t="s">
        <v>36</v>
      </c>
      <c r="L38" s="19"/>
      <c r="X38"/>
    </row>
    <row r="39" spans="8:24" x14ac:dyDescent="0.25">
      <c r="H39" s="160" t="s">
        <v>106</v>
      </c>
      <c r="I39" s="15"/>
      <c r="J39" s="15"/>
      <c r="K39" s="15"/>
      <c r="L39" s="17"/>
      <c r="X39"/>
    </row>
    <row r="40" spans="8:24" x14ac:dyDescent="0.25">
      <c r="H40" s="18"/>
      <c r="I40" s="74" t="s">
        <v>49</v>
      </c>
      <c r="L40" s="19"/>
      <c r="X40"/>
    </row>
    <row r="41" spans="8:24" x14ac:dyDescent="0.25">
      <c r="H41" s="68">
        <v>0</v>
      </c>
      <c r="I41" t="s">
        <v>53</v>
      </c>
      <c r="L41" s="19"/>
      <c r="X41"/>
    </row>
    <row r="42" spans="8:24" x14ac:dyDescent="0.25">
      <c r="H42" s="18"/>
      <c r="L42" s="19"/>
      <c r="X42"/>
    </row>
    <row r="43" spans="8:24" x14ac:dyDescent="0.25">
      <c r="H43" s="68">
        <v>2</v>
      </c>
      <c r="I43" t="s">
        <v>54</v>
      </c>
      <c r="L43" s="19"/>
      <c r="X43"/>
    </row>
    <row r="44" spans="8:24" x14ac:dyDescent="0.25">
      <c r="H44" s="18"/>
      <c r="L44" s="19"/>
      <c r="X44"/>
    </row>
    <row r="45" spans="8:24" x14ac:dyDescent="0.25">
      <c r="H45" s="68">
        <v>8</v>
      </c>
      <c r="I45" t="s">
        <v>67</v>
      </c>
      <c r="L45" s="19"/>
      <c r="X45"/>
    </row>
    <row r="46" spans="8:24" ht="15.75" thickBot="1" x14ac:dyDescent="0.3">
      <c r="H46" s="18"/>
      <c r="L46" s="19"/>
      <c r="X46"/>
    </row>
    <row r="47" spans="8:24" ht="15.75" thickBot="1" x14ac:dyDescent="0.3">
      <c r="H47" s="11">
        <f>10-H45-H43-H41</f>
        <v>0</v>
      </c>
      <c r="I47" s="28" t="s">
        <v>36</v>
      </c>
      <c r="J47" s="28"/>
      <c r="K47" s="28"/>
      <c r="L47" s="30"/>
      <c r="X47"/>
    </row>
    <row r="48" spans="8:24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66FF"/>
    <pageSetUpPr fitToPage="1"/>
  </sheetPr>
  <dimension ref="B1:AK38"/>
  <sheetViews>
    <sheetView showGridLines="0" tabSelected="1" topLeftCell="I1" zoomScale="71" zoomScaleNormal="71" workbookViewId="0">
      <selection activeCell="AA30" sqref="AA30"/>
    </sheetView>
  </sheetViews>
  <sheetFormatPr defaultColWidth="8.85546875" defaultRowHeight="15" x14ac:dyDescent="0.25"/>
  <cols>
    <col min="1" max="1" width="0" hidden="1" customWidth="1"/>
    <col min="2" max="2" width="10.5703125" hidden="1" customWidth="1"/>
    <col min="3" max="3" width="2.42578125" hidden="1" customWidth="1"/>
    <col min="4" max="4" width="10.5703125" hidden="1" customWidth="1"/>
    <col min="5" max="5" width="13.85546875" hidden="1" customWidth="1"/>
    <col min="6" max="6" width="11" hidden="1" customWidth="1"/>
    <col min="7" max="7" width="9" hidden="1" customWidth="1"/>
    <col min="8" max="8" width="8.5703125" hidden="1" customWidth="1"/>
    <col min="9" max="9" width="8.5703125" customWidth="1"/>
    <col min="10" max="10" width="12.42578125" customWidth="1"/>
    <col min="11" max="11" width="8" customWidth="1"/>
    <col min="12" max="12" width="6.85546875" customWidth="1"/>
    <col min="13" max="13" width="9.42578125" customWidth="1"/>
    <col min="14" max="14" width="14.85546875" customWidth="1"/>
    <col min="15" max="15" width="9.85546875" customWidth="1"/>
    <col min="16" max="16" width="9.42578125" customWidth="1"/>
    <col min="17" max="17" width="5.5703125" customWidth="1"/>
    <col min="18" max="19" width="9.42578125" customWidth="1"/>
    <col min="20" max="20" width="16" customWidth="1"/>
    <col min="21" max="21" width="14.5703125" customWidth="1"/>
    <col min="22" max="22" width="7.85546875" style="2" customWidth="1"/>
    <col min="23" max="23" width="15.28515625" customWidth="1"/>
    <col min="24" max="24" width="11.42578125" customWidth="1"/>
    <col min="26" max="26" width="22" customWidth="1"/>
    <col min="28" max="30" width="0" hidden="1" customWidth="1"/>
    <col min="31" max="31" width="14.42578125" hidden="1" customWidth="1"/>
    <col min="32" max="32" width="0" hidden="1" customWidth="1"/>
    <col min="33" max="33" width="15.85546875" hidden="1" customWidth="1"/>
    <col min="35" max="36" width="0" hidden="1" customWidth="1"/>
    <col min="37" max="37" width="16" hidden="1" customWidth="1"/>
    <col min="38" max="43" width="0" hidden="1" customWidth="1"/>
  </cols>
  <sheetData>
    <row r="1" spans="3:37" ht="26.25" x14ac:dyDescent="0.4">
      <c r="U1" s="99" t="s">
        <v>157</v>
      </c>
    </row>
    <row r="2" spans="3:37" ht="26.25" x14ac:dyDescent="0.4">
      <c r="K2" s="12"/>
      <c r="O2" s="99"/>
    </row>
    <row r="4" spans="3:37" ht="15.75" x14ac:dyDescent="0.25">
      <c r="H4" s="100"/>
      <c r="I4" s="101"/>
      <c r="J4" s="101"/>
      <c r="K4" s="101"/>
    </row>
    <row r="5" spans="3:37" ht="15.75" x14ac:dyDescent="0.25">
      <c r="H5" s="59"/>
      <c r="I5" s="102"/>
      <c r="J5" s="102"/>
      <c r="K5" s="102"/>
    </row>
    <row r="6" spans="3:37" x14ac:dyDescent="0.25">
      <c r="E6" s="71" t="s">
        <v>0</v>
      </c>
      <c r="F6" s="71"/>
      <c r="N6" s="71" t="s">
        <v>0</v>
      </c>
      <c r="O6" s="136" t="str">
        <f>"% Change vs. "&amp;'Input Business'!C6</f>
        <v>% Change vs. 1</v>
      </c>
      <c r="P6" s="116"/>
      <c r="V6" s="114"/>
      <c r="X6" s="82" t="str">
        <f>" Business Financial Priorities: Year "&amp;'Input Business'!D6&amp;" vs. "&amp;'Input Business'!C6</f>
        <v xml:space="preserve"> Business Financial Priorities: Year 3 vs. 1</v>
      </c>
      <c r="AD6" s="82" t="str">
        <f>" Pricing Objectives  Priorities  "&amp;N14&amp;" vs. "&amp;E13</f>
        <v xml:space="preserve"> Pricing Objectives  Priorities  Year 3 Vs. Year1 vs. 1</v>
      </c>
    </row>
    <row r="7" spans="3:37" ht="15.75" x14ac:dyDescent="0.25">
      <c r="E7" s="150">
        <f>'Input Business'!C7</f>
        <v>135</v>
      </c>
      <c r="H7" s="59"/>
      <c r="I7" s="101"/>
      <c r="J7" s="101"/>
      <c r="K7" s="72"/>
      <c r="N7" s="150">
        <f>'Input Business'!D7</f>
        <v>168.8</v>
      </c>
      <c r="O7" s="137" t="str">
        <f>IF(N7&gt;E7,"+","-")&amp;ROUND((N7/E7-1)*100,1)&amp;"%"</f>
        <v>+25%</v>
      </c>
      <c r="P7" s="117"/>
      <c r="V7" s="114"/>
    </row>
    <row r="8" spans="3:37" ht="21" x14ac:dyDescent="0.35">
      <c r="H8" s="59"/>
      <c r="I8" s="70"/>
      <c r="J8" s="70"/>
      <c r="K8" s="59"/>
      <c r="V8" s="114"/>
      <c r="AJ8" s="96" t="s">
        <v>72</v>
      </c>
      <c r="AK8" s="90"/>
    </row>
    <row r="9" spans="3:37" ht="18.75" x14ac:dyDescent="0.3">
      <c r="V9" s="114"/>
      <c r="AJ9" s="91" t="s">
        <v>56</v>
      </c>
      <c r="AK9" s="142">
        <f>'Input Business'!H33</f>
        <v>2</v>
      </c>
    </row>
    <row r="10" spans="3:37" ht="23.25" x14ac:dyDescent="0.35">
      <c r="H10" s="70"/>
      <c r="I10" s="70"/>
      <c r="J10" s="70"/>
      <c r="K10" s="1"/>
      <c r="N10" s="110">
        <f>'Input Business'!H8</f>
        <v>3</v>
      </c>
      <c r="O10" s="60"/>
      <c r="V10" s="114"/>
      <c r="AJ10" s="126" t="s">
        <v>57</v>
      </c>
      <c r="AK10" s="143">
        <f>'Input Business'!H35</f>
        <v>4</v>
      </c>
    </row>
    <row r="11" spans="3:37" ht="18.75" x14ac:dyDescent="0.3">
      <c r="N11" s="1"/>
      <c r="O11" s="2"/>
      <c r="V11" s="114"/>
      <c r="AJ11" s="92" t="s">
        <v>71</v>
      </c>
      <c r="AK11" s="144">
        <f>'Input Business'!H37</f>
        <v>4</v>
      </c>
    </row>
    <row r="12" spans="3:37" x14ac:dyDescent="0.25">
      <c r="C12" s="1"/>
      <c r="V12" s="114"/>
    </row>
    <row r="13" spans="3:37" x14ac:dyDescent="0.25">
      <c r="E13" s="157">
        <f>'Input Business'!C6</f>
        <v>1</v>
      </c>
      <c r="V13" s="114"/>
    </row>
    <row r="14" spans="3:37" x14ac:dyDescent="0.25">
      <c r="N14" s="157" t="str">
        <f>"Year "&amp;'Input Business'!D6&amp;" Vs. Year"&amp;'Input Business'!C6</f>
        <v>Year 3 Vs. Year1</v>
      </c>
      <c r="V14" s="114"/>
    </row>
    <row r="15" spans="3:37" ht="31.7" customHeight="1" x14ac:dyDescent="0.25">
      <c r="N15" s="71" t="str">
        <f>'Input Business'!C4</f>
        <v>Start-Up Company</v>
      </c>
      <c r="V15" s="114"/>
      <c r="AJ15" t="s">
        <v>78</v>
      </c>
    </row>
    <row r="16" spans="3:37" x14ac:dyDescent="0.25">
      <c r="V16" s="114"/>
      <c r="AJ16" t="s">
        <v>79</v>
      </c>
    </row>
    <row r="17" spans="2:31" x14ac:dyDescent="0.25">
      <c r="N17" s="71" t="str">
        <f>"Timeframe: "&amp;('Input Business'!D6-'Input Business'!C6)&amp;" Years"</f>
        <v>Timeframe: 2 Years</v>
      </c>
      <c r="V17" s="114"/>
    </row>
    <row r="18" spans="2:31" x14ac:dyDescent="0.25">
      <c r="V18" s="114"/>
    </row>
    <row r="19" spans="2:31" x14ac:dyDescent="0.25">
      <c r="V19" s="114"/>
    </row>
    <row r="20" spans="2:31" ht="15.75" thickBot="1" x14ac:dyDescent="0.3">
      <c r="B20" s="71" t="str">
        <f>'Input Business'!B8</f>
        <v xml:space="preserve">Volume </v>
      </c>
      <c r="C20" s="71"/>
      <c r="H20" s="84"/>
      <c r="I20" s="84"/>
      <c r="J20" s="84"/>
      <c r="K20" s="81" t="str">
        <f>'Input Business'!B8</f>
        <v xml:space="preserve">Volume </v>
      </c>
      <c r="O20" s="3"/>
      <c r="V20" s="114"/>
      <c r="W20" s="74" t="s">
        <v>48</v>
      </c>
    </row>
    <row r="21" spans="2:31" ht="23.25" x14ac:dyDescent="0.35">
      <c r="B21" s="151">
        <f>'Input Business'!C8</f>
        <v>1</v>
      </c>
      <c r="G21" s="152">
        <f>'Input Business'!C9</f>
        <v>55</v>
      </c>
      <c r="H21" s="80" t="s">
        <v>4</v>
      </c>
      <c r="I21" s="80"/>
      <c r="K21" s="153">
        <f>ROUND('Input Business'!D8,2)</f>
        <v>1.1200000000000001</v>
      </c>
      <c r="L21" s="109">
        <f>'Input Business'!H15</f>
        <v>6</v>
      </c>
      <c r="M21" s="1"/>
      <c r="O21" s="3"/>
      <c r="P21" s="110">
        <f>'Input Business'!H11</f>
        <v>1</v>
      </c>
      <c r="Q21" s="154">
        <f>'Input Business'!D9</f>
        <v>71.5</v>
      </c>
      <c r="R21" s="115" t="s">
        <v>37</v>
      </c>
      <c r="S21" s="93" t="str">
        <f>IF(Q21&gt;G21,"+","-")&amp;ROUND((Q21/G21-1)*100,1)&amp;"%"</f>
        <v>+30%</v>
      </c>
      <c r="T21" s="85" t="s">
        <v>45</v>
      </c>
      <c r="U21" s="138"/>
      <c r="W21" s="107" t="s">
        <v>39</v>
      </c>
      <c r="X21" s="108">
        <f>'Input Business'!H43</f>
        <v>2</v>
      </c>
      <c r="Y21" s="105"/>
      <c r="Z21" s="17"/>
      <c r="AD21" s="96" t="s">
        <v>75</v>
      </c>
      <c r="AE21" s="90"/>
    </row>
    <row r="22" spans="2:31" ht="21" x14ac:dyDescent="0.35">
      <c r="G22" s="155">
        <f>G21/E7</f>
        <v>0.40740740740740738</v>
      </c>
      <c r="H22" s="80" t="s">
        <v>47</v>
      </c>
      <c r="I22" s="80"/>
      <c r="J22" s="139" t="s">
        <v>26</v>
      </c>
      <c r="K22" s="134" t="str">
        <f>IF(K21&gt;B21,"+","-")&amp;ROUND((K21/B21-1)*100,1)&amp;"%"</f>
        <v>+12%</v>
      </c>
      <c r="Q22" s="156">
        <f>Q21/N7</f>
        <v>0.42357819905213268</v>
      </c>
      <c r="R22" s="132" t="s">
        <v>2</v>
      </c>
      <c r="S22" s="94">
        <f>(Q22-G22)*100</f>
        <v>1.6170791644725291</v>
      </c>
      <c r="T22" s="98" t="s">
        <v>46</v>
      </c>
      <c r="U22" s="138"/>
      <c r="W22" s="86" t="s">
        <v>38</v>
      </c>
      <c r="X22" s="87">
        <f>'Input Business'!H41</f>
        <v>0</v>
      </c>
      <c r="Y22" s="104"/>
      <c r="Z22" s="19"/>
      <c r="AD22" s="91" t="s">
        <v>37</v>
      </c>
      <c r="AE22" s="140">
        <f>'Input Business'!H25</f>
        <v>3</v>
      </c>
    </row>
    <row r="23" spans="2:31" ht="21.75" thickBot="1" x14ac:dyDescent="0.4">
      <c r="J23" s="118"/>
      <c r="K23" s="135" t="str">
        <f>"vs. "&amp;ROUND('Input Business'!C6,2)</f>
        <v>vs. 1</v>
      </c>
      <c r="R23" s="132"/>
      <c r="S23" s="131">
        <f>'Input Business'!AA17</f>
        <v>6.1786905388801117</v>
      </c>
      <c r="T23" s="97" t="s">
        <v>16</v>
      </c>
      <c r="U23" s="138"/>
      <c r="W23" s="88" t="s">
        <v>58</v>
      </c>
      <c r="X23" s="89">
        <f>'Input Business'!H45</f>
        <v>8</v>
      </c>
      <c r="Y23" s="106"/>
      <c r="Z23" s="30"/>
      <c r="AD23" s="92" t="s">
        <v>2</v>
      </c>
      <c r="AE23" s="141">
        <f>'Input Business'!H27</f>
        <v>7</v>
      </c>
    </row>
    <row r="24" spans="2:31" x14ac:dyDescent="0.25">
      <c r="B24" s="1"/>
      <c r="R24" s="118"/>
      <c r="S24" s="133">
        <f>'Input Business'!AA18</f>
        <v>-4.5616113744075832</v>
      </c>
      <c r="T24" s="95" t="s">
        <v>8</v>
      </c>
      <c r="U24" s="138"/>
    </row>
    <row r="25" spans="2:31" ht="15.75" thickBot="1" x14ac:dyDescent="0.3">
      <c r="V25" s="114"/>
    </row>
    <row r="26" spans="2:31" x14ac:dyDescent="0.25">
      <c r="L26" s="75" t="s">
        <v>27</v>
      </c>
      <c r="M26" s="15"/>
      <c r="N26" s="76"/>
      <c r="O26" s="15"/>
      <c r="P26" s="17"/>
      <c r="V26" s="114"/>
    </row>
    <row r="27" spans="2:31" ht="18.75" x14ac:dyDescent="0.3">
      <c r="L27" s="77">
        <v>7</v>
      </c>
      <c r="M27" s="83" t="s">
        <v>161</v>
      </c>
      <c r="P27" s="19"/>
      <c r="V27" s="114"/>
    </row>
    <row r="28" spans="2:31" ht="19.5" thickBot="1" x14ac:dyDescent="0.35">
      <c r="L28" s="78">
        <v>9</v>
      </c>
      <c r="M28" s="28" t="s">
        <v>43</v>
      </c>
      <c r="N28" s="79"/>
      <c r="O28" s="103">
        <v>0</v>
      </c>
      <c r="P28" s="30" t="s">
        <v>44</v>
      </c>
      <c r="V28" s="114"/>
    </row>
    <row r="29" spans="2:31" x14ac:dyDescent="0.25">
      <c r="V29" s="114"/>
    </row>
    <row r="30" spans="2:31" x14ac:dyDescent="0.25">
      <c r="V30" s="114"/>
    </row>
    <row r="31" spans="2:31" x14ac:dyDescent="0.25">
      <c r="V31" s="114"/>
    </row>
    <row r="36" spans="23:23" x14ac:dyDescent="0.25">
      <c r="W36" t="s">
        <v>76</v>
      </c>
    </row>
    <row r="38" spans="23:23" x14ac:dyDescent="0.25">
      <c r="W38" t="s">
        <v>77</v>
      </c>
    </row>
  </sheetData>
  <conditionalFormatting sqref="N10">
    <cfRule type="iconSet" priority="20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L27">
    <cfRule type="iconSet" priority="19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P21">
    <cfRule type="iconSet" priority="18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L21">
    <cfRule type="iconSet" priority="17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O10">
    <cfRule type="iconSet" priority="16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AE22">
    <cfRule type="iconSet" priority="12">
      <iconSet iconSet="5Quarters" showValue="0">
        <cfvo type="percent" val="0"/>
        <cfvo type="num" val="2"/>
        <cfvo type="num" val="4"/>
        <cfvo type="num" val="6"/>
        <cfvo type="num" val="9"/>
      </iconSet>
    </cfRule>
  </conditionalFormatting>
  <conditionalFormatting sqref="AE23">
    <cfRule type="iconSet" priority="11">
      <iconSet iconSet="5Quarters" showValue="0">
        <cfvo type="percent" val="0"/>
        <cfvo type="num" val="3"/>
        <cfvo type="num" val="5"/>
        <cfvo type="num" val="7"/>
        <cfvo type="num" val="9"/>
      </iconSet>
    </cfRule>
  </conditionalFormatting>
  <conditionalFormatting sqref="X21:X23">
    <cfRule type="iconSet" priority="10">
      <iconSet iconSet="5Quarters" showValue="0">
        <cfvo type="percent" val="0"/>
        <cfvo type="num" val="1"/>
        <cfvo type="num" val="3"/>
        <cfvo type="num" val="4"/>
        <cfvo type="num" val="7"/>
      </iconSet>
    </cfRule>
  </conditionalFormatting>
  <conditionalFormatting sqref="X22">
    <cfRule type="iconSet" priority="9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X23">
    <cfRule type="iconSet" priority="8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L28">
    <cfRule type="iconSet" priority="7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O28">
    <cfRule type="iconSet" priority="6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AK9:AK11">
    <cfRule type="iconSet" priority="5">
      <iconSet iconSet="5Quarters" showValue="0">
        <cfvo type="percent" val="0"/>
        <cfvo type="num" val="1"/>
        <cfvo type="num" val="3"/>
        <cfvo type="num" val="4"/>
        <cfvo type="num" val="7"/>
      </iconSet>
    </cfRule>
  </conditionalFormatting>
  <conditionalFormatting sqref="AK10">
    <cfRule type="iconSet" priority="4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conditionalFormatting sqref="AK11">
    <cfRule type="iconSet" priority="3">
      <iconSet iconSet="5Quarters" showValue="0">
        <cfvo type="percent" val="0"/>
        <cfvo type="num" val="1"/>
        <cfvo type="num" val="3"/>
        <cfvo type="num" val="5"/>
        <cfvo type="num" val="8"/>
      </iconSet>
    </cfRule>
  </conditionalFormatting>
  <pageMargins left="0.7" right="0.7" top="0.75" bottom="0.75" header="0.3" footer="0.3"/>
  <pageSetup scale="66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00"/>
  </sheetPr>
  <dimension ref="B2:C13"/>
  <sheetViews>
    <sheetView workbookViewId="0">
      <selection activeCell="B17" sqref="B17"/>
    </sheetView>
  </sheetViews>
  <sheetFormatPr defaultColWidth="10.85546875" defaultRowHeight="15" x14ac:dyDescent="0.25"/>
  <sheetData>
    <row r="2" spans="2:3" x14ac:dyDescent="0.25">
      <c r="B2">
        <v>1</v>
      </c>
      <c r="C2" t="s">
        <v>150</v>
      </c>
    </row>
    <row r="3" spans="2:3" x14ac:dyDescent="0.25">
      <c r="C3" t="s">
        <v>145</v>
      </c>
    </row>
    <row r="4" spans="2:3" x14ac:dyDescent="0.25">
      <c r="C4" t="s">
        <v>146</v>
      </c>
    </row>
    <row r="5" spans="2:3" x14ac:dyDescent="0.25">
      <c r="C5" t="s">
        <v>147</v>
      </c>
    </row>
    <row r="6" spans="2:3" x14ac:dyDescent="0.25">
      <c r="C6" t="s">
        <v>148</v>
      </c>
    </row>
    <row r="7" spans="2:3" x14ac:dyDescent="0.25">
      <c r="C7" t="s">
        <v>149</v>
      </c>
    </row>
    <row r="9" spans="2:3" x14ac:dyDescent="0.25">
      <c r="B9">
        <v>2</v>
      </c>
      <c r="C9" t="s">
        <v>151</v>
      </c>
    </row>
    <row r="11" spans="2:3" x14ac:dyDescent="0.25">
      <c r="B11">
        <v>3</v>
      </c>
      <c r="C11" t="s">
        <v>152</v>
      </c>
    </row>
    <row r="13" spans="2:3" x14ac:dyDescent="0.25">
      <c r="B13">
        <v>4</v>
      </c>
      <c r="C13" t="s">
        <v>153</v>
      </c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00"/>
  </sheetPr>
  <dimension ref="B2:J27"/>
  <sheetViews>
    <sheetView workbookViewId="0">
      <selection activeCell="D9" sqref="D9"/>
    </sheetView>
  </sheetViews>
  <sheetFormatPr defaultColWidth="10.85546875" defaultRowHeight="15" x14ac:dyDescent="0.25"/>
  <cols>
    <col min="2" max="2" width="16.140625" customWidth="1"/>
    <col min="3" max="3" width="15.5703125" customWidth="1"/>
    <col min="4" max="4" width="16.42578125" customWidth="1"/>
    <col min="5" max="5" width="14.42578125" customWidth="1"/>
  </cols>
  <sheetData>
    <row r="2" spans="2:10" ht="23.25" x14ac:dyDescent="0.35">
      <c r="B2" s="149" t="s">
        <v>80</v>
      </c>
      <c r="C2" s="74"/>
      <c r="D2" s="74"/>
      <c r="F2" s="10"/>
    </row>
    <row r="3" spans="2:10" x14ac:dyDescent="0.25">
      <c r="C3" s="145" t="s">
        <v>81</v>
      </c>
      <c r="D3" s="145" t="s">
        <v>82</v>
      </c>
      <c r="E3" s="145" t="s">
        <v>91</v>
      </c>
      <c r="F3" s="10"/>
    </row>
    <row r="4" spans="2:10" x14ac:dyDescent="0.25">
      <c r="F4" s="10"/>
      <c r="G4" s="2"/>
      <c r="H4" s="2"/>
    </row>
    <row r="5" spans="2:10" x14ac:dyDescent="0.25">
      <c r="B5" t="s">
        <v>144</v>
      </c>
      <c r="C5" s="199">
        <v>10000</v>
      </c>
      <c r="D5" s="199">
        <v>10100</v>
      </c>
      <c r="E5" s="4">
        <f>D5/C5-1</f>
        <v>1.0000000000000009E-2</v>
      </c>
      <c r="F5" s="10">
        <f>E5*C18</f>
        <v>288.00000000000023</v>
      </c>
      <c r="G5" s="146">
        <f t="shared" ref="G5:G10" si="0">F5/$F$18</f>
        <v>3.0710172744721712E-2</v>
      </c>
      <c r="H5" s="146">
        <f t="shared" ref="H5:H10" si="1">IF(G5&lt;0,0,G5)</f>
        <v>3.0710172744721712E-2</v>
      </c>
      <c r="J5" s="199">
        <v>10100</v>
      </c>
    </row>
    <row r="6" spans="2:10" x14ac:dyDescent="0.25">
      <c r="B6" t="s">
        <v>83</v>
      </c>
      <c r="C6" s="159">
        <v>0.3</v>
      </c>
      <c r="D6" s="159">
        <v>0.35</v>
      </c>
      <c r="E6" s="4">
        <f>(D6*C5)/(C6*C5)-1</f>
        <v>0.16666666666666674</v>
      </c>
      <c r="F6" s="10">
        <f>$C$18*(1+$E$5)*E6</f>
        <v>4848.0000000000018</v>
      </c>
      <c r="G6" s="146">
        <f t="shared" si="0"/>
        <v>0.51695457453614868</v>
      </c>
      <c r="H6" s="146">
        <f t="shared" si="1"/>
        <v>0.51695457453614868</v>
      </c>
      <c r="J6" s="159">
        <v>0.35</v>
      </c>
    </row>
    <row r="7" spans="2:10" x14ac:dyDescent="0.25">
      <c r="B7" t="s">
        <v>84</v>
      </c>
      <c r="C7" s="158">
        <v>4</v>
      </c>
      <c r="D7" s="158">
        <v>4.5</v>
      </c>
      <c r="E7" s="4">
        <f>D7/C7-1</f>
        <v>0.125</v>
      </c>
      <c r="F7" s="10">
        <f>$C$18*(1+$E$5)*E7*(1+$E$6)</f>
        <v>4242</v>
      </c>
      <c r="G7" s="146">
        <f t="shared" si="0"/>
        <v>0.45233525271912989</v>
      </c>
      <c r="H7" s="146">
        <f t="shared" si="1"/>
        <v>0.45233525271912989</v>
      </c>
      <c r="J7" s="158">
        <v>4.5</v>
      </c>
    </row>
    <row r="8" spans="2:10" x14ac:dyDescent="0.25">
      <c r="B8" t="s">
        <v>162</v>
      </c>
      <c r="C8" s="158">
        <v>2</v>
      </c>
      <c r="D8" s="158">
        <f>C8/D9*C9</f>
        <v>1.92</v>
      </c>
      <c r="E8" s="4">
        <f>D8/C8-1</f>
        <v>-4.0000000000000036E-2</v>
      </c>
      <c r="F8" s="10">
        <f>$C$18*(1+$E$5)*E8*(1+$E$6)*(1+$E$7)</f>
        <v>-1527.1200000000017</v>
      </c>
      <c r="G8" s="146">
        <f t="shared" si="0"/>
        <v>-0.16284069097888693</v>
      </c>
      <c r="H8" s="146">
        <f t="shared" si="1"/>
        <v>0</v>
      </c>
      <c r="J8" s="158">
        <v>2</v>
      </c>
    </row>
    <row r="9" spans="2:10" ht="17.25" x14ac:dyDescent="0.4">
      <c r="B9" t="s">
        <v>159</v>
      </c>
      <c r="C9" s="158">
        <v>1.2</v>
      </c>
      <c r="D9" s="158">
        <v>1.25</v>
      </c>
      <c r="E9" s="4">
        <f>D9/C9-1</f>
        <v>4.1666666666666741E-2</v>
      </c>
      <c r="F9" s="147">
        <f>$C$18*(1+$E$5)*E9*(1+$E$6)*(1+$E$7)*(1+$E$8)</f>
        <v>1527.1200000000026</v>
      </c>
      <c r="G9" s="146">
        <f t="shared" si="0"/>
        <v>0.16284069097888704</v>
      </c>
      <c r="H9" s="146">
        <f t="shared" si="1"/>
        <v>0.16284069097888704</v>
      </c>
      <c r="J9" s="158">
        <v>1.25</v>
      </c>
    </row>
    <row r="10" spans="2:10" x14ac:dyDescent="0.25">
      <c r="F10" s="10">
        <f>SUM(F5:F9)</f>
        <v>9378.0000000000036</v>
      </c>
      <c r="G10" s="146">
        <f t="shared" si="0"/>
        <v>1.0000000000000004</v>
      </c>
      <c r="H10" s="146">
        <f t="shared" si="1"/>
        <v>1.0000000000000004</v>
      </c>
    </row>
    <row r="11" spans="2:10" x14ac:dyDescent="0.25">
      <c r="F11" s="10"/>
    </row>
    <row r="12" spans="2:10" x14ac:dyDescent="0.25">
      <c r="B12" t="s">
        <v>85</v>
      </c>
      <c r="C12">
        <f>C5*C6</f>
        <v>3000</v>
      </c>
      <c r="D12">
        <f>D5*D6</f>
        <v>3535</v>
      </c>
      <c r="E12" s="4">
        <f>D12/C12-1</f>
        <v>0.17833333333333323</v>
      </c>
      <c r="F12" s="10"/>
    </row>
    <row r="13" spans="2:10" x14ac:dyDescent="0.25">
      <c r="B13" t="s">
        <v>86</v>
      </c>
      <c r="C13">
        <f>C7*C8</f>
        <v>8</v>
      </c>
      <c r="D13">
        <f>D7*D8</f>
        <v>8.64</v>
      </c>
      <c r="E13" s="4">
        <f>D13/C13-1</f>
        <v>8.0000000000000071E-2</v>
      </c>
      <c r="F13" s="10"/>
    </row>
    <row r="14" spans="2:10" x14ac:dyDescent="0.25">
      <c r="B14" t="s">
        <v>87</v>
      </c>
      <c r="C14">
        <f>C9</f>
        <v>1.2</v>
      </c>
      <c r="D14">
        <f>D9</f>
        <v>1.25</v>
      </c>
      <c r="E14" s="4">
        <f>D14/C14-1</f>
        <v>4.1666666666666741E-2</v>
      </c>
      <c r="F14" s="10"/>
    </row>
    <row r="15" spans="2:10" x14ac:dyDescent="0.25">
      <c r="F15" s="10"/>
    </row>
    <row r="16" spans="2:10" x14ac:dyDescent="0.25">
      <c r="B16" t="s">
        <v>88</v>
      </c>
      <c r="C16" s="10">
        <f>C12*C7</f>
        <v>12000</v>
      </c>
      <c r="D16" s="10">
        <f>D12*D7</f>
        <v>15907.5</v>
      </c>
      <c r="E16" s="4">
        <f>D16/C16-1</f>
        <v>0.32562500000000005</v>
      </c>
      <c r="F16" s="10"/>
    </row>
    <row r="17" spans="2:6" x14ac:dyDescent="0.25">
      <c r="B17" t="s">
        <v>89</v>
      </c>
      <c r="C17" s="10">
        <f>C13*C12</f>
        <v>24000</v>
      </c>
      <c r="D17" s="10">
        <f>D13*D12</f>
        <v>30542.400000000001</v>
      </c>
      <c r="E17" s="4">
        <f>D17/C17-1</f>
        <v>0.27259999999999995</v>
      </c>
      <c r="F17" s="10"/>
    </row>
    <row r="18" spans="2:6" x14ac:dyDescent="0.25">
      <c r="B18" t="s">
        <v>90</v>
      </c>
      <c r="C18" s="10">
        <f>C17*C9</f>
        <v>28800</v>
      </c>
      <c r="D18" s="10">
        <f>D17*D9</f>
        <v>38178</v>
      </c>
      <c r="E18" s="4">
        <f>D18/C18-1</f>
        <v>0.32562500000000005</v>
      </c>
      <c r="F18" s="10">
        <f>D18-C18</f>
        <v>9378</v>
      </c>
    </row>
    <row r="19" spans="2:6" x14ac:dyDescent="0.25">
      <c r="F19" s="10"/>
    </row>
    <row r="20" spans="2:6" x14ac:dyDescent="0.25">
      <c r="C20" t="s">
        <v>92</v>
      </c>
      <c r="E20" t="s">
        <v>93</v>
      </c>
      <c r="F20" s="10"/>
    </row>
    <row r="21" spans="2:6" x14ac:dyDescent="0.25">
      <c r="B21" t="str">
        <f>B5</f>
        <v>Market Population</v>
      </c>
      <c r="C21" s="121">
        <f>E5</f>
        <v>1.0000000000000009E-2</v>
      </c>
      <c r="E21" t="str">
        <f>B21</f>
        <v>Market Population</v>
      </c>
      <c r="F21" s="146">
        <f t="shared" ref="F21:F26" si="2">H5/$H$10</f>
        <v>3.0710172744721698E-2</v>
      </c>
    </row>
    <row r="22" spans="2:6" x14ac:dyDescent="0.25">
      <c r="B22" t="str">
        <f>B6</f>
        <v>Penetration</v>
      </c>
      <c r="C22" s="121">
        <f>E6</f>
        <v>0.16666666666666674</v>
      </c>
      <c r="E22" t="str">
        <f>B22</f>
        <v>Penetration</v>
      </c>
      <c r="F22" s="146">
        <f t="shared" si="2"/>
        <v>0.51695457453614846</v>
      </c>
    </row>
    <row r="23" spans="2:6" x14ac:dyDescent="0.25">
      <c r="B23" t="str">
        <f>B7</f>
        <v>Frequency</v>
      </c>
      <c r="C23" s="121">
        <f>E7</f>
        <v>0.125</v>
      </c>
      <c r="E23" t="str">
        <f>B23</f>
        <v>Frequency</v>
      </c>
      <c r="F23" s="146">
        <f t="shared" si="2"/>
        <v>0.45233525271912967</v>
      </c>
    </row>
    <row r="24" spans="2:6" x14ac:dyDescent="0.25">
      <c r="B24" t="str">
        <f>B8</f>
        <v>Qty Per Purchase</v>
      </c>
      <c r="C24" s="121">
        <f>E8</f>
        <v>-4.0000000000000036E-2</v>
      </c>
      <c r="E24" t="str">
        <f>B24</f>
        <v>Qty Per Purchase</v>
      </c>
      <c r="F24" s="146">
        <f t="shared" si="2"/>
        <v>0</v>
      </c>
    </row>
    <row r="25" spans="2:6" x14ac:dyDescent="0.25">
      <c r="B25" t="str">
        <f>B9</f>
        <v>Price Per Qty</v>
      </c>
      <c r="C25" s="121">
        <f>E9</f>
        <v>4.1666666666666741E-2</v>
      </c>
      <c r="E25" t="str">
        <f>B25</f>
        <v>Price Per Qty</v>
      </c>
      <c r="F25" s="148">
        <f t="shared" si="2"/>
        <v>0.16284069097888695</v>
      </c>
    </row>
    <row r="26" spans="2:6" x14ac:dyDescent="0.25">
      <c r="F26" s="146">
        <f t="shared" si="2"/>
        <v>1</v>
      </c>
    </row>
    <row r="27" spans="2:6" x14ac:dyDescent="0.25">
      <c r="F27" s="10"/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8000"/>
  </sheetPr>
  <dimension ref="A1:P40"/>
  <sheetViews>
    <sheetView showGridLines="0" topLeftCell="D26" workbookViewId="0">
      <selection activeCell="P12" sqref="P12"/>
    </sheetView>
  </sheetViews>
  <sheetFormatPr defaultColWidth="10.85546875" defaultRowHeight="15" x14ac:dyDescent="0.25"/>
  <cols>
    <col min="7" max="7" width="12" customWidth="1"/>
    <col min="9" max="9" width="14.28515625" customWidth="1"/>
    <col min="11" max="11" width="17.5703125" customWidth="1"/>
  </cols>
  <sheetData>
    <row r="1" spans="1:16" ht="29.25" thickBot="1" x14ac:dyDescent="0.5">
      <c r="A1" s="161" t="s">
        <v>115</v>
      </c>
      <c r="E1" s="162"/>
      <c r="K1" s="163"/>
      <c r="M1" s="162"/>
      <c r="N1" s="162"/>
      <c r="O1" s="212" t="s">
        <v>116</v>
      </c>
      <c r="P1" s="213"/>
    </row>
    <row r="2" spans="1:16" ht="27" thickBot="1" x14ac:dyDescent="0.45">
      <c r="A2" s="164"/>
      <c r="E2" s="162"/>
      <c r="G2" s="214" t="str">
        <f>"Current Driver  Tree of "&amp;P2</f>
        <v>Current Driver  Tree of Brand X</v>
      </c>
      <c r="H2" s="214"/>
      <c r="I2" s="214"/>
      <c r="J2" s="214"/>
      <c r="K2" s="214"/>
      <c r="M2" s="162"/>
      <c r="N2" s="162"/>
      <c r="O2" s="165" t="s">
        <v>117</v>
      </c>
      <c r="P2" s="166" t="s">
        <v>74</v>
      </c>
    </row>
    <row r="3" spans="1:16" ht="30.75" thickBot="1" x14ac:dyDescent="0.3">
      <c r="E3" s="162"/>
      <c r="K3" s="163"/>
      <c r="M3" s="162"/>
      <c r="N3" s="162"/>
      <c r="O3" s="165" t="s">
        <v>118</v>
      </c>
      <c r="P3" s="167">
        <v>1</v>
      </c>
    </row>
    <row r="4" spans="1:16" ht="60.75" thickBot="1" x14ac:dyDescent="0.3">
      <c r="E4" s="162"/>
      <c r="G4" s="168" t="str">
        <f>"Annual Purchase Occasions of "&amp;P2</f>
        <v>Annual Purchase Occasions of Brand X</v>
      </c>
      <c r="I4" s="169" t="str">
        <f>"Annual Value of "&amp;P2</f>
        <v>Annual Value of Brand X</v>
      </c>
      <c r="K4" s="168" t="str">
        <f>"Annual Size of "&amp;P2</f>
        <v>Annual Size of Brand X</v>
      </c>
      <c r="M4" s="162"/>
      <c r="N4" s="162"/>
      <c r="O4" s="165" t="s">
        <v>119</v>
      </c>
      <c r="P4" s="167">
        <v>100</v>
      </c>
    </row>
    <row r="5" spans="1:16" ht="15.75" thickBot="1" x14ac:dyDescent="0.3">
      <c r="E5" s="162"/>
      <c r="G5" s="170" t="str">
        <f>ROUND(C13*G13*K13,1)&amp;" MM"</f>
        <v>12000 MM</v>
      </c>
      <c r="I5" s="171" t="str">
        <f>ROUND(C13*G13*K13*O13,0)&amp;" "&amp;P17&amp;" MM"</f>
        <v>28800 US$ MM</v>
      </c>
      <c r="K5" s="170" t="str">
        <f>ROUND(C13*G13*K13*N16,0)&amp;" MM"</f>
        <v>24000 MM</v>
      </c>
      <c r="M5" s="162"/>
      <c r="N5" s="162"/>
      <c r="O5" s="165" t="s">
        <v>120</v>
      </c>
      <c r="P5" s="167" t="s">
        <v>133</v>
      </c>
    </row>
    <row r="6" spans="1:16" ht="33.950000000000003" customHeight="1" thickBot="1" x14ac:dyDescent="0.3">
      <c r="E6" s="162"/>
      <c r="K6" s="163"/>
      <c r="M6" s="162"/>
      <c r="N6" s="162"/>
      <c r="O6" s="165" t="s">
        <v>135</v>
      </c>
      <c r="P6" s="198">
        <v>0.25</v>
      </c>
    </row>
    <row r="7" spans="1:16" ht="75.75" thickBot="1" x14ac:dyDescent="0.3">
      <c r="E7" s="172" t="s">
        <v>85</v>
      </c>
      <c r="M7" s="173" t="s">
        <v>121</v>
      </c>
      <c r="N7" s="162"/>
      <c r="O7" s="165" t="s">
        <v>136</v>
      </c>
      <c r="P7" s="198">
        <v>0.2</v>
      </c>
    </row>
    <row r="8" spans="1:16" ht="30.75" thickBot="1" x14ac:dyDescent="0.3">
      <c r="E8" s="196"/>
      <c r="I8" s="192" t="s">
        <v>137</v>
      </c>
      <c r="M8" s="197"/>
      <c r="N8" s="162"/>
      <c r="O8" s="162"/>
    </row>
    <row r="9" spans="1:16" ht="30.75" thickBot="1" x14ac:dyDescent="0.3">
      <c r="E9" s="174" t="str">
        <f>ROUND(C13*G13,1)&amp;"  "&amp;"HH MMs"</f>
        <v>3000  HH MMs</v>
      </c>
      <c r="I9" s="193" t="str">
        <f>ROUND(C13*G13*K13*N16*P16*(P6),0)&amp;" "&amp;P17&amp;" MM"</f>
        <v>7200 US$ MM</v>
      </c>
      <c r="K9" s="163"/>
      <c r="M9" s="175" t="str">
        <f>ROUND(K13*O13,1)&amp;"  "&amp;P17</f>
        <v>9.6  US$</v>
      </c>
      <c r="N9" s="162"/>
      <c r="O9" s="162"/>
    </row>
    <row r="10" spans="1:16" x14ac:dyDescent="0.25">
      <c r="E10" s="162"/>
      <c r="K10" s="163"/>
      <c r="M10" s="162"/>
      <c r="N10" s="162"/>
      <c r="O10" s="162"/>
    </row>
    <row r="11" spans="1:16" ht="15.75" thickBot="1" x14ac:dyDescent="0.3">
      <c r="E11" s="162"/>
      <c r="K11" s="163"/>
      <c r="M11" s="162"/>
      <c r="N11" s="162"/>
      <c r="O11" s="162"/>
    </row>
    <row r="12" spans="1:16" ht="60.75" thickBot="1" x14ac:dyDescent="0.3">
      <c r="C12" s="176" t="s">
        <v>144</v>
      </c>
      <c r="E12" s="162"/>
      <c r="G12" s="176" t="s">
        <v>122</v>
      </c>
      <c r="I12" s="194" t="s">
        <v>134</v>
      </c>
      <c r="K12" s="177" t="s">
        <v>123</v>
      </c>
      <c r="M12" s="162"/>
      <c r="N12" s="162"/>
      <c r="O12" s="177" t="s">
        <v>124</v>
      </c>
    </row>
    <row r="13" spans="1:16" ht="30.75" thickBot="1" x14ac:dyDescent="0.3">
      <c r="C13" s="178">
        <f>'Input Marketing'!C5</f>
        <v>10000</v>
      </c>
      <c r="E13" s="162"/>
      <c r="G13" s="179">
        <f>'Input Marketing'!C6</f>
        <v>0.3</v>
      </c>
      <c r="H13" s="180"/>
      <c r="I13" s="195" t="str">
        <f>ROUND(C13*G13*K13*N16*P16*(1-P6),0)&amp;" "&amp;P17&amp;" MM"</f>
        <v>21600 US$ MM</v>
      </c>
      <c r="K13" s="181">
        <f>'Input Marketing'!C7</f>
        <v>4</v>
      </c>
      <c r="M13" s="162"/>
      <c r="N13" s="162"/>
      <c r="O13" s="182">
        <f>N16*P16</f>
        <v>2.4</v>
      </c>
    </row>
    <row r="14" spans="1:16" ht="45.75" thickBot="1" x14ac:dyDescent="0.3">
      <c r="C14" s="183" t="s">
        <v>125</v>
      </c>
      <c r="E14" s="162"/>
      <c r="G14" s="184" t="s">
        <v>126</v>
      </c>
      <c r="K14" s="185" t="s">
        <v>127</v>
      </c>
      <c r="M14" s="162"/>
      <c r="N14" s="162"/>
      <c r="O14" s="162"/>
    </row>
    <row r="15" spans="1:16" ht="30.75" thickBot="1" x14ac:dyDescent="0.3">
      <c r="E15" s="162"/>
      <c r="I15" s="194" t="s">
        <v>158</v>
      </c>
      <c r="K15" s="163"/>
      <c r="M15" s="162"/>
      <c r="N15" s="186" t="s">
        <v>154</v>
      </c>
      <c r="O15" s="162"/>
      <c r="P15" s="186" t="s">
        <v>128</v>
      </c>
    </row>
    <row r="16" spans="1:16" ht="15.75" thickBot="1" x14ac:dyDescent="0.3">
      <c r="E16" s="162"/>
      <c r="I16" s="195" t="str">
        <f>ROUND(C13*G13*K13*N16*P16*(1-P6)*(P7),0)&amp;" "&amp;P41&amp;" MM"</f>
        <v>4320  MM</v>
      </c>
      <c r="K16" s="163"/>
      <c r="M16" s="162"/>
      <c r="N16" s="187">
        <f>'Input Marketing'!C8</f>
        <v>2</v>
      </c>
      <c r="O16" s="162"/>
      <c r="P16" s="188">
        <f>'Input Marketing'!C9</f>
        <v>1.2</v>
      </c>
    </row>
    <row r="17" spans="1:16" ht="15.75" thickBot="1" x14ac:dyDescent="0.3">
      <c r="B17" t="s">
        <v>129</v>
      </c>
      <c r="E17" s="162"/>
      <c r="K17" s="163"/>
      <c r="M17" s="162"/>
      <c r="N17" s="189" t="s">
        <v>130</v>
      </c>
      <c r="O17" s="162"/>
      <c r="P17" s="190" t="str">
        <f>P5</f>
        <v>US$</v>
      </c>
    </row>
    <row r="18" spans="1:16" x14ac:dyDescent="0.25">
      <c r="B18" s="67" t="s">
        <v>141</v>
      </c>
      <c r="D18" s="200" t="s">
        <v>139</v>
      </c>
      <c r="E18" s="201" t="s">
        <v>138</v>
      </c>
      <c r="F18" s="211" t="s">
        <v>131</v>
      </c>
      <c r="G18" s="211"/>
      <c r="K18" s="163"/>
      <c r="M18" s="162"/>
    </row>
    <row r="19" spans="1:16" x14ac:dyDescent="0.25">
      <c r="B19" s="67" t="s">
        <v>143</v>
      </c>
      <c r="C19" s="67"/>
      <c r="D19" s="81" t="s">
        <v>140</v>
      </c>
      <c r="E19" s="201" t="s">
        <v>142</v>
      </c>
      <c r="F19" s="80" t="s">
        <v>132</v>
      </c>
      <c r="G19" s="2"/>
      <c r="K19" s="163"/>
      <c r="M19" s="162"/>
      <c r="N19" s="162"/>
      <c r="O19" s="162"/>
    </row>
    <row r="20" spans="1:16" ht="17.25" x14ac:dyDescent="0.3">
      <c r="E20" s="191"/>
      <c r="K20" s="163"/>
      <c r="M20" s="162"/>
      <c r="N20" s="162"/>
      <c r="O20" s="162"/>
    </row>
    <row r="21" spans="1:16" ht="15.75" thickBot="1" x14ac:dyDescent="0.3">
      <c r="E21" s="162"/>
      <c r="K21" s="163"/>
      <c r="M21" s="162"/>
      <c r="N21" s="162"/>
    </row>
    <row r="22" spans="1:16" ht="29.25" thickBot="1" x14ac:dyDescent="0.5">
      <c r="A22" s="161" t="s">
        <v>115</v>
      </c>
      <c r="E22" s="162"/>
      <c r="K22" s="163"/>
      <c r="M22" s="162"/>
      <c r="N22" s="162"/>
      <c r="O22" s="212" t="s">
        <v>116</v>
      </c>
      <c r="P22" s="213"/>
    </row>
    <row r="23" spans="1:16" ht="27" thickBot="1" x14ac:dyDescent="0.45">
      <c r="A23" s="164"/>
      <c r="E23" s="162"/>
      <c r="G23" s="214" t="str">
        <f>"Future  State Driver  Tree of "&amp;P23</f>
        <v>Future  State Driver  Tree of Brand X</v>
      </c>
      <c r="H23" s="214"/>
      <c r="I23" s="214"/>
      <c r="J23" s="214"/>
      <c r="K23" s="214"/>
      <c r="M23" s="162"/>
      <c r="N23" s="162"/>
      <c r="O23" s="165" t="s">
        <v>117</v>
      </c>
      <c r="P23" s="166" t="s">
        <v>74</v>
      </c>
    </row>
    <row r="24" spans="1:16" ht="30.75" thickBot="1" x14ac:dyDescent="0.3">
      <c r="E24" s="162"/>
      <c r="K24" s="163"/>
      <c r="M24" s="162"/>
      <c r="N24" s="162"/>
      <c r="O24" s="165" t="s">
        <v>118</v>
      </c>
      <c r="P24" s="167">
        <v>1</v>
      </c>
    </row>
    <row r="25" spans="1:16" ht="60.75" thickBot="1" x14ac:dyDescent="0.3">
      <c r="E25" s="162"/>
      <c r="G25" s="168" t="str">
        <f>"Annual Purchase Occasions of "&amp;P23</f>
        <v>Annual Purchase Occasions of Brand X</v>
      </c>
      <c r="I25" s="169" t="str">
        <f>"Annual Value of "&amp;P23</f>
        <v>Annual Value of Brand X</v>
      </c>
      <c r="K25" s="168" t="str">
        <f>"Annual Size of "&amp;P23</f>
        <v>Annual Size of Brand X</v>
      </c>
      <c r="M25" s="162"/>
      <c r="N25" s="162"/>
      <c r="O25" s="165" t="s">
        <v>119</v>
      </c>
      <c r="P25" s="167">
        <v>100</v>
      </c>
    </row>
    <row r="26" spans="1:16" ht="15.75" thickBot="1" x14ac:dyDescent="0.3">
      <c r="E26" s="162"/>
      <c r="G26" s="170" t="str">
        <f>ROUND(C34*G34*K34,1)&amp;" MM"</f>
        <v>15907.5 MM</v>
      </c>
      <c r="I26" s="171" t="str">
        <f>ROUND(C34*G34*K34*O34,0)&amp;" "&amp;P38&amp;" MM"</f>
        <v>38178 US$ MM</v>
      </c>
      <c r="K26" s="170" t="str">
        <f>ROUND(C34*G34*K34*N37,0)&amp;" MM"</f>
        <v>30542 MM</v>
      </c>
      <c r="M26" s="162"/>
      <c r="N26" s="162"/>
      <c r="O26" s="165" t="s">
        <v>120</v>
      </c>
      <c r="P26" s="167" t="s">
        <v>133</v>
      </c>
    </row>
    <row r="27" spans="1:16" ht="30.75" thickBot="1" x14ac:dyDescent="0.3">
      <c r="E27" s="162"/>
      <c r="G27" s="202" t="str">
        <f>"Change ="&amp;(ROUND('Input Marketing'!E16*100,0))&amp;"%"</f>
        <v>Change =33%</v>
      </c>
      <c r="H27" s="1"/>
      <c r="I27" s="202" t="str">
        <f>"Change ="&amp;(ROUND('Input Marketing'!E18*100,0))&amp;"%"</f>
        <v>Change =33%</v>
      </c>
      <c r="J27" s="1"/>
      <c r="K27" s="202" t="str">
        <f>"Change ="&amp;(ROUND('Input Marketing'!E17*100,0))&amp;"%"</f>
        <v>Change =27%</v>
      </c>
      <c r="M27" s="162"/>
      <c r="N27" s="162"/>
      <c r="O27" s="165" t="s">
        <v>135</v>
      </c>
      <c r="P27" s="198">
        <v>0.25</v>
      </c>
    </row>
    <row r="28" spans="1:16" ht="75.75" thickBot="1" x14ac:dyDescent="0.3">
      <c r="E28" s="172" t="s">
        <v>85</v>
      </c>
      <c r="M28" s="173" t="s">
        <v>121</v>
      </c>
      <c r="N28" s="162"/>
      <c r="O28" s="165" t="s">
        <v>136</v>
      </c>
      <c r="P28" s="198">
        <v>0.2</v>
      </c>
    </row>
    <row r="29" spans="1:16" ht="30.75" thickBot="1" x14ac:dyDescent="0.3">
      <c r="E29" s="196"/>
      <c r="I29" s="192" t="s">
        <v>137</v>
      </c>
      <c r="M29" s="197"/>
      <c r="N29" s="162"/>
      <c r="O29" s="162"/>
    </row>
    <row r="30" spans="1:16" ht="30.75" thickBot="1" x14ac:dyDescent="0.3">
      <c r="E30" s="174" t="str">
        <f>ROUND(C34*G34,1)&amp;"  "&amp;"HH MMs"</f>
        <v>3535  HH MMs</v>
      </c>
      <c r="I30" s="193" t="str">
        <f>ROUND(C34*G34*K34*N37*P37*(P27),0)&amp;" "&amp;P38&amp;" MM"</f>
        <v>9545 US$ MM</v>
      </c>
      <c r="K30" s="163"/>
      <c r="M30" s="175" t="str">
        <f>ROUND(K34*O34,1)&amp;"  "&amp;P38</f>
        <v>10.8  US$</v>
      </c>
      <c r="N30" s="162"/>
      <c r="O30" s="162"/>
    </row>
    <row r="31" spans="1:16" x14ac:dyDescent="0.25">
      <c r="E31" s="162"/>
      <c r="K31" s="163"/>
      <c r="M31" s="162"/>
      <c r="N31" s="162"/>
      <c r="O31" s="162"/>
    </row>
    <row r="32" spans="1:16" ht="15.75" thickBot="1" x14ac:dyDescent="0.3">
      <c r="E32" s="162"/>
      <c r="K32" s="163"/>
      <c r="M32" s="162"/>
      <c r="N32" s="162"/>
      <c r="O32" s="162"/>
    </row>
    <row r="33" spans="2:16" ht="60.75" thickBot="1" x14ac:dyDescent="0.3">
      <c r="C33" s="176" t="s">
        <v>144</v>
      </c>
      <c r="E33" s="162"/>
      <c r="G33" s="176" t="s">
        <v>122</v>
      </c>
      <c r="I33" s="194" t="s">
        <v>134</v>
      </c>
      <c r="K33" s="177" t="s">
        <v>123</v>
      </c>
      <c r="M33" s="162"/>
      <c r="N33" s="162"/>
      <c r="O33" s="177" t="s">
        <v>124</v>
      </c>
    </row>
    <row r="34" spans="2:16" ht="30.75" thickBot="1" x14ac:dyDescent="0.3">
      <c r="C34" s="178">
        <f>'Input Marketing'!D5</f>
        <v>10100</v>
      </c>
      <c r="E34" s="162"/>
      <c r="G34" s="179">
        <f>'Input Marketing'!D6</f>
        <v>0.35</v>
      </c>
      <c r="H34" s="180"/>
      <c r="I34" s="195" t="str">
        <f>ROUND(C34*G34*K34*N37*P37*(1-P27),0)&amp;" "&amp;P38&amp;" MM"</f>
        <v>28634 US$ MM</v>
      </c>
      <c r="K34" s="181">
        <f>'Input Marketing'!D7</f>
        <v>4.5</v>
      </c>
      <c r="M34" s="162"/>
      <c r="N34" s="162"/>
      <c r="O34" s="182">
        <f>N37*P37</f>
        <v>2.4</v>
      </c>
    </row>
    <row r="35" spans="2:16" ht="45.75" thickBot="1" x14ac:dyDescent="0.3">
      <c r="C35" s="183" t="s">
        <v>125</v>
      </c>
      <c r="E35" s="162"/>
      <c r="G35" s="184" t="s">
        <v>126</v>
      </c>
      <c r="K35" s="185" t="s">
        <v>127</v>
      </c>
      <c r="M35" s="162"/>
      <c r="N35" s="162"/>
      <c r="O35" s="162"/>
    </row>
    <row r="36" spans="2:16" ht="30.75" thickBot="1" x14ac:dyDescent="0.3">
      <c r="E36" s="162"/>
      <c r="I36" s="194" t="s">
        <v>158</v>
      </c>
      <c r="K36" s="163"/>
      <c r="M36" s="162"/>
      <c r="N36" s="186" t="s">
        <v>154</v>
      </c>
      <c r="O36" s="162"/>
      <c r="P36" s="186" t="s">
        <v>128</v>
      </c>
    </row>
    <row r="37" spans="2:16" ht="15.75" thickBot="1" x14ac:dyDescent="0.3">
      <c r="E37" s="162"/>
      <c r="I37" s="195" t="str">
        <f>ROUND(C34*G34*K34*N37*P37*(1-P27)*(P28),0)&amp;" "&amp;P62&amp;" MM"</f>
        <v>5727  MM</v>
      </c>
      <c r="K37" s="163"/>
      <c r="M37" s="162"/>
      <c r="N37" s="187">
        <f>'Input Marketing'!D8</f>
        <v>1.92</v>
      </c>
      <c r="O37" s="162"/>
      <c r="P37" s="188">
        <f>'Input Marketing'!D9</f>
        <v>1.25</v>
      </c>
    </row>
    <row r="38" spans="2:16" ht="15.75" thickBot="1" x14ac:dyDescent="0.3">
      <c r="B38" t="s">
        <v>129</v>
      </c>
      <c r="E38" s="162"/>
      <c r="K38" s="163"/>
      <c r="M38" s="162"/>
      <c r="N38" s="189" t="s">
        <v>130</v>
      </c>
      <c r="O38" s="162"/>
      <c r="P38" s="190" t="str">
        <f>P26</f>
        <v>US$</v>
      </c>
    </row>
    <row r="39" spans="2:16" x14ac:dyDescent="0.25">
      <c r="B39" s="67" t="s">
        <v>141</v>
      </c>
      <c r="D39" s="200" t="s">
        <v>139</v>
      </c>
      <c r="E39" s="201" t="s">
        <v>138</v>
      </c>
      <c r="F39" s="211" t="s">
        <v>131</v>
      </c>
      <c r="G39" s="211"/>
      <c r="K39" s="163"/>
      <c r="M39" s="162"/>
    </row>
    <row r="40" spans="2:16" x14ac:dyDescent="0.25">
      <c r="B40" s="67" t="s">
        <v>143</v>
      </c>
      <c r="C40" s="67"/>
      <c r="D40" s="81" t="s">
        <v>140</v>
      </c>
      <c r="E40" s="201" t="s">
        <v>142</v>
      </c>
      <c r="F40" s="80" t="s">
        <v>132</v>
      </c>
      <c r="G40" s="2"/>
      <c r="K40" s="163"/>
      <c r="M40" s="162"/>
      <c r="N40" s="162"/>
      <c r="O40" s="162"/>
    </row>
  </sheetData>
  <mergeCells count="6">
    <mergeCell ref="F39:G39"/>
    <mergeCell ref="O1:P1"/>
    <mergeCell ref="G2:K2"/>
    <mergeCell ref="F18:G18"/>
    <mergeCell ref="O22:P22"/>
    <mergeCell ref="G23:K23"/>
  </mergeCells>
  <pageMargins left="0.75" right="0.75" top="1" bottom="1" header="0.5" footer="0.5"/>
  <pageSetup orientation="portrait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8000"/>
  </sheetPr>
  <dimension ref="A1:B27"/>
  <sheetViews>
    <sheetView showGridLines="0" workbookViewId="0">
      <selection activeCell="B22" sqref="B22:G24"/>
    </sheetView>
  </sheetViews>
  <sheetFormatPr defaultColWidth="10.85546875" defaultRowHeight="15" x14ac:dyDescent="0.25"/>
  <sheetData>
    <row r="1" spans="1:1" x14ac:dyDescent="0.25">
      <c r="A1" t="s">
        <v>94</v>
      </c>
    </row>
    <row r="22" spans="2:2" x14ac:dyDescent="0.25">
      <c r="B22" t="s">
        <v>95</v>
      </c>
    </row>
    <row r="24" spans="2:2" x14ac:dyDescent="0.25">
      <c r="B24" t="s">
        <v>96</v>
      </c>
    </row>
    <row r="26" spans="2:2" x14ac:dyDescent="0.25">
      <c r="B26" t="s">
        <v>97</v>
      </c>
    </row>
    <row r="27" spans="2:2" x14ac:dyDescent="0.25">
      <c r="B27" t="s">
        <v>79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Business Instructions</vt:lpstr>
      <vt:lpstr>Input Business</vt:lpstr>
      <vt:lpstr>Business Price Objectives</vt:lpstr>
      <vt:lpstr>Sheet3</vt:lpstr>
      <vt:lpstr>Marketing Instructions</vt:lpstr>
      <vt:lpstr>Input Marketing</vt:lpstr>
      <vt:lpstr>Driver Trees</vt:lpstr>
      <vt:lpstr>Marketing Objectives</vt:lpstr>
      <vt:lpstr>'Business Price Objectives'!Print_Area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Duncombe, Dave</dc:creator>
  <cp:lastModifiedBy>David Duncombe</cp:lastModifiedBy>
  <cp:lastPrinted>2015-11-05T19:22:15Z</cp:lastPrinted>
  <dcterms:created xsi:type="dcterms:W3CDTF">2013-02-06T20:10:14Z</dcterms:created>
  <dcterms:modified xsi:type="dcterms:W3CDTF">2019-03-11T20:02:57Z</dcterms:modified>
</cp:coreProperties>
</file>