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\Documents\Finances d'OR\Site Web\Site Web\RVER\"/>
    </mc:Choice>
  </mc:AlternateContent>
  <workbookProtection workbookAlgorithmName="SHA-512" workbookHashValue="7CTqrrk7P/yHM03vG8Y9n+rZjrR61Bvd0aF8J2VVFJnLGJjmnfQ0Oh4YDyAcjynif38dSNNEjIY5fmu/hciH0A==" workbookSaltValue="fpDPMsqx/bVi4+5yFTAWkQ==" workbookSpinCount="100000" lockStructure="1"/>
  <bookViews>
    <workbookView xWindow="0" yWindow="0" windowWidth="19200" windowHeight="9168" xr2:uid="{00000000-000D-0000-FFFF-FFFF00000000}"/>
  </bookViews>
  <sheets>
    <sheet name="Données" sheetId="1" r:id="rId1"/>
    <sheet name="Seuils" sheetId="2" r:id="rId2"/>
  </sheets>
  <calcPr calcId="171027"/>
</workbook>
</file>

<file path=xl/calcChain.xml><?xml version="1.0" encoding="utf-8"?>
<calcChain xmlns="http://schemas.openxmlformats.org/spreadsheetml/2006/main">
  <c r="K17" i="2" l="1"/>
  <c r="B14" i="1"/>
  <c r="O33" i="2" l="1"/>
  <c r="N33" i="2"/>
  <c r="C9" i="1" l="1"/>
  <c r="B7" i="1"/>
  <c r="C7" i="1" l="1"/>
  <c r="E7" i="2" l="1"/>
  <c r="H73" i="2" l="1"/>
  <c r="B70" i="2"/>
  <c r="O31" i="2" l="1"/>
  <c r="G64" i="1" l="1"/>
  <c r="A73" i="2"/>
  <c r="A74" i="2" s="1"/>
  <c r="D6" i="1"/>
  <c r="A75" i="2" l="1"/>
  <c r="F6" i="1"/>
  <c r="G6" i="1" s="1"/>
  <c r="B10" i="1"/>
  <c r="D54" i="1"/>
  <c r="D53" i="1"/>
  <c r="H78" i="2"/>
  <c r="A76" i="2" l="1"/>
  <c r="B15" i="1"/>
  <c r="D15" i="1" s="1"/>
  <c r="G6" i="2"/>
  <c r="D8" i="1"/>
  <c r="C14" i="1"/>
  <c r="D14" i="1"/>
  <c r="D9" i="1"/>
  <c r="D25" i="1"/>
  <c r="J14" i="2"/>
  <c r="B24" i="1"/>
  <c r="C23" i="1"/>
  <c r="B23" i="1"/>
  <c r="D23" i="1" s="1"/>
  <c r="C15" i="1"/>
  <c r="E15" i="1" s="1"/>
  <c r="D7" i="1"/>
  <c r="A65" i="1"/>
  <c r="J44" i="2"/>
  <c r="I45" i="2" s="1"/>
  <c r="I44" i="2"/>
  <c r="J42" i="2"/>
  <c r="I43" i="2" s="1"/>
  <c r="I42" i="2"/>
  <c r="F47" i="2"/>
  <c r="C46" i="2"/>
  <c r="D46" i="2" s="1"/>
  <c r="C44" i="2"/>
  <c r="D44" i="2" s="1"/>
  <c r="C45" i="2" s="1"/>
  <c r="C42" i="2"/>
  <c r="D42" i="2" s="1"/>
  <c r="C43" i="2" s="1"/>
  <c r="N24" i="2"/>
  <c r="O24" i="2" s="1"/>
  <c r="D21" i="2"/>
  <c r="D17" i="2"/>
  <c r="L9" i="2"/>
  <c r="I9" i="2"/>
  <c r="L8" i="2"/>
  <c r="I8" i="2"/>
  <c r="L7" i="2"/>
  <c r="I7" i="2"/>
  <c r="E9" i="2"/>
  <c r="D9" i="2"/>
  <c r="A9" i="2"/>
  <c r="E8" i="2"/>
  <c r="D8" i="2"/>
  <c r="A8" i="2"/>
  <c r="D7" i="2"/>
  <c r="A7" i="2"/>
  <c r="E6" i="2"/>
  <c r="D50" i="2" l="1"/>
  <c r="D52" i="2" s="1"/>
  <c r="J50" i="2"/>
  <c r="J52" i="2" s="1"/>
  <c r="D49" i="1" s="1"/>
  <c r="J10" i="1" s="1"/>
  <c r="C47" i="2"/>
  <c r="A66" i="1"/>
  <c r="G65" i="1"/>
  <c r="P29" i="2"/>
  <c r="D32" i="2"/>
  <c r="D30" i="2"/>
  <c r="P28" i="2"/>
  <c r="D31" i="2"/>
  <c r="A77" i="2"/>
  <c r="C11" i="1"/>
  <c r="E17" i="1" s="1"/>
  <c r="E14" i="1"/>
  <c r="B11" i="1"/>
  <c r="P25" i="2"/>
  <c r="K15" i="2"/>
  <c r="I16" i="2" s="1"/>
  <c r="L8" i="1" s="1"/>
  <c r="D10" i="1"/>
  <c r="D23" i="2"/>
  <c r="G25" i="2" s="1"/>
  <c r="J15" i="2"/>
  <c r="F9" i="2"/>
  <c r="P31" i="2"/>
  <c r="P24" i="2"/>
  <c r="P30" i="2"/>
  <c r="P26" i="2"/>
  <c r="P27" i="2"/>
  <c r="E23" i="1"/>
  <c r="O32" i="2"/>
  <c r="P33" i="2" s="1"/>
  <c r="F7" i="2"/>
  <c r="F8" i="2"/>
  <c r="J17" i="2" l="1"/>
  <c r="L15" i="2"/>
  <c r="B49" i="1"/>
  <c r="A67" i="1"/>
  <c r="G66" i="1"/>
  <c r="A78" i="2"/>
  <c r="D17" i="1"/>
  <c r="D11" i="1"/>
  <c r="E16" i="1" s="1"/>
  <c r="B16" i="1"/>
  <c r="B18" i="1" s="1"/>
  <c r="H28" i="2"/>
  <c r="C16" i="1"/>
  <c r="P32" i="2"/>
  <c r="A68" i="1" l="1"/>
  <c r="G67" i="1"/>
  <c r="B40" i="1"/>
  <c r="A79" i="2"/>
  <c r="C18" i="1"/>
  <c r="D16" i="1"/>
  <c r="D18" i="1" s="1"/>
  <c r="D46" i="1"/>
  <c r="D60" i="1"/>
  <c r="E18" i="1"/>
  <c r="A69" i="1" l="1"/>
  <c r="G68" i="1"/>
  <c r="C19" i="1"/>
  <c r="C29" i="1" s="1"/>
  <c r="K31" i="2"/>
  <c r="K37" i="2" s="1"/>
  <c r="A80" i="2"/>
  <c r="D40" i="1"/>
  <c r="E40" i="1" s="1"/>
  <c r="F40" i="1" s="1"/>
  <c r="E19" i="1"/>
  <c r="K55" i="2" s="1"/>
  <c r="D65" i="1"/>
  <c r="D68" i="1"/>
  <c r="D66" i="1"/>
  <c r="D92" i="1"/>
  <c r="D91" i="1"/>
  <c r="D76" i="1"/>
  <c r="D83" i="1"/>
  <c r="D84" i="1"/>
  <c r="D79" i="1"/>
  <c r="D64" i="1"/>
  <c r="D80" i="1"/>
  <c r="D69" i="1"/>
  <c r="D77" i="1"/>
  <c r="D85" i="1"/>
  <c r="D93" i="1"/>
  <c r="D70" i="1"/>
  <c r="D78" i="1"/>
  <c r="D86" i="1"/>
  <c r="D75" i="1"/>
  <c r="D67" i="1"/>
  <c r="D71" i="1"/>
  <c r="D87" i="1"/>
  <c r="D72" i="1"/>
  <c r="D88" i="1"/>
  <c r="D73" i="1"/>
  <c r="D81" i="1"/>
  <c r="D89" i="1"/>
  <c r="D74" i="1"/>
  <c r="D82" i="1"/>
  <c r="D90" i="1"/>
  <c r="L30" i="2" l="1"/>
  <c r="L31" i="2" s="1"/>
  <c r="D55" i="2"/>
  <c r="B41" i="1" s="1"/>
  <c r="K27" i="2"/>
  <c r="K28" i="2" s="1"/>
  <c r="E24" i="1"/>
  <c r="J55" i="2"/>
  <c r="B42" i="1" s="1"/>
  <c r="B29" i="1"/>
  <c r="K16" i="2"/>
  <c r="K18" i="2" s="1"/>
  <c r="C24" i="1" s="1"/>
  <c r="D25" i="2"/>
  <c r="D24" i="2" s="1"/>
  <c r="B26" i="1" s="1"/>
  <c r="B27" i="1" s="1"/>
  <c r="B30" i="1" s="1"/>
  <c r="G69" i="1"/>
  <c r="A70" i="1"/>
  <c r="E25" i="2"/>
  <c r="E24" i="2" s="1"/>
  <c r="D26" i="1" s="1"/>
  <c r="A81" i="2"/>
  <c r="L27" i="2"/>
  <c r="D42" i="1"/>
  <c r="E55" i="2"/>
  <c r="D41" i="1" s="1"/>
  <c r="K30" i="2"/>
  <c r="K36" i="2" s="1"/>
  <c r="K38" i="2" s="1"/>
  <c r="C32" i="1" s="1"/>
  <c r="D37" i="2"/>
  <c r="E29" i="1" l="1"/>
  <c r="D29" i="1"/>
  <c r="E42" i="1"/>
  <c r="F42" i="1" s="1"/>
  <c r="E41" i="1"/>
  <c r="F41" i="1" s="1"/>
  <c r="L28" i="2"/>
  <c r="L23" i="2" s="1"/>
  <c r="L24" i="2" s="1"/>
  <c r="E26" i="1" s="1"/>
  <c r="E27" i="1" s="1"/>
  <c r="C33" i="1"/>
  <c r="G70" i="1"/>
  <c r="A71" i="1"/>
  <c r="D24" i="1"/>
  <c r="D27" i="1" s="1"/>
  <c r="D30" i="1" s="1"/>
  <c r="B31" i="1"/>
  <c r="B35" i="1" s="1"/>
  <c r="K33" i="2"/>
  <c r="A82" i="2"/>
  <c r="L37" i="2"/>
  <c r="D36" i="2"/>
  <c r="D38" i="2" s="1"/>
  <c r="C34" i="1" s="1"/>
  <c r="E30" i="1" l="1"/>
  <c r="D31" i="1"/>
  <c r="D35" i="1" s="1"/>
  <c r="E33" i="1"/>
  <c r="M8" i="1"/>
  <c r="F10" i="1" s="1"/>
  <c r="K23" i="2"/>
  <c r="K24" i="2" s="1"/>
  <c r="K25" i="2" s="1"/>
  <c r="A72" i="1"/>
  <c r="G71" i="1"/>
  <c r="A83" i="2"/>
  <c r="E37" i="2"/>
  <c r="E36" i="2"/>
  <c r="K32" i="2" l="1"/>
  <c r="C26" i="1"/>
  <c r="C30" i="1" s="1"/>
  <c r="A73" i="1"/>
  <c r="G72" i="1"/>
  <c r="A84" i="2"/>
  <c r="L36" i="2"/>
  <c r="L38" i="2" s="1"/>
  <c r="E32" i="1" s="1"/>
  <c r="E38" i="2"/>
  <c r="E34" i="1" s="1"/>
  <c r="L33" i="2"/>
  <c r="C27" i="1" l="1"/>
  <c r="G73" i="1"/>
  <c r="A74" i="1"/>
  <c r="A85" i="2"/>
  <c r="E35" i="1"/>
  <c r="C35" i="1" l="1"/>
  <c r="B39" i="1" s="1"/>
  <c r="B43" i="1" s="1"/>
  <c r="G74" i="1"/>
  <c r="A75" i="1"/>
  <c r="A86" i="2"/>
  <c r="D39" i="1"/>
  <c r="D43" i="1" s="1"/>
  <c r="E43" i="1" l="1"/>
  <c r="E36" i="1"/>
  <c r="F36" i="1" s="1"/>
  <c r="F43" i="1" s="1"/>
  <c r="A76" i="1"/>
  <c r="G75" i="1"/>
  <c r="A87" i="2"/>
  <c r="B45" i="1"/>
  <c r="B46" i="1" s="1"/>
  <c r="I72" i="2" s="1"/>
  <c r="E39" i="1"/>
  <c r="B52" i="1" l="1"/>
  <c r="B50" i="1" s="1"/>
  <c r="C46" i="1"/>
  <c r="J11" i="1" s="1"/>
  <c r="K10" i="1" s="1"/>
  <c r="A77" i="1"/>
  <c r="G76" i="1"/>
  <c r="A88" i="2"/>
  <c r="I74" i="2"/>
  <c r="B60" i="1"/>
  <c r="B85" i="1" s="1"/>
  <c r="H72" i="2" l="1"/>
  <c r="B65" i="2" s="1"/>
  <c r="G77" i="1"/>
  <c r="A78" i="1"/>
  <c r="A89" i="2"/>
  <c r="B69" i="1"/>
  <c r="B67" i="1"/>
  <c r="B73" i="1"/>
  <c r="B93" i="1"/>
  <c r="B76" i="1"/>
  <c r="B65" i="1"/>
  <c r="B86" i="1"/>
  <c r="B72" i="1"/>
  <c r="B92" i="1"/>
  <c r="B78" i="1"/>
  <c r="B77" i="1"/>
  <c r="B89" i="1"/>
  <c r="B83" i="1"/>
  <c r="B75" i="1"/>
  <c r="B90" i="1"/>
  <c r="B79" i="1"/>
  <c r="B81" i="1"/>
  <c r="B91" i="1"/>
  <c r="B88" i="1"/>
  <c r="B64" i="1"/>
  <c r="B80" i="1"/>
  <c r="B74" i="1"/>
  <c r="B87" i="1"/>
  <c r="B84" i="1"/>
  <c r="B66" i="1"/>
  <c r="B68" i="1"/>
  <c r="B71" i="1"/>
  <c r="B70" i="1"/>
  <c r="B82" i="1"/>
  <c r="D52" i="1"/>
  <c r="D50" i="1" s="1"/>
  <c r="B55" i="1"/>
  <c r="H74" i="2" l="1"/>
  <c r="H79" i="2" s="1"/>
  <c r="G78" i="1"/>
  <c r="A79" i="1"/>
  <c r="A90" i="2"/>
  <c r="H77" i="2"/>
  <c r="F65" i="2"/>
  <c r="F66" i="2" s="1"/>
  <c r="B66" i="2"/>
  <c r="B89" i="2" s="1"/>
  <c r="D65" i="2"/>
  <c r="D66" i="2" s="1"/>
  <c r="E65" i="2"/>
  <c r="E66" i="2" s="1"/>
  <c r="H65" i="2"/>
  <c r="H66" i="2" s="1"/>
  <c r="G65" i="2"/>
  <c r="G66" i="2" s="1"/>
  <c r="C65" i="2"/>
  <c r="C66" i="2" s="1"/>
  <c r="B58" i="1"/>
  <c r="C63" i="1"/>
  <c r="H63" i="1" s="1"/>
  <c r="D51" i="1"/>
  <c r="D55" i="1"/>
  <c r="G79" i="1" l="1"/>
  <c r="A80" i="1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B73" i="2"/>
  <c r="B72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A91" i="2"/>
  <c r="B90" i="2"/>
  <c r="C95" i="2"/>
  <c r="C94" i="2"/>
  <c r="F67" i="2"/>
  <c r="F68" i="2"/>
  <c r="C67" i="2"/>
  <c r="C68" i="2"/>
  <c r="H67" i="2"/>
  <c r="H68" i="2"/>
  <c r="D67" i="2"/>
  <c r="D68" i="2"/>
  <c r="G67" i="2"/>
  <c r="G68" i="2"/>
  <c r="E67" i="2"/>
  <c r="E68" i="2"/>
  <c r="B68" i="2"/>
  <c r="D58" i="1"/>
  <c r="E63" i="1"/>
  <c r="I63" i="1" s="1"/>
  <c r="B61" i="1"/>
  <c r="C61" i="1" s="1"/>
  <c r="C64" i="1"/>
  <c r="D59" i="1"/>
  <c r="E64" i="1" l="1"/>
  <c r="E65" i="1" s="1"/>
  <c r="A81" i="1"/>
  <c r="G80" i="1"/>
  <c r="C65" i="1"/>
  <c r="H64" i="1"/>
  <c r="C96" i="2"/>
  <c r="A92" i="2"/>
  <c r="B91" i="2"/>
  <c r="D61" i="1"/>
  <c r="E61" i="1" s="1"/>
  <c r="I64" i="1" l="1"/>
  <c r="A82" i="1"/>
  <c r="G81" i="1"/>
  <c r="C66" i="1"/>
  <c r="H65" i="1"/>
  <c r="E66" i="1"/>
  <c r="I65" i="1"/>
  <c r="A93" i="2"/>
  <c r="B92" i="2"/>
  <c r="C97" i="2"/>
  <c r="G82" i="1" l="1"/>
  <c r="A83" i="1"/>
  <c r="E67" i="1"/>
  <c r="I66" i="1"/>
  <c r="C67" i="1"/>
  <c r="H66" i="1"/>
  <c r="C98" i="2"/>
  <c r="A94" i="2"/>
  <c r="B93" i="2"/>
  <c r="G83" i="1" l="1"/>
  <c r="A84" i="1"/>
  <c r="C68" i="1"/>
  <c r="H67" i="1"/>
  <c r="E68" i="1"/>
  <c r="I67" i="1"/>
  <c r="A95" i="2"/>
  <c r="B94" i="2"/>
  <c r="C99" i="2"/>
  <c r="A85" i="1" l="1"/>
  <c r="G84" i="1"/>
  <c r="E69" i="1"/>
  <c r="I68" i="1"/>
  <c r="C69" i="1"/>
  <c r="H68" i="1"/>
  <c r="C100" i="2"/>
  <c r="A96" i="2"/>
  <c r="B95" i="2"/>
  <c r="G85" i="1" l="1"/>
  <c r="A86" i="1"/>
  <c r="C70" i="1"/>
  <c r="H69" i="1"/>
  <c r="E70" i="1"/>
  <c r="I69" i="1"/>
  <c r="A97" i="2"/>
  <c r="B96" i="2"/>
  <c r="C101" i="2"/>
  <c r="A87" i="1" l="1"/>
  <c r="G86" i="1"/>
  <c r="E71" i="1"/>
  <c r="I70" i="1"/>
  <c r="C71" i="1"/>
  <c r="H70" i="1"/>
  <c r="C102" i="2"/>
  <c r="A98" i="2"/>
  <c r="B97" i="2"/>
  <c r="A88" i="1" l="1"/>
  <c r="G87" i="1"/>
  <c r="C72" i="1"/>
  <c r="H71" i="1"/>
  <c r="E72" i="1"/>
  <c r="I71" i="1"/>
  <c r="A99" i="2"/>
  <c r="B98" i="2"/>
  <c r="C103" i="2"/>
  <c r="A89" i="1" l="1"/>
  <c r="G88" i="1"/>
  <c r="E73" i="1"/>
  <c r="I72" i="1"/>
  <c r="C73" i="1"/>
  <c r="H72" i="1"/>
  <c r="C104" i="2"/>
  <c r="A100" i="2"/>
  <c r="B99" i="2"/>
  <c r="G89" i="1" l="1"/>
  <c r="A90" i="1"/>
  <c r="C74" i="1"/>
  <c r="H73" i="1"/>
  <c r="E74" i="1"/>
  <c r="I73" i="1"/>
  <c r="A101" i="2"/>
  <c r="B100" i="2"/>
  <c r="C105" i="2"/>
  <c r="A91" i="1" l="1"/>
  <c r="G90" i="1"/>
  <c r="E75" i="1"/>
  <c r="I74" i="1"/>
  <c r="C75" i="1"/>
  <c r="H74" i="1"/>
  <c r="C106" i="2"/>
  <c r="A102" i="2"/>
  <c r="B101" i="2"/>
  <c r="A92" i="1" l="1"/>
  <c r="G91" i="1"/>
  <c r="C76" i="1"/>
  <c r="H75" i="1"/>
  <c r="E76" i="1"/>
  <c r="I75" i="1"/>
  <c r="A103" i="2"/>
  <c r="B102" i="2"/>
  <c r="C107" i="2"/>
  <c r="G92" i="1" l="1"/>
  <c r="A93" i="1"/>
  <c r="G93" i="1" s="1"/>
  <c r="E77" i="1"/>
  <c r="I76" i="1"/>
  <c r="C77" i="1"/>
  <c r="H76" i="1"/>
  <c r="C108" i="2"/>
  <c r="A104" i="2"/>
  <c r="B103" i="2"/>
  <c r="C78" i="1" l="1"/>
  <c r="H77" i="1"/>
  <c r="E78" i="1"/>
  <c r="I77" i="1"/>
  <c r="A105" i="2"/>
  <c r="B104" i="2"/>
  <c r="C109" i="2"/>
  <c r="E79" i="1" l="1"/>
  <c r="I78" i="1"/>
  <c r="C79" i="1"/>
  <c r="H78" i="1"/>
  <c r="C110" i="2"/>
  <c r="A106" i="2"/>
  <c r="B105" i="2"/>
  <c r="C80" i="1" l="1"/>
  <c r="H79" i="1"/>
  <c r="E80" i="1"/>
  <c r="I79" i="1"/>
  <c r="A107" i="2"/>
  <c r="B106" i="2"/>
  <c r="C111" i="2"/>
  <c r="E81" i="1" l="1"/>
  <c r="I80" i="1"/>
  <c r="C81" i="1"/>
  <c r="H80" i="1"/>
  <c r="C112" i="2"/>
  <c r="A108" i="2"/>
  <c r="B107" i="2"/>
  <c r="C82" i="1" l="1"/>
  <c r="H81" i="1"/>
  <c r="E82" i="1"/>
  <c r="I81" i="1"/>
  <c r="A109" i="2"/>
  <c r="B108" i="2"/>
  <c r="C113" i="2"/>
  <c r="E83" i="1" l="1"/>
  <c r="I82" i="1"/>
  <c r="C83" i="1"/>
  <c r="H82" i="1"/>
  <c r="C114" i="2"/>
  <c r="A110" i="2"/>
  <c r="B109" i="2"/>
  <c r="C84" i="1" l="1"/>
  <c r="H83" i="1"/>
  <c r="E84" i="1"/>
  <c r="I83" i="1"/>
  <c r="A111" i="2"/>
  <c r="B110" i="2"/>
  <c r="C115" i="2"/>
  <c r="E85" i="1" l="1"/>
  <c r="I84" i="1"/>
  <c r="C85" i="1"/>
  <c r="H84" i="1"/>
  <c r="C116" i="2"/>
  <c r="A112" i="2"/>
  <c r="B111" i="2"/>
  <c r="C86" i="1" l="1"/>
  <c r="H85" i="1"/>
  <c r="E86" i="1"/>
  <c r="I85" i="1"/>
  <c r="A113" i="2"/>
  <c r="B112" i="2"/>
  <c r="E87" i="1" l="1"/>
  <c r="I86" i="1"/>
  <c r="C87" i="1"/>
  <c r="H86" i="1"/>
  <c r="A114" i="2"/>
  <c r="B113" i="2"/>
  <c r="C88" i="1" l="1"/>
  <c r="H87" i="1"/>
  <c r="E88" i="1"/>
  <c r="I87" i="1"/>
  <c r="A115" i="2"/>
  <c r="B114" i="2"/>
  <c r="E89" i="1" l="1"/>
  <c r="I88" i="1"/>
  <c r="C89" i="1"/>
  <c r="H88" i="1"/>
  <c r="A116" i="2"/>
  <c r="B116" i="2" s="1"/>
  <c r="B115" i="2"/>
  <c r="C90" i="1" l="1"/>
  <c r="H89" i="1"/>
  <c r="E90" i="1"/>
  <c r="I89" i="1"/>
  <c r="E91" i="1" l="1"/>
  <c r="I90" i="1"/>
  <c r="C91" i="1"/>
  <c r="H90" i="1"/>
  <c r="B62" i="1" l="1"/>
  <c r="H91" i="1"/>
  <c r="C92" i="1"/>
  <c r="D62" i="1"/>
  <c r="I91" i="1"/>
  <c r="E92" i="1"/>
  <c r="C93" i="1" l="1"/>
  <c r="H93" i="1" s="1"/>
  <c r="H92" i="1"/>
  <c r="E93" i="1"/>
  <c r="I93" i="1" s="1"/>
  <c r="I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 vous vivez seul inscrire 1; si vous vivez en couple inscrire 2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Inscrivez le montant réel de votre rente annuelle au RRQ si disponible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Inscrivez le montant réel de la rente annuelle de votre conjoint au RRQ si disponible</t>
        </r>
      </text>
    </comment>
  </commentList>
</comments>
</file>

<file path=xl/sharedStrings.xml><?xml version="1.0" encoding="utf-8"?>
<sst xmlns="http://schemas.openxmlformats.org/spreadsheetml/2006/main" count="180" uniqueCount="134">
  <si>
    <t>Table d'impôt des particuliers (Canada)</t>
  </si>
  <si>
    <t>Revenu imposable</t>
  </si>
  <si>
    <t>Taux d'imposition</t>
  </si>
  <si>
    <t>Après abattement</t>
  </si>
  <si>
    <t>De</t>
  </si>
  <si>
    <t xml:space="preserve">à </t>
  </si>
  <si>
    <t>Pourcentage</t>
  </si>
  <si>
    <t>Montant</t>
  </si>
  <si>
    <t>Table d'impôt des particuliers (Québec)</t>
  </si>
  <si>
    <t>Pourcent</t>
  </si>
  <si>
    <t>Crédits en raison de l'âge</t>
  </si>
  <si>
    <t>Seui de réduction</t>
  </si>
  <si>
    <t>Seuil limite</t>
  </si>
  <si>
    <t>Montants maximal</t>
  </si>
  <si>
    <t>Montant pour revenu retraite</t>
  </si>
  <si>
    <t>Montant pour personne vivant seule</t>
  </si>
  <si>
    <t>Montant en raison de l'âge</t>
  </si>
  <si>
    <t>Crédits de base</t>
  </si>
  <si>
    <t>Crédits frais médicaux</t>
  </si>
  <si>
    <t>Revenu 2</t>
  </si>
  <si>
    <t>Frais médicaux</t>
  </si>
  <si>
    <t>RAMQ</t>
  </si>
  <si>
    <t>Pers. Seule</t>
  </si>
  <si>
    <t>Couple</t>
  </si>
  <si>
    <t>Coûts max</t>
  </si>
  <si>
    <t>Déduction de base</t>
  </si>
  <si>
    <t xml:space="preserve">Déduction suppl. si 1 enfant </t>
  </si>
  <si>
    <t xml:space="preserve">Déduction suppl. si 2 enfants et + </t>
  </si>
  <si>
    <t>Taux pour particulier si revenu &lt; 5000</t>
  </si>
  <si>
    <t>Taux pour particulier si revenu &gt; 5000</t>
  </si>
  <si>
    <t>Montant de base si revenu &gt; 5000</t>
  </si>
  <si>
    <t>Montant de la cotisation 6 premiers mois</t>
  </si>
  <si>
    <t>Montant de la cotisation 6 derniers mois</t>
  </si>
  <si>
    <t>Cotisation maximale</t>
  </si>
  <si>
    <t>SRG</t>
  </si>
  <si>
    <t>Montant max</t>
  </si>
  <si>
    <t>Seuil  max</t>
  </si>
  <si>
    <t>Contribution santé</t>
  </si>
  <si>
    <t>Revenu excédentaire</t>
  </si>
  <si>
    <t>FSS</t>
  </si>
  <si>
    <t>TPS</t>
  </si>
  <si>
    <t>Crédit solidarité</t>
  </si>
  <si>
    <t>Seuil réduction</t>
  </si>
  <si>
    <t xml:space="preserve">PSV </t>
  </si>
  <si>
    <t>Revenu total</t>
  </si>
  <si>
    <t>Conj #1</t>
  </si>
  <si>
    <t>Conj #2</t>
  </si>
  <si>
    <t>CELI seulement</t>
  </si>
  <si>
    <t>REER</t>
  </si>
  <si>
    <t>PSV</t>
  </si>
  <si>
    <t>RRQ</t>
  </si>
  <si>
    <t>FERR</t>
  </si>
  <si>
    <t>CELI uniquement</t>
  </si>
  <si>
    <t>REER uniquement</t>
  </si>
  <si>
    <t>Fédéral</t>
  </si>
  <si>
    <t>Provincial</t>
  </si>
  <si>
    <t>Total des crédits</t>
  </si>
  <si>
    <t>Impôt sur le revenu</t>
  </si>
  <si>
    <t>Crédits d'impôts</t>
  </si>
  <si>
    <t xml:space="preserve">Abat du Québec </t>
  </si>
  <si>
    <t>Contribution Santé</t>
  </si>
  <si>
    <t>Solde à payer</t>
  </si>
  <si>
    <t>Impôt supplémentaire à payer</t>
  </si>
  <si>
    <t>Revenus disponible</t>
  </si>
  <si>
    <t>Revenus imposable - impôt</t>
  </si>
  <si>
    <t>Revenu disponible total</t>
  </si>
  <si>
    <t>Revenu désiré</t>
  </si>
  <si>
    <t>TEMI correspondant</t>
  </si>
  <si>
    <t>Hypothèses :</t>
  </si>
  <si>
    <t>CELI</t>
  </si>
  <si>
    <t xml:space="preserve">   Montant à investir brut</t>
  </si>
  <si>
    <t xml:space="preserve">   Montant à investir net</t>
  </si>
  <si>
    <t xml:space="preserve">   Valeur à la retraite</t>
  </si>
  <si>
    <t xml:space="preserve">Valeur accumulée </t>
  </si>
  <si>
    <t>Nbre années de décaissement</t>
  </si>
  <si>
    <t>Retrait non indexé</t>
  </si>
  <si>
    <t>Solde / (déficit) à 92 ans</t>
  </si>
  <si>
    <t>Année</t>
  </si>
  <si>
    <t>Vivez-vous seul (1) ou en couple (2)</t>
  </si>
  <si>
    <t>Conjoint #1</t>
  </si>
  <si>
    <t>conjoint #2</t>
  </si>
  <si>
    <t>Total</t>
  </si>
  <si>
    <t>Frais médicaux (autres que RAMQ)</t>
  </si>
  <si>
    <t>Crédits #1</t>
  </si>
  <si>
    <t>Revenus 1</t>
  </si>
  <si>
    <t>Revenus 2</t>
  </si>
  <si>
    <t>CELi</t>
  </si>
  <si>
    <t>VS RRQ</t>
  </si>
  <si>
    <t xml:space="preserve">Revenus imposables </t>
  </si>
  <si>
    <t>Revenus imposables du ménage</t>
  </si>
  <si>
    <t>Revenus avant la retraite</t>
  </si>
  <si>
    <t>Crédits d'impôt personnel</t>
  </si>
  <si>
    <t>Montant en raison âge conj 1&amp;2</t>
  </si>
  <si>
    <t>Déduction revenu Pension conj 1&amp;2</t>
  </si>
  <si>
    <t>Déclarations de revenus</t>
  </si>
  <si>
    <t xml:space="preserve">Revenus bruts de retraite désirés </t>
  </si>
  <si>
    <t>SRG à recevoir</t>
  </si>
  <si>
    <t xml:space="preserve">   Économie d'impôt réelle</t>
  </si>
  <si>
    <t>Écart</t>
  </si>
  <si>
    <t xml:space="preserve">   Nombre d'années d'investissement</t>
  </si>
  <si>
    <t xml:space="preserve">   Rendement (phase accumulation)</t>
  </si>
  <si>
    <t>Rendement (phase décaissement)</t>
  </si>
  <si>
    <t>Retrait du CELI pour revenus égaux</t>
  </si>
  <si>
    <t xml:space="preserve">   Taux d'économies REER</t>
  </si>
  <si>
    <t>Comparaison de l’investissement nécessaire pour atteindre le même capital de retraite à l’âge de 65 ans</t>
  </si>
  <si>
    <t>Âge du début</t>
  </si>
  <si>
    <t>Valeur finale</t>
  </si>
  <si>
    <t>Cotisation annuelle</t>
  </si>
  <si>
    <t>Effort supplémentaire</t>
  </si>
  <si>
    <t>Investissement total</t>
  </si>
  <si>
    <t>Taux de rendement</t>
  </si>
  <si>
    <t>Montant à accumuler</t>
  </si>
  <si>
    <t>Taux de décaissement</t>
  </si>
  <si>
    <t>Taux d'inflation</t>
  </si>
  <si>
    <t>Nbre années retraite</t>
  </si>
  <si>
    <t>Rendement net d'inflation</t>
  </si>
  <si>
    <t>jusqu'à</t>
  </si>
  <si>
    <t>Rentes du RRQ estimées ou réelles</t>
  </si>
  <si>
    <t>Répartition revenus entre conjoints</t>
  </si>
  <si>
    <t>Conjoint #2</t>
  </si>
  <si>
    <t>Fractionnement REER</t>
  </si>
  <si>
    <t>Fractionne</t>
  </si>
  <si>
    <t>Taux remplacement du revenu</t>
  </si>
  <si>
    <t>TEMI à la retraite :</t>
  </si>
  <si>
    <t>TEMI actuel</t>
  </si>
  <si>
    <t>Visé</t>
  </si>
  <si>
    <t>optimal</t>
  </si>
  <si>
    <t>TPS (juil 2017 à juin 2018)</t>
  </si>
  <si>
    <t>Crédit solidarité (juil 2017 à juin 2018)</t>
  </si>
  <si>
    <t>Cotisation(s) à la RAMQ en 2016</t>
  </si>
  <si>
    <t>Retraits FERR en 2017</t>
  </si>
  <si>
    <t>Revenus imposables à privilégier &gt; 65 ans :</t>
  </si>
  <si>
    <t>RVER ou CELI  (selon la réalité fiscale de 2017)</t>
  </si>
  <si>
    <t>Revenus de retraite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</si>
</sst>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$&quot;_);[Red]\(#,##0\ &quot;$&quot;\)"/>
    <numFmt numFmtId="8" formatCode="#,##0.00\ &quot;$&quot;_);[Red]\(#,##0.00\ &quot;$&quot;\)"/>
    <numFmt numFmtId="164" formatCode="[$$-1009]#,##0.00"/>
    <numFmt numFmtId="165" formatCode="0.0%"/>
    <numFmt numFmtId="166" formatCode="[$$-1009]#,##0"/>
    <numFmt numFmtId="167" formatCode="0.0"/>
    <numFmt numFmtId="168" formatCode="#,##0\ &quot;$&quot;"/>
    <numFmt numFmtId="169" formatCode="#,##0\ &quot;$&quot;_-"/>
    <numFmt numFmtId="170" formatCode="#,##0_);[Red]\(#,##0\)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Helvetic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Helvetica"/>
      <family val="2"/>
    </font>
    <font>
      <sz val="11"/>
      <name val="Helvetica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6"/>
      <color rgb="FF4E3B30"/>
      <name val="Franklin Gothic Medium"/>
      <family val="2"/>
    </font>
    <font>
      <sz val="12"/>
      <color rgb="FF000000"/>
      <name val="Arial"/>
      <family val="2"/>
    </font>
    <font>
      <sz val="12"/>
      <color rgb="FF4E3B3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auto="1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Border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2" borderId="0" xfId="0" applyNumberFormat="1" applyFont="1" applyFill="1" applyAlignment="1"/>
    <xf numFmtId="1" fontId="3" fillId="3" borderId="0" xfId="0" applyNumberFormat="1" applyFont="1" applyFill="1" applyAlignment="1"/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6" xfId="0" applyFont="1" applyBorder="1"/>
    <xf numFmtId="0" fontId="4" fillId="0" borderId="10" xfId="0" applyFont="1" applyBorder="1"/>
    <xf numFmtId="0" fontId="4" fillId="0" borderId="11" xfId="0" applyFont="1" applyBorder="1"/>
    <xf numFmtId="10" fontId="4" fillId="0" borderId="12" xfId="0" applyNumberFormat="1" applyFont="1" applyBorder="1"/>
    <xf numFmtId="10" fontId="4" fillId="0" borderId="13" xfId="0" applyNumberFormat="1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6" xfId="0" applyFont="1" applyBorder="1"/>
    <xf numFmtId="9" fontId="4" fillId="0" borderId="18" xfId="0" applyNumberFormat="1" applyFont="1" applyBorder="1"/>
    <xf numFmtId="0" fontId="4" fillId="0" borderId="15" xfId="0" applyFont="1" applyBorder="1"/>
    <xf numFmtId="10" fontId="4" fillId="0" borderId="17" xfId="0" applyNumberFormat="1" applyFont="1" applyBorder="1"/>
    <xf numFmtId="10" fontId="4" fillId="0" borderId="18" xfId="0" applyNumberFormat="1" applyFont="1" applyBorder="1"/>
    <xf numFmtId="0" fontId="4" fillId="0" borderId="19" xfId="0" applyFont="1" applyBorder="1"/>
    <xf numFmtId="1" fontId="4" fillId="0" borderId="16" xfId="0" applyNumberFormat="1" applyFont="1" applyBorder="1"/>
    <xf numFmtId="0" fontId="4" fillId="0" borderId="27" xfId="0" applyFont="1" applyBorder="1"/>
    <xf numFmtId="0" fontId="4" fillId="0" borderId="28" xfId="0" applyFont="1" applyBorder="1"/>
    <xf numFmtId="9" fontId="4" fillId="0" borderId="29" xfId="0" applyNumberFormat="1" applyFont="1" applyBorder="1"/>
    <xf numFmtId="1" fontId="4" fillId="0" borderId="28" xfId="0" applyNumberFormat="1" applyFont="1" applyBorder="1"/>
    <xf numFmtId="0" fontId="4" fillId="0" borderId="5" xfId="0" applyFont="1" applyBorder="1"/>
    <xf numFmtId="0" fontId="4" fillId="0" borderId="6" xfId="0" applyFont="1" applyBorder="1"/>
    <xf numFmtId="10" fontId="4" fillId="0" borderId="7" xfId="0" applyNumberFormat="1" applyFont="1" applyBorder="1"/>
    <xf numFmtId="10" fontId="4" fillId="0" borderId="8" xfId="0" applyNumberFormat="1" applyFont="1" applyBorder="1"/>
    <xf numFmtId="0" fontId="4" fillId="0" borderId="9" xfId="0" applyFont="1" applyBorder="1"/>
    <xf numFmtId="0" fontId="4" fillId="0" borderId="30" xfId="0" applyFont="1" applyBorder="1"/>
    <xf numFmtId="0" fontId="4" fillId="0" borderId="31" xfId="0" applyFont="1" applyBorder="1"/>
    <xf numFmtId="10" fontId="4" fillId="0" borderId="32" xfId="0" applyNumberFormat="1" applyFont="1" applyBorder="1"/>
    <xf numFmtId="1" fontId="4" fillId="0" borderId="31" xfId="0" applyNumberFormat="1" applyFont="1" applyBorder="1"/>
    <xf numFmtId="0" fontId="5" fillId="0" borderId="0" xfId="0" applyFont="1"/>
    <xf numFmtId="0" fontId="6" fillId="0" borderId="0" xfId="0" applyNumberFormat="1" applyFont="1" applyAlignment="1"/>
    <xf numFmtId="0" fontId="6" fillId="2" borderId="0" xfId="0" applyNumberFormat="1" applyFont="1" applyFill="1" applyAlignment="1"/>
    <xf numFmtId="1" fontId="4" fillId="0" borderId="0" xfId="0" applyNumberFormat="1" applyFont="1"/>
    <xf numFmtId="164" fontId="7" fillId="3" borderId="0" xfId="0" applyNumberFormat="1" applyFont="1" applyFill="1" applyAlignment="1" applyProtection="1">
      <protection hidden="1"/>
    </xf>
    <xf numFmtId="164" fontId="0" fillId="3" borderId="0" xfId="0" applyNumberFormat="1" applyFill="1"/>
    <xf numFmtId="164" fontId="0" fillId="4" borderId="0" xfId="0" applyNumberFormat="1" applyFill="1"/>
    <xf numFmtId="10" fontId="0" fillId="4" borderId="0" xfId="0" applyNumberFormat="1" applyFill="1"/>
    <xf numFmtId="2" fontId="0" fillId="4" borderId="0" xfId="0" applyNumberFormat="1" applyFill="1"/>
    <xf numFmtId="0" fontId="0" fillId="3" borderId="0" xfId="0" applyFill="1"/>
    <xf numFmtId="3" fontId="3" fillId="2" borderId="0" xfId="0" applyNumberFormat="1" applyFont="1" applyFill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2" borderId="34" xfId="0" applyFill="1" applyBorder="1"/>
    <xf numFmtId="10" fontId="0" fillId="0" borderId="34" xfId="0" applyNumberFormat="1" applyBorder="1"/>
    <xf numFmtId="0" fontId="1" fillId="3" borderId="35" xfId="0" applyFont="1" applyFill="1" applyBorder="1"/>
    <xf numFmtId="10" fontId="1" fillId="0" borderId="35" xfId="0" applyNumberFormat="1" applyFont="1" applyBorder="1"/>
    <xf numFmtId="0" fontId="0" fillId="0" borderId="35" xfId="0" applyBorder="1"/>
    <xf numFmtId="0" fontId="0" fillId="3" borderId="35" xfId="0" applyFill="1" applyBorder="1"/>
    <xf numFmtId="0" fontId="0" fillId="2" borderId="35" xfId="0" applyFill="1" applyBorder="1"/>
    <xf numFmtId="10" fontId="0" fillId="0" borderId="35" xfId="0" applyNumberFormat="1" applyBorder="1"/>
    <xf numFmtId="0" fontId="0" fillId="3" borderId="33" xfId="0" applyFill="1" applyBorder="1"/>
    <xf numFmtId="0" fontId="0" fillId="0" borderId="33" xfId="0" applyFill="1" applyBorder="1"/>
    <xf numFmtId="0" fontId="6" fillId="3" borderId="0" xfId="0" applyNumberFormat="1" applyFont="1" applyFill="1" applyAlignment="1"/>
    <xf numFmtId="0" fontId="3" fillId="4" borderId="0" xfId="0" applyNumberFormat="1" applyFont="1" applyFill="1" applyAlignment="1"/>
    <xf numFmtId="3" fontId="4" fillId="2" borderId="0" xfId="0" applyNumberFormat="1" applyFont="1" applyFill="1"/>
    <xf numFmtId="0" fontId="4" fillId="2" borderId="0" xfId="0" applyFont="1" applyFill="1"/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0" fontId="0" fillId="0" borderId="0" xfId="0" applyFill="1"/>
    <xf numFmtId="0" fontId="3" fillId="0" borderId="0" xfId="0" applyFont="1"/>
    <xf numFmtId="1" fontId="0" fillId="0" borderId="0" xfId="0" applyNumberFormat="1"/>
    <xf numFmtId="0" fontId="11" fillId="0" borderId="0" xfId="0" applyFont="1"/>
    <xf numFmtId="2" fontId="4" fillId="0" borderId="0" xfId="0" applyNumberFormat="1" applyFont="1"/>
    <xf numFmtId="164" fontId="4" fillId="0" borderId="0" xfId="0" applyNumberFormat="1" applyFont="1"/>
    <xf numFmtId="165" fontId="0" fillId="0" borderId="0" xfId="0" applyNumberFormat="1"/>
    <xf numFmtId="0" fontId="12" fillId="0" borderId="0" xfId="0" applyFont="1"/>
    <xf numFmtId="0" fontId="13" fillId="0" borderId="54" xfId="0" applyFont="1" applyBorder="1" applyAlignment="1">
      <alignment horizontal="left" vertical="top" wrapText="1" readingOrder="1"/>
    </xf>
    <xf numFmtId="0" fontId="13" fillId="0" borderId="55" xfId="0" applyFont="1" applyBorder="1" applyAlignment="1">
      <alignment horizontal="right" vertical="top" wrapText="1" readingOrder="1"/>
    </xf>
    <xf numFmtId="0" fontId="13" fillId="0" borderId="56" xfId="0" applyFont="1" applyBorder="1" applyAlignment="1">
      <alignment horizontal="right" vertical="top" wrapText="1" readingOrder="1"/>
    </xf>
    <xf numFmtId="0" fontId="2" fillId="0" borderId="57" xfId="0" applyNumberFormat="1" applyFont="1" applyBorder="1" applyAlignment="1"/>
    <xf numFmtId="168" fontId="2" fillId="0" borderId="58" xfId="0" applyNumberFormat="1" applyFont="1" applyFill="1" applyBorder="1" applyAlignment="1"/>
    <xf numFmtId="168" fontId="2" fillId="0" borderId="58" xfId="0" applyNumberFormat="1" applyFont="1" applyBorder="1" applyAlignment="1"/>
    <xf numFmtId="168" fontId="2" fillId="0" borderId="59" xfId="0" applyNumberFormat="1" applyFont="1" applyBorder="1" applyAlignment="1"/>
    <xf numFmtId="6" fontId="2" fillId="0" borderId="58" xfId="0" applyNumberFormat="1" applyFont="1" applyBorder="1" applyAlignment="1"/>
    <xf numFmtId="0" fontId="2" fillId="0" borderId="58" xfId="0" applyNumberFormat="1" applyFont="1" applyBorder="1" applyAlignment="1"/>
    <xf numFmtId="167" fontId="2" fillId="0" borderId="58" xfId="0" applyNumberFormat="1" applyFont="1" applyBorder="1" applyAlignment="1"/>
    <xf numFmtId="0" fontId="2" fillId="0" borderId="60" xfId="0" applyNumberFormat="1" applyFont="1" applyBorder="1" applyAlignment="1"/>
    <xf numFmtId="165" fontId="2" fillId="0" borderId="0" xfId="0" applyNumberFormat="1" applyFont="1" applyAlignment="1"/>
    <xf numFmtId="6" fontId="6" fillId="0" borderId="0" xfId="0" applyNumberFormat="1" applyFont="1" applyAlignment="1"/>
    <xf numFmtId="169" fontId="0" fillId="4" borderId="0" xfId="0" applyNumberFormat="1" applyFill="1"/>
    <xf numFmtId="0" fontId="14" fillId="0" borderId="0" xfId="0" applyFont="1"/>
    <xf numFmtId="6" fontId="2" fillId="0" borderId="0" xfId="0" applyNumberFormat="1" applyFont="1" applyAlignment="1"/>
    <xf numFmtId="165" fontId="0" fillId="4" borderId="0" xfId="0" applyNumberFormat="1" applyFill="1"/>
    <xf numFmtId="1" fontId="0" fillId="4" borderId="0" xfId="0" applyNumberFormat="1" applyFill="1"/>
    <xf numFmtId="169" fontId="0" fillId="3" borderId="0" xfId="0" applyNumberFormat="1" applyFill="1"/>
    <xf numFmtId="168" fontId="2" fillId="0" borderId="0" xfId="0" applyNumberFormat="1" applyFont="1" applyAlignment="1"/>
    <xf numFmtId="10" fontId="0" fillId="3" borderId="0" xfId="0" applyNumberFormat="1" applyFill="1"/>
    <xf numFmtId="167" fontId="0" fillId="3" borderId="0" xfId="0" applyNumberFormat="1" applyFill="1"/>
    <xf numFmtId="170" fontId="2" fillId="0" borderId="61" xfId="0" applyNumberFormat="1" applyFont="1" applyBorder="1" applyAlignment="1"/>
    <xf numFmtId="170" fontId="2" fillId="0" borderId="62" xfId="0" applyNumberFormat="1" applyFont="1" applyBorder="1" applyAlignment="1"/>
    <xf numFmtId="8" fontId="2" fillId="0" borderId="0" xfId="0" applyNumberFormat="1" applyFont="1" applyAlignment="1"/>
    <xf numFmtId="0" fontId="4" fillId="2" borderId="0" xfId="0" applyFont="1" applyFill="1" applyProtection="1">
      <protection locked="0"/>
    </xf>
    <xf numFmtId="166" fontId="4" fillId="2" borderId="0" xfId="0" applyNumberFormat="1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165" fontId="4" fillId="2" borderId="0" xfId="0" applyNumberFormat="1" applyFont="1" applyFill="1" applyBorder="1" applyProtection="1">
      <protection locked="0"/>
    </xf>
    <xf numFmtId="10" fontId="4" fillId="4" borderId="0" xfId="0" applyNumberFormat="1" applyFont="1" applyFill="1" applyProtection="1">
      <protection locked="0"/>
    </xf>
    <xf numFmtId="165" fontId="1" fillId="0" borderId="47" xfId="0" applyNumberFormat="1" applyFont="1" applyFill="1" applyBorder="1" applyProtection="1">
      <protection locked="0"/>
    </xf>
    <xf numFmtId="170" fontId="2" fillId="0" borderId="0" xfId="0" applyNumberFormat="1" applyFont="1" applyAlignment="1"/>
    <xf numFmtId="0" fontId="4" fillId="3" borderId="0" xfId="0" applyFont="1" applyFill="1"/>
    <xf numFmtId="0" fontId="15" fillId="0" borderId="0" xfId="0" applyFont="1"/>
    <xf numFmtId="165" fontId="5" fillId="2" borderId="0" xfId="0" applyNumberFormat="1" applyFont="1" applyFill="1" applyProtection="1">
      <protection locked="0"/>
    </xf>
    <xf numFmtId="0" fontId="15" fillId="0" borderId="0" xfId="0" applyFont="1" applyAlignment="1">
      <alignment horizontal="center"/>
    </xf>
    <xf numFmtId="9" fontId="4" fillId="0" borderId="0" xfId="0" applyNumberFormat="1" applyFont="1"/>
    <xf numFmtId="164" fontId="4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5" fontId="5" fillId="3" borderId="0" xfId="0" applyNumberFormat="1" applyFont="1" applyFill="1" applyProtection="1"/>
    <xf numFmtId="166" fontId="4" fillId="0" borderId="0" xfId="0" applyNumberFormat="1" applyFont="1" applyProtection="1"/>
    <xf numFmtId="166" fontId="4" fillId="0" borderId="0" xfId="0" applyNumberFormat="1" applyFont="1" applyFill="1" applyProtection="1"/>
    <xf numFmtId="0" fontId="1" fillId="0" borderId="36" xfId="0" applyFont="1" applyBorder="1" applyProtection="1"/>
    <xf numFmtId="0" fontId="3" fillId="0" borderId="51" xfId="0" applyFont="1" applyBorder="1" applyProtection="1"/>
    <xf numFmtId="166" fontId="4" fillId="0" borderId="10" xfId="0" applyNumberFormat="1" applyFont="1" applyBorder="1" applyProtection="1"/>
    <xf numFmtId="166" fontId="4" fillId="0" borderId="14" xfId="0" applyNumberFormat="1" applyFont="1" applyBorder="1" applyProtection="1"/>
    <xf numFmtId="166" fontId="4" fillId="0" borderId="15" xfId="0" applyNumberFormat="1" applyFont="1" applyBorder="1" applyProtection="1"/>
    <xf numFmtId="166" fontId="4" fillId="0" borderId="19" xfId="0" applyNumberFormat="1" applyFont="1" applyBorder="1" applyProtection="1"/>
    <xf numFmtId="166" fontId="4" fillId="0" borderId="42" xfId="0" applyNumberFormat="1" applyFont="1" applyBorder="1" applyProtection="1"/>
    <xf numFmtId="166" fontId="4" fillId="0" borderId="43" xfId="0" applyNumberFormat="1" applyFont="1" applyBorder="1" applyProtection="1"/>
    <xf numFmtId="0" fontId="3" fillId="0" borderId="36" xfId="0" applyFont="1" applyBorder="1" applyProtection="1"/>
    <xf numFmtId="166" fontId="4" fillId="0" borderId="38" xfId="0" applyNumberFormat="1" applyFont="1" applyBorder="1" applyProtection="1"/>
    <xf numFmtId="166" fontId="4" fillId="0" borderId="39" xfId="0" applyNumberFormat="1" applyFont="1" applyBorder="1" applyProtection="1"/>
    <xf numFmtId="0" fontId="3" fillId="0" borderId="52" xfId="0" applyFont="1" applyBorder="1" applyProtection="1"/>
    <xf numFmtId="166" fontId="4" fillId="0" borderId="49" xfId="0" applyNumberFormat="1" applyFont="1" applyBorder="1" applyProtection="1"/>
    <xf numFmtId="166" fontId="1" fillId="0" borderId="50" xfId="0" applyNumberFormat="1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1" fillId="0" borderId="53" xfId="0" applyFont="1" applyFill="1" applyBorder="1" applyProtection="1"/>
    <xf numFmtId="0" fontId="3" fillId="0" borderId="37" xfId="0" applyFont="1" applyBorder="1" applyProtection="1"/>
    <xf numFmtId="0" fontId="3" fillId="0" borderId="38" xfId="0" applyFont="1" applyBorder="1" applyProtection="1"/>
    <xf numFmtId="0" fontId="3" fillId="0" borderId="39" xfId="0" applyFont="1" applyBorder="1" applyProtection="1"/>
    <xf numFmtId="0" fontId="3" fillId="0" borderId="40" xfId="0" applyFont="1" applyBorder="1" applyProtection="1"/>
    <xf numFmtId="0" fontId="3" fillId="0" borderId="41" xfId="0" applyFont="1" applyBorder="1" applyProtection="1"/>
    <xf numFmtId="166" fontId="4" fillId="0" borderId="13" xfId="0" applyNumberFormat="1" applyFont="1" applyBorder="1" applyProtection="1"/>
    <xf numFmtId="166" fontId="4" fillId="0" borderId="18" xfId="0" applyNumberFormat="1" applyFont="1" applyBorder="1" applyProtection="1"/>
    <xf numFmtId="0" fontId="0" fillId="0" borderId="41" xfId="0" applyBorder="1" applyProtection="1"/>
    <xf numFmtId="166" fontId="4" fillId="0" borderId="47" xfId="0" applyNumberFormat="1" applyFont="1" applyBorder="1" applyProtection="1"/>
    <xf numFmtId="166" fontId="4" fillId="0" borderId="44" xfId="0" applyNumberFormat="1" applyFont="1" applyBorder="1" applyProtection="1"/>
    <xf numFmtId="166" fontId="4" fillId="0" borderId="40" xfId="0" applyNumberFormat="1" applyFont="1" applyBorder="1" applyProtection="1"/>
    <xf numFmtId="0" fontId="3" fillId="0" borderId="0" xfId="0" applyFont="1" applyFill="1" applyBorder="1" applyProtection="1"/>
    <xf numFmtId="166" fontId="4" fillId="0" borderId="0" xfId="0" applyNumberFormat="1" applyFont="1" applyBorder="1" applyProtection="1"/>
    <xf numFmtId="0" fontId="0" fillId="0" borderId="0" xfId="0" applyProtection="1"/>
    <xf numFmtId="166" fontId="1" fillId="0" borderId="0" xfId="0" applyNumberFormat="1" applyFont="1" applyProtection="1"/>
    <xf numFmtId="166" fontId="5" fillId="0" borderId="0" xfId="0" applyNumberFormat="1" applyFont="1" applyProtection="1"/>
    <xf numFmtId="1" fontId="4" fillId="0" borderId="0" xfId="0" applyNumberFormat="1" applyFont="1" applyProtection="1"/>
    <xf numFmtId="165" fontId="4" fillId="0" borderId="0" xfId="0" applyNumberFormat="1" applyFont="1" applyProtection="1"/>
    <xf numFmtId="0" fontId="1" fillId="5" borderId="36" xfId="0" applyFont="1" applyFill="1" applyBorder="1" applyAlignment="1" applyProtection="1">
      <alignment horizontal="left"/>
    </xf>
    <xf numFmtId="1" fontId="1" fillId="5" borderId="45" xfId="0" applyNumberFormat="1" applyFont="1" applyFill="1" applyBorder="1" applyAlignment="1" applyProtection="1">
      <alignment horizontal="center"/>
    </xf>
    <xf numFmtId="0" fontId="0" fillId="0" borderId="45" xfId="0" applyBorder="1" applyProtection="1"/>
    <xf numFmtId="1" fontId="1" fillId="5" borderId="46" xfId="0" applyNumberFormat="1" applyFont="1" applyFill="1" applyBorder="1" applyAlignment="1" applyProtection="1">
      <alignment horizontal="center"/>
    </xf>
    <xf numFmtId="15" fontId="8" fillId="5" borderId="41" xfId="0" applyNumberFormat="1" applyFont="1" applyFill="1" applyBorder="1" applyAlignment="1" applyProtection="1"/>
    <xf numFmtId="165" fontId="3" fillId="5" borderId="0" xfId="0" applyNumberFormat="1" applyFont="1" applyFill="1" applyBorder="1" applyProtection="1"/>
    <xf numFmtId="0" fontId="0" fillId="0" borderId="0" xfId="0" applyBorder="1" applyProtection="1"/>
    <xf numFmtId="0" fontId="9" fillId="5" borderId="41" xfId="0" applyFont="1" applyFill="1" applyBorder="1" applyAlignment="1" applyProtection="1"/>
    <xf numFmtId="166" fontId="3" fillId="5" borderId="0" xfId="0" applyNumberFormat="1" applyFont="1" applyFill="1" applyBorder="1" applyProtection="1"/>
    <xf numFmtId="166" fontId="3" fillId="5" borderId="47" xfId="0" applyNumberFormat="1" applyFont="1" applyFill="1" applyBorder="1" applyProtection="1"/>
    <xf numFmtId="166" fontId="1" fillId="5" borderId="0" xfId="0" applyNumberFormat="1" applyFont="1" applyFill="1" applyBorder="1" applyAlignment="1" applyProtection="1">
      <alignment horizontal="left"/>
    </xf>
    <xf numFmtId="166" fontId="3" fillId="0" borderId="0" xfId="0" applyNumberFormat="1" applyFont="1" applyFill="1" applyBorder="1" applyProtection="1"/>
    <xf numFmtId="166" fontId="3" fillId="0" borderId="47" xfId="0" applyNumberFormat="1" applyFont="1" applyFill="1" applyBorder="1" applyProtection="1"/>
    <xf numFmtId="0" fontId="4" fillId="0" borderId="0" xfId="0" applyFont="1" applyBorder="1" applyProtection="1"/>
    <xf numFmtId="0" fontId="4" fillId="0" borderId="47" xfId="0" applyFont="1" applyFill="1" applyBorder="1" applyProtection="1"/>
    <xf numFmtId="0" fontId="3" fillId="5" borderId="41" xfId="0" applyFont="1" applyFill="1" applyBorder="1" applyAlignment="1" applyProtection="1"/>
    <xf numFmtId="165" fontId="4" fillId="0" borderId="47" xfId="0" applyNumberFormat="1" applyFont="1" applyFill="1" applyBorder="1" applyProtection="1"/>
    <xf numFmtId="0" fontId="3" fillId="5" borderId="48" xfId="0" applyFont="1" applyFill="1" applyBorder="1" applyAlignment="1" applyProtection="1"/>
    <xf numFmtId="0" fontId="4" fillId="0" borderId="49" xfId="0" applyFont="1" applyBorder="1" applyProtection="1"/>
    <xf numFmtId="166" fontId="4" fillId="0" borderId="50" xfId="0" applyNumberFormat="1" applyFont="1" applyBorder="1" applyProtection="1"/>
    <xf numFmtId="10" fontId="4" fillId="0" borderId="0" xfId="0" applyNumberFormat="1" applyFont="1" applyFill="1" applyProtection="1"/>
    <xf numFmtId="166" fontId="4" fillId="3" borderId="0" xfId="0" applyNumberFormat="1" applyFont="1" applyFill="1" applyProtection="1"/>
    <xf numFmtId="0" fontId="4" fillId="0" borderId="0" xfId="0" applyFont="1" applyAlignment="1" applyProtection="1">
      <alignment horizontal="right"/>
    </xf>
    <xf numFmtId="167" fontId="5" fillId="6" borderId="0" xfId="0" applyNumberFormat="1" applyFont="1" applyFill="1" applyProtection="1"/>
    <xf numFmtId="167" fontId="4" fillId="0" borderId="0" xfId="0" applyNumberFormat="1" applyFont="1" applyProtection="1"/>
    <xf numFmtId="0" fontId="3" fillId="0" borderId="0" xfId="0" applyFont="1" applyAlignment="1" applyProtection="1">
      <alignment horizontal="right"/>
    </xf>
    <xf numFmtId="6" fontId="4" fillId="0" borderId="0" xfId="0" applyNumberFormat="1" applyFont="1" applyProtection="1"/>
    <xf numFmtId="168" fontId="4" fillId="0" borderId="0" xfId="0" applyNumberFormat="1" applyFont="1" applyProtection="1"/>
    <xf numFmtId="0" fontId="16" fillId="0" borderId="0" xfId="0" applyFont="1" applyProtection="1"/>
    <xf numFmtId="168" fontId="16" fillId="0" borderId="0" xfId="0" applyNumberFormat="1" applyFont="1" applyProtection="1"/>
    <xf numFmtId="165" fontId="16" fillId="0" borderId="0" xfId="0" applyNumberFormat="1" applyFont="1" applyProtection="1"/>
    <xf numFmtId="165" fontId="0" fillId="0" borderId="0" xfId="0" applyNumberFormat="1" applyProtection="1"/>
    <xf numFmtId="0" fontId="0" fillId="0" borderId="0" xfId="0" applyAlignment="1" applyProtection="1">
      <alignment horizontal="right"/>
    </xf>
    <xf numFmtId="6" fontId="0" fillId="0" borderId="0" xfId="0" applyNumberFormat="1" applyProtection="1"/>
    <xf numFmtId="168" fontId="0" fillId="0" borderId="0" xfId="0" applyNumberFormat="1" applyProtection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3" fillId="0" borderId="38" xfId="0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Comparaison</a:t>
            </a:r>
            <a:r>
              <a:rPr lang="fr-CA" baseline="0"/>
              <a:t> CELI VS RVER :</a:t>
            </a:r>
          </a:p>
          <a:p>
            <a:pPr>
              <a:defRPr/>
            </a:pPr>
            <a:r>
              <a:rPr lang="fr-CA" baseline="0"/>
              <a:t>Selon votre réalité financière et fiscale !</a:t>
            </a:r>
          </a:p>
        </c:rich>
      </c:tx>
      <c:layout>
        <c:manualLayout>
          <c:xMode val="edge"/>
          <c:yMode val="edge"/>
          <c:x val="0.24828902505312073"/>
          <c:y val="9.17567286217208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72120494096179"/>
          <c:y val="0.24350039747132576"/>
          <c:w val="0.83197207602110201"/>
          <c:h val="0.67776147935041975"/>
        </c:manualLayout>
      </c:layout>
      <c:lineChart>
        <c:grouping val="standard"/>
        <c:varyColors val="0"/>
        <c:ser>
          <c:idx val="1"/>
          <c:order val="0"/>
          <c:tx>
            <c:strRef>
              <c:f>Données!$H$61</c:f>
              <c:strCache>
                <c:ptCount val="1"/>
                <c:pt idx="0">
                  <c:v>CELI</c:v>
                </c:pt>
              </c:strCache>
            </c:strRef>
          </c:tx>
          <c:marker>
            <c:symbol val="none"/>
          </c:marker>
          <c:cat>
            <c:numRef>
              <c:f>Données!$G$62:$G$93</c:f>
              <c:numCache>
                <c:formatCode>General</c:formatCode>
                <c:ptCount val="31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</c:numCache>
            </c:numRef>
          </c:cat>
          <c:val>
            <c:numRef>
              <c:f>Données!$H$62:$H$93</c:f>
              <c:numCache>
                <c:formatCode>#\ ##0\ "$"</c:formatCode>
                <c:ptCount val="31"/>
                <c:pt idx="0" formatCode="&quot;$&quot;#,##0_);[Red]\(&quot;$&quot;#,##0\)">
                  <c:v>337047.62016557436</c:v>
                </c:pt>
                <c:pt idx="1">
                  <c:v>328611.14199097286</c:v>
                </c:pt>
                <c:pt idx="2">
                  <c:v>319925.78771022061</c:v>
                </c:pt>
                <c:pt idx="3">
                  <c:v>310984.21547818615</c:v>
                </c:pt>
                <c:pt idx="4">
                  <c:v>301778.86686530669</c:v>
                </c:pt>
                <c:pt idx="5">
                  <c:v>292301.9604683473</c:v>
                </c:pt>
                <c:pt idx="6">
                  <c:v>282545.48533267761</c:v>
                </c:pt>
                <c:pt idx="7">
                  <c:v>272501.19418050564</c:v>
                </c:pt>
                <c:pt idx="8">
                  <c:v>262160.59643934458</c:v>
                </c:pt>
                <c:pt idx="9">
                  <c:v>251514.95106481927</c:v>
                </c:pt>
                <c:pt idx="10">
                  <c:v>240555.25915174544</c:v>
                </c:pt>
                <c:pt idx="11">
                  <c:v>229272.25632723593</c:v>
                </c:pt>
                <c:pt idx="12">
                  <c:v>217656.4049194034</c:v>
                </c:pt>
                <c:pt idx="13">
                  <c:v>205697.8858950398</c:v>
                </c:pt>
                <c:pt idx="14">
                  <c:v>193386.59055945749</c:v>
                </c:pt>
                <c:pt idx="15">
                  <c:v>180712.11201147552</c:v>
                </c:pt>
                <c:pt idx="16">
                  <c:v>167663.73634632805</c:v>
                </c:pt>
                <c:pt idx="17">
                  <c:v>154230.43359905877</c:v>
                </c:pt>
                <c:pt idx="18">
                  <c:v>140400.84842074502</c:v>
                </c:pt>
                <c:pt idx="19">
                  <c:v>126163.29047967102</c:v>
                </c:pt>
                <c:pt idx="20">
                  <c:v>111505.72457933534</c:v>
                </c:pt>
                <c:pt idx="21">
                  <c:v>96415.760484939747</c:v>
                </c:pt>
                <c:pt idx="22">
                  <c:v>80880.642449759485</c:v>
                </c:pt>
                <c:pt idx="23">
                  <c:v>64887.238432541402</c:v>
                </c:pt>
                <c:pt idx="24">
                  <c:v>48422.028996815381</c:v>
                </c:pt>
                <c:pt idx="25">
                  <c:v>31471.095882735441</c:v>
                </c:pt>
                <c:pt idx="26">
                  <c:v>14020.11024179014</c:v>
                </c:pt>
                <c:pt idx="27">
                  <c:v>-3945.6794755630472</c:v>
                </c:pt>
                <c:pt idx="28">
                  <c:v>-22441.459989578154</c:v>
                </c:pt>
                <c:pt idx="29">
                  <c:v>-41482.866028756711</c:v>
                </c:pt>
                <c:pt idx="30">
                  <c:v>-61085.993546091035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3-4B3E-883F-84CAEA51B736}"/>
            </c:ext>
          </c:extLst>
        </c:ser>
        <c:ser>
          <c:idx val="2"/>
          <c:order val="1"/>
          <c:tx>
            <c:strRef>
              <c:f>Données!$I$61</c:f>
              <c:strCache>
                <c:ptCount val="1"/>
                <c:pt idx="0">
                  <c:v>FERR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cat>
            <c:numRef>
              <c:f>Données!$G$62:$G$93</c:f>
              <c:numCache>
                <c:formatCode>General</c:formatCode>
                <c:ptCount val="31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</c:numCache>
            </c:numRef>
          </c:cat>
          <c:val>
            <c:numRef>
              <c:f>Données!$I$62:$I$93</c:f>
              <c:numCache>
                <c:formatCode>#\ ##0\ "$"</c:formatCode>
                <c:ptCount val="31"/>
                <c:pt idx="0" formatCode="&quot;$&quot;#,##0_);[Red]\(&quot;$&quot;#,##0\)">
                  <c:v>535846.77291824215</c:v>
                </c:pt>
                <c:pt idx="1">
                  <c:v>522508.16057933035</c:v>
                </c:pt>
                <c:pt idx="2">
                  <c:v>508776.05917642068</c:v>
                </c:pt>
                <c:pt idx="3">
                  <c:v>494638.86078212515</c:v>
                </c:pt>
                <c:pt idx="4">
                  <c:v>480084.61503519787</c:v>
                </c:pt>
                <c:pt idx="5">
                  <c:v>465101.01903873624</c:v>
                </c:pt>
                <c:pt idx="6">
                  <c:v>449675.40696037898</c:v>
                </c:pt>
                <c:pt idx="7">
                  <c:v>433794.73932571022</c:v>
                </c:pt>
                <c:pt idx="8">
                  <c:v>417445.59199581872</c:v>
                </c:pt>
                <c:pt idx="9">
                  <c:v>400614.14481969544</c:v>
                </c:pt>
                <c:pt idx="10">
                  <c:v>383286.16995187651</c:v>
                </c:pt>
                <c:pt idx="11">
                  <c:v>365447.0198254569</c:v>
                </c:pt>
                <c:pt idx="12">
                  <c:v>347081.6147703079</c:v>
                </c:pt>
                <c:pt idx="13">
                  <c:v>328174.43026603205</c:v>
                </c:pt>
                <c:pt idx="14">
                  <c:v>308709.48381888005</c:v>
                </c:pt>
                <c:pt idx="15">
                  <c:v>288670.32145153708</c:v>
                </c:pt>
                <c:pt idx="16">
                  <c:v>268040.00379435741</c:v>
                </c:pt>
                <c:pt idx="17">
                  <c:v>246801.09176629098</c:v>
                </c:pt>
                <c:pt idx="18">
                  <c:v>224935.63183339656</c:v>
                </c:pt>
                <c:pt idx="19">
                  <c:v>202425.14083248176</c:v>
                </c:pt>
                <c:pt idx="20">
                  <c:v>179250.59034703998</c:v>
                </c:pt>
                <c:pt idx="21">
                  <c:v>155392.39062227766</c:v>
                </c:pt>
                <c:pt idx="22">
                  <c:v>130830.37400563486</c:v>
                </c:pt>
                <c:pt idx="23">
                  <c:v>105543.7778988011</c:v>
                </c:pt>
                <c:pt idx="24">
                  <c:v>79511.227206815733</c:v>
                </c:pt>
                <c:pt idx="25">
                  <c:v>52710.7162694168</c:v>
                </c:pt>
                <c:pt idx="26">
                  <c:v>25119.590259364595</c:v>
                </c:pt>
                <c:pt idx="27">
                  <c:v>-3285.4739679841514</c:v>
                </c:pt>
                <c:pt idx="28">
                  <c:v>-32528.487590039687</c:v>
                </c:pt>
                <c:pt idx="29">
                  <c:v>-62634.17011394586</c:v>
                </c:pt>
                <c:pt idx="30">
                  <c:v>-93627.97027230727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3-4B3E-883F-84CAEA51B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50816"/>
        <c:axId val="74384896"/>
      </c:lineChart>
      <c:catAx>
        <c:axId val="4725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74384896"/>
        <c:crosses val="autoZero"/>
        <c:auto val="1"/>
        <c:lblAlgn val="ctr"/>
        <c:lblOffset val="100"/>
        <c:noMultiLvlLbl val="0"/>
      </c:catAx>
      <c:valAx>
        <c:axId val="74384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A"/>
                  <a:t>Valeur du portefeuille</a:t>
                </a:r>
              </a:p>
            </c:rich>
          </c:tx>
          <c:overlay val="0"/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fr-FR"/>
          </a:p>
        </c:txPr>
        <c:crossAx val="47250816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3053040976622075"/>
          <c:y val="0.43671239164174636"/>
          <c:w val="0.15268501675157706"/>
          <c:h val="0.15789323231660093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 paperSize="173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41671</xdr:colOff>
      <xdr:row>11</xdr:row>
      <xdr:rowOff>15478</xdr:rowOff>
    </xdr:from>
    <xdr:to>
      <xdr:col>12</xdr:col>
      <xdr:colOff>752475</xdr:colOff>
      <xdr:row>35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94"/>
  <sheetViews>
    <sheetView tabSelected="1" zoomScaleNormal="100" workbookViewId="0">
      <selection activeCell="B7" sqref="B7"/>
    </sheetView>
  </sheetViews>
  <sheetFormatPr baseColWidth="10" defaultRowHeight="14.4" x14ac:dyDescent="0.3"/>
  <cols>
    <col min="1" max="1" width="38.6640625" customWidth="1"/>
    <col min="2" max="2" width="13.33203125" customWidth="1"/>
    <col min="3" max="3" width="11.88671875" customWidth="1"/>
    <col min="4" max="4" width="13" customWidth="1"/>
    <col min="5" max="5" width="12.33203125" customWidth="1"/>
  </cols>
  <sheetData>
    <row r="1" spans="1:13" ht="21" x14ac:dyDescent="0.4">
      <c r="A1" s="195" t="s">
        <v>132</v>
      </c>
      <c r="B1" s="196"/>
      <c r="C1" s="196"/>
      <c r="D1" s="196"/>
      <c r="E1" s="196"/>
    </row>
    <row r="2" spans="1:13" ht="6" customHeight="1" x14ac:dyDescent="0.4">
      <c r="A2" s="76"/>
    </row>
    <row r="3" spans="1:13" ht="12" customHeight="1" x14ac:dyDescent="0.3">
      <c r="B3" t="s">
        <v>79</v>
      </c>
      <c r="C3" t="s">
        <v>80</v>
      </c>
      <c r="F3" s="155" t="s">
        <v>118</v>
      </c>
      <c r="G3" s="155"/>
    </row>
    <row r="4" spans="1:13" ht="14.4" customHeight="1" x14ac:dyDescent="0.3">
      <c r="A4" s="7" t="s">
        <v>78</v>
      </c>
      <c r="B4" s="106">
        <v>2</v>
      </c>
      <c r="C4" s="119"/>
      <c r="F4" s="155" t="s">
        <v>79</v>
      </c>
      <c r="G4" s="155" t="s">
        <v>119</v>
      </c>
    </row>
    <row r="5" spans="1:13" ht="14.4" hidden="1" customHeight="1" x14ac:dyDescent="0.3">
      <c r="A5" s="7"/>
      <c r="B5" s="120" t="s">
        <v>79</v>
      </c>
      <c r="C5" s="120" t="s">
        <v>80</v>
      </c>
      <c r="D5" t="s">
        <v>81</v>
      </c>
      <c r="F5" s="155"/>
      <c r="G5" s="155"/>
    </row>
    <row r="6" spans="1:13" ht="14.4" customHeight="1" x14ac:dyDescent="0.3">
      <c r="A6" s="74" t="s">
        <v>90</v>
      </c>
      <c r="B6" s="107">
        <v>60000</v>
      </c>
      <c r="C6" s="107">
        <v>40000</v>
      </c>
      <c r="D6" s="122">
        <f>SUM(B6:C6)</f>
        <v>100000</v>
      </c>
      <c r="E6" s="7"/>
      <c r="F6" s="191">
        <f>B6/(B6+C6)</f>
        <v>0.6</v>
      </c>
      <c r="G6" s="191">
        <f>100%-F6</f>
        <v>0.4</v>
      </c>
    </row>
    <row r="7" spans="1:13" ht="14.4" customHeight="1" x14ac:dyDescent="0.3">
      <c r="A7" s="7" t="s">
        <v>117</v>
      </c>
      <c r="B7" s="107">
        <f>IF(B6&gt;55300/80%,55300*25%*96.7092%,B6*55300*25%*96.7092%/(55300/80%))</f>
        <v>11605.103999999999</v>
      </c>
      <c r="C7" s="107">
        <f>IF(C6&gt;55300/80%,55300*25%*96.7092%,C6*55300*25%*96.7092%/(55300/80%))</f>
        <v>7736.7359999999999</v>
      </c>
      <c r="D7" s="122">
        <f>SUM(B7:C7)</f>
        <v>19341.84</v>
      </c>
      <c r="E7" s="7"/>
    </row>
    <row r="8" spans="1:13" ht="14.4" customHeight="1" x14ac:dyDescent="0.35">
      <c r="A8" s="74" t="s">
        <v>82</v>
      </c>
      <c r="B8" s="107">
        <v>1000</v>
      </c>
      <c r="C8" s="107">
        <v>0</v>
      </c>
      <c r="D8" s="122">
        <f>SUM(B8:C8)</f>
        <v>1000</v>
      </c>
      <c r="E8" s="7" t="s">
        <v>122</v>
      </c>
      <c r="H8" s="188" t="s">
        <v>131</v>
      </c>
      <c r="I8" s="155"/>
      <c r="J8" s="155"/>
      <c r="K8" s="155"/>
      <c r="L8" s="189">
        <f>IF(AND(B4=1,B6&gt;Seuils!E33/80%),Seuils!E33,IF(AND(B4=1,B7&lt;Seuils!E33/80%,B7&lt;=55300*25%*96.7092%),Seuils!D51,IF(AND(B4=1,B7&lt;Seuils!E33/80%,B7&gt;55300*25%*96.7092%),Seuils!J51,IF(D7&lt;16000,Seuils!I16,Seuils!J7))))</f>
        <v>85405</v>
      </c>
      <c r="M8" s="190">
        <f>L8/D6</f>
        <v>0.85404999999999998</v>
      </c>
    </row>
    <row r="9" spans="1:13" ht="14.4" customHeight="1" x14ac:dyDescent="0.3">
      <c r="A9" s="7" t="s">
        <v>129</v>
      </c>
      <c r="B9" s="118">
        <v>650</v>
      </c>
      <c r="C9" s="107">
        <f>IF(B4=1,0,650)</f>
        <v>650</v>
      </c>
      <c r="D9" s="122">
        <f>SUM(B9:C9)</f>
        <v>1300</v>
      </c>
      <c r="E9" s="116" t="s">
        <v>125</v>
      </c>
      <c r="F9" s="116" t="s">
        <v>126</v>
      </c>
      <c r="H9" s="155"/>
      <c r="I9" s="155"/>
      <c r="J9" s="155"/>
      <c r="K9" s="155"/>
      <c r="L9" s="155"/>
      <c r="M9" s="155"/>
    </row>
    <row r="10" spans="1:13" ht="14.4" customHeight="1" x14ac:dyDescent="0.35">
      <c r="A10" s="74" t="s">
        <v>95</v>
      </c>
      <c r="B10" s="122">
        <f>(B6+C6)*E10</f>
        <v>61600</v>
      </c>
      <c r="C10" s="122"/>
      <c r="D10" s="122">
        <f>SUM(B10:C10)</f>
        <v>61600</v>
      </c>
      <c r="E10" s="115">
        <v>0.61599999999999999</v>
      </c>
      <c r="F10" s="121">
        <f>M8</f>
        <v>0.85404999999999998</v>
      </c>
      <c r="H10" s="188" t="s">
        <v>124</v>
      </c>
      <c r="I10" s="188"/>
      <c r="J10" s="190">
        <f>D49</f>
        <v>0.371</v>
      </c>
      <c r="K10" s="197" t="str">
        <f>IF(J10&lt;J11-0.5%,"Maximiser d'abord votre CELI !",IF(J10&gt;J11+0.5%,"Privillégiez le REER OPTIMAL", "Indifférent entre REER et CELI"))</f>
        <v>Indifférent entre REER et CELI</v>
      </c>
      <c r="L10" s="198"/>
      <c r="M10" s="198"/>
    </row>
    <row r="11" spans="1:13" ht="14.4" customHeight="1" x14ac:dyDescent="0.35">
      <c r="A11" s="74" t="s">
        <v>130</v>
      </c>
      <c r="B11" s="123">
        <f>IF(AND(B4=2,C6&gt;15000),(B10-D7-B14-C14)*F6,B10-D7-B14-C14)</f>
        <v>16986.552</v>
      </c>
      <c r="C11" s="123">
        <f>IF(AND(B4=2,C6&gt;15000),(B10-D7-B14-C14)*(1-F6),0)</f>
        <v>11324.368000000002</v>
      </c>
      <c r="D11" s="122">
        <f t="shared" ref="D11" si="0">SUM(B11:C11)</f>
        <v>28310.920000000002</v>
      </c>
      <c r="E11" s="7"/>
      <c r="H11" s="188" t="s">
        <v>123</v>
      </c>
      <c r="I11" s="155"/>
      <c r="J11" s="190">
        <f>C46</f>
        <v>0.36940489719161385</v>
      </c>
      <c r="K11" s="155"/>
      <c r="L11" s="155"/>
      <c r="M11" s="155"/>
    </row>
    <row r="12" spans="1:13" ht="4.5" customHeight="1" thickBot="1" x14ac:dyDescent="0.35">
      <c r="B12" s="7"/>
      <c r="C12" s="7"/>
      <c r="D12" s="7"/>
      <c r="E12" s="7"/>
    </row>
    <row r="13" spans="1:13" ht="14.4" customHeight="1" thickBot="1" x14ac:dyDescent="0.35">
      <c r="A13" s="124" t="s">
        <v>133</v>
      </c>
      <c r="B13" s="201" t="s">
        <v>47</v>
      </c>
      <c r="C13" s="202"/>
      <c r="D13" s="201" t="s">
        <v>48</v>
      </c>
      <c r="E13" s="202"/>
    </row>
    <row r="14" spans="1:13" ht="14.4" customHeight="1" x14ac:dyDescent="0.3">
      <c r="A14" s="125" t="s">
        <v>49</v>
      </c>
      <c r="B14" s="126">
        <f>Seuils!E32</f>
        <v>6973.62</v>
      </c>
      <c r="C14" s="127">
        <f>IF(B4=2,Seuils!E32,0)</f>
        <v>6973.62</v>
      </c>
      <c r="D14" s="126">
        <f>B14</f>
        <v>6973.62</v>
      </c>
      <c r="E14" s="127">
        <f>C14</f>
        <v>6973.62</v>
      </c>
    </row>
    <row r="15" spans="1:13" ht="14.4" customHeight="1" x14ac:dyDescent="0.3">
      <c r="A15" s="125" t="s">
        <v>50</v>
      </c>
      <c r="B15" s="128">
        <f>B7</f>
        <v>11605.103999999999</v>
      </c>
      <c r="C15" s="129">
        <f>C7</f>
        <v>7736.7359999999999</v>
      </c>
      <c r="D15" s="128">
        <f>B15</f>
        <v>11605.103999999999</v>
      </c>
      <c r="E15" s="129">
        <f>C15</f>
        <v>7736.7359999999999</v>
      </c>
    </row>
    <row r="16" spans="1:13" ht="14.4" customHeight="1" x14ac:dyDescent="0.3">
      <c r="A16" s="125" t="s">
        <v>34</v>
      </c>
      <c r="B16" s="128">
        <f>IF(B4=2,0,IF(D7&gt;Seuils!D31,0,Seuils!D30-D7*50%))</f>
        <v>0</v>
      </c>
      <c r="C16" s="129">
        <f>IF(B4=1,0,IF(D7&gt;Seuils!D31,0,Seuils!D30-(Données!D7*50%)))</f>
        <v>2017.08</v>
      </c>
      <c r="D16" s="128">
        <f>IF(B4=2,0,IF(Données!D15+Données!D17&gt;Seuils!E31,0,Seuils!D30-(D15+D17)*50%))</f>
        <v>0</v>
      </c>
      <c r="E16" s="129">
        <f>IF(B4=1,0,IF(D7+D11&gt;Seuils!D31,0,Seuils!D30-D7*50%-D11*50%))</f>
        <v>0</v>
      </c>
    </row>
    <row r="17" spans="1:5" ht="14.4" customHeight="1" thickBot="1" x14ac:dyDescent="0.35">
      <c r="A17" s="125" t="s">
        <v>51</v>
      </c>
      <c r="B17" s="130"/>
      <c r="C17" s="131"/>
      <c r="D17" s="130">
        <f>B11</f>
        <v>16986.552</v>
      </c>
      <c r="E17" s="131">
        <f>C11</f>
        <v>11324.368000000002</v>
      </c>
    </row>
    <row r="18" spans="1:5" ht="14.4" customHeight="1" thickBot="1" x14ac:dyDescent="0.35">
      <c r="A18" s="132" t="s">
        <v>88</v>
      </c>
      <c r="B18" s="133">
        <f>SUM(B14:B17)-B16</f>
        <v>18578.723999999998</v>
      </c>
      <c r="C18" s="134">
        <f>SUM(C14:C17)-C16</f>
        <v>14710.356000000002</v>
      </c>
      <c r="D18" s="133">
        <f>SUM(D14:D17)-D16</f>
        <v>35565.275999999998</v>
      </c>
      <c r="E18" s="134">
        <f>SUM(E14:E17)-E16</f>
        <v>26034.724000000002</v>
      </c>
    </row>
    <row r="19" spans="1:5" ht="14.4" customHeight="1" thickBot="1" x14ac:dyDescent="0.35">
      <c r="A19" s="135" t="s">
        <v>89</v>
      </c>
      <c r="B19" s="136"/>
      <c r="C19" s="136">
        <f>B18+C18</f>
        <v>33289.08</v>
      </c>
      <c r="D19" s="136"/>
      <c r="E19" s="137">
        <f>D18+E18</f>
        <v>61600</v>
      </c>
    </row>
    <row r="20" spans="1:5" ht="6" customHeight="1" thickBot="1" x14ac:dyDescent="0.35">
      <c r="A20" s="138"/>
      <c r="B20" s="139"/>
      <c r="C20" s="139"/>
      <c r="D20" s="139"/>
      <c r="E20" s="140"/>
    </row>
    <row r="21" spans="1:5" ht="14.4" customHeight="1" thickBot="1" x14ac:dyDescent="0.35">
      <c r="A21" s="141" t="s">
        <v>94</v>
      </c>
      <c r="B21" s="199" t="s">
        <v>52</v>
      </c>
      <c r="C21" s="200"/>
      <c r="D21" s="199" t="s">
        <v>53</v>
      </c>
      <c r="E21" s="200"/>
    </row>
    <row r="22" spans="1:5" ht="14.4" customHeight="1" thickBot="1" x14ac:dyDescent="0.35">
      <c r="A22" s="142"/>
      <c r="B22" s="143" t="s">
        <v>54</v>
      </c>
      <c r="C22" s="144" t="s">
        <v>55</v>
      </c>
      <c r="D22" s="145" t="s">
        <v>54</v>
      </c>
      <c r="E22" s="144" t="s">
        <v>55</v>
      </c>
    </row>
    <row r="23" spans="1:5" ht="14.4" customHeight="1" x14ac:dyDescent="0.3">
      <c r="A23" s="146" t="s">
        <v>91</v>
      </c>
      <c r="B23" s="126">
        <f>IF(B4=2,Seuils!D12*2,Seuils!D12)</f>
        <v>23270</v>
      </c>
      <c r="C23" s="127">
        <f>IF(B4=2,Seuils!J12*2,Seuils!J12)</f>
        <v>29780</v>
      </c>
      <c r="D23" s="147">
        <f>B23</f>
        <v>23270</v>
      </c>
      <c r="E23" s="127">
        <f>C23</f>
        <v>29780</v>
      </c>
    </row>
    <row r="24" spans="1:5" ht="14.4" customHeight="1" x14ac:dyDescent="0.3">
      <c r="A24" s="146" t="s">
        <v>92</v>
      </c>
      <c r="B24" s="128">
        <f>IF(B4=2,Seuils!D15*2,Seuils!D15)</f>
        <v>14450</v>
      </c>
      <c r="C24" s="129">
        <f>Seuils!K18</f>
        <v>5973.1574999999993</v>
      </c>
      <c r="D24" s="148">
        <f>IF(AND(B4=2,E19/2&lt;Seuils!D16),Seuils!D15*2,IF(B4=2,Seuils!D15+Seuils!D15-(E19-Seuils!E25-Seuils!D16)*15%,IF(E19&lt;Seuils!D16*B4,Seuils!D15*B4,Seuils!D15-(E19-Seuils!D16)*15%)))</f>
        <v>14450</v>
      </c>
      <c r="E24" s="129">
        <f>IF(E19&lt;Seuils!$J$16,Seuils!$J$15,IF(E19&gt;Seuils!$J$17,0,Seuils!$J$15-(E19-Seuils!$J$16)*18.75%))</f>
        <v>6607.0625</v>
      </c>
    </row>
    <row r="25" spans="1:5" ht="14.4" customHeight="1" x14ac:dyDescent="0.3">
      <c r="A25" s="146" t="s">
        <v>93</v>
      </c>
      <c r="B25" s="128"/>
      <c r="C25" s="129"/>
      <c r="D25" s="148">
        <f>IF(B4=2,Seuils!D19*2,Seuils!D19)</f>
        <v>4000</v>
      </c>
      <c r="E25" s="129"/>
    </row>
    <row r="26" spans="1:5" ht="14.4" customHeight="1" x14ac:dyDescent="0.3">
      <c r="A26" s="146" t="s">
        <v>18</v>
      </c>
      <c r="B26" s="128">
        <f>Seuils!D24</f>
        <v>1894.1262135922329</v>
      </c>
      <c r="C26" s="129">
        <f>Seuils!K24</f>
        <v>776.31460800000036</v>
      </c>
      <c r="D26" s="148">
        <f>Seuils!E24</f>
        <v>1544.9</v>
      </c>
      <c r="E26" s="129">
        <f>Seuils!L24</f>
        <v>479</v>
      </c>
    </row>
    <row r="27" spans="1:5" ht="14.4" customHeight="1" x14ac:dyDescent="0.3">
      <c r="A27" s="146" t="s">
        <v>56</v>
      </c>
      <c r="B27" s="128">
        <f>SUM(B23:B26)</f>
        <v>39614.12621359223</v>
      </c>
      <c r="C27" s="129">
        <f>SUM(C23:C26)</f>
        <v>36529.472108000002</v>
      </c>
      <c r="D27" s="148">
        <f>SUM(D23:D26)</f>
        <v>43264.9</v>
      </c>
      <c r="E27" s="129">
        <f>SUM(E23:E26)</f>
        <v>36866.0625</v>
      </c>
    </row>
    <row r="28" spans="1:5" ht="6" customHeight="1" x14ac:dyDescent="0.3">
      <c r="A28" s="149"/>
      <c r="B28" s="128"/>
      <c r="C28" s="129"/>
      <c r="D28" s="148"/>
      <c r="E28" s="129"/>
    </row>
    <row r="29" spans="1:5" ht="14.4" customHeight="1" x14ac:dyDescent="0.3">
      <c r="A29" s="146" t="s">
        <v>57</v>
      </c>
      <c r="B29" s="128">
        <f>C19*15%</f>
        <v>4993.3620000000001</v>
      </c>
      <c r="C29" s="129">
        <f>C19*Seuils!K6</f>
        <v>4993.3620000000001</v>
      </c>
      <c r="D29" s="148">
        <f>IF(AND(B4=2,E19&lt;Seuils!B6*2),E19*15%,IF(AND(B4=2,E19&gt;Seuils!E33*2),(Seuils!L30-Seuils!A7)*Seuils!C7+Seuils!D7+Seuils!L30-Seuils!A7*Seuils!C7+Seuils!D7,IF(AND(B4=2,E19&gt;Seuils!E33+Seuils!A7),(Seuils!L30-Seuils!A7)*Seuils!C7+Seuils!D7+Seuils!L30*Seuils!C6,IF(E19&gt;Seuils!A8,(E19-D36-Seuils!A8)*Seuils!C8+Seuils!D8,IF(E19&gt;Seuils!E33,(E19-D36-Seuils!A7)*Seuils!C7+Seuils!D7,IF(E19&gt;Seuils!A7,(E19-Seuils!A7)*Seuils!C7+Seuils!D7,E19*Seuils!C6))))))</f>
        <v>9240</v>
      </c>
      <c r="E29" s="150">
        <f>IF(AND(B4=2,E19&lt;Seuils!J6*2),Données!E19*Seuils!K6,IF(AND(B4=2,E19&gt;Seuils!I8*2),(Seuils!L30-Seuils!I7)*Seuils!K7+Seuils!L7+Seuils!L30*Seuils!K6,IF(AND(B4=2,E19&gt;Seuils!I7*2),(Seuils!L30-Seuils!I7)*Seuils!K7+Seuils!L7+Seuils!L30*Seuils!K6,IF(E19&gt;Seuils!I9,(E19-D36-Seuils!I9)*Seuils!K9+Seuils!L9,IF(E19&gt;Seuils!I8,(E19-D36-Seuils!I8)*Seuils!K8+Seuils!L8,IF(E19&gt;Seuils!E33,(E19-D36-Seuils!I7)*Seuils!K7+Seuils!L7,IF(E19&gt;Seuils!I7,(E19-Seuils!I7)*Seuils!K7+Seuils!L7,E19*Seuils!K6)))))))</f>
        <v>9240</v>
      </c>
    </row>
    <row r="30" spans="1:5" ht="14.4" customHeight="1" x14ac:dyDescent="0.3">
      <c r="A30" s="146" t="s">
        <v>58</v>
      </c>
      <c r="B30" s="128">
        <f>B27*15%</f>
        <v>5942.1189320388339</v>
      </c>
      <c r="C30" s="129">
        <f>(C23+C24)*Seuils!K6+C26*20%</f>
        <v>5518.2365466000001</v>
      </c>
      <c r="D30" s="148">
        <f>D27*15%</f>
        <v>6489.7349999999997</v>
      </c>
      <c r="E30" s="129">
        <f>(E23+E24)*Seuils!K6+E26*20%</f>
        <v>5553.859375</v>
      </c>
    </row>
    <row r="31" spans="1:5" ht="14.4" customHeight="1" x14ac:dyDescent="0.3">
      <c r="A31" s="146" t="s">
        <v>59</v>
      </c>
      <c r="B31" s="128">
        <f>IF(B29&gt;B30,(B29-B30)*16.5%,0)</f>
        <v>0</v>
      </c>
      <c r="C31" s="129"/>
      <c r="D31" s="148">
        <f>IF(D29&gt;D30,(D29-D30)*16.5%,0)</f>
        <v>453.79372500000005</v>
      </c>
      <c r="E31" s="129"/>
    </row>
    <row r="32" spans="1:5" ht="14.4" customHeight="1" x14ac:dyDescent="0.3">
      <c r="A32" s="146" t="s">
        <v>39</v>
      </c>
      <c r="B32" s="128"/>
      <c r="C32" s="129">
        <f>Seuils!K38</f>
        <v>0</v>
      </c>
      <c r="D32" s="148"/>
      <c r="E32" s="129">
        <f>Seuils!L38</f>
        <v>150</v>
      </c>
    </row>
    <row r="33" spans="1:7" ht="14.4" customHeight="1" x14ac:dyDescent="0.3">
      <c r="A33" s="146" t="s">
        <v>21</v>
      </c>
      <c r="B33" s="128"/>
      <c r="C33" s="129">
        <f>Seuils!K28</f>
        <v>835.49940800000036</v>
      </c>
      <c r="D33" s="148"/>
      <c r="E33" s="129">
        <f>Seuils!L28</f>
        <v>1327</v>
      </c>
    </row>
    <row r="34" spans="1:7" ht="14.4" customHeight="1" thickBot="1" x14ac:dyDescent="0.35">
      <c r="A34" s="146" t="s">
        <v>60</v>
      </c>
      <c r="B34" s="130"/>
      <c r="C34" s="131">
        <f>Seuils!D38</f>
        <v>0</v>
      </c>
      <c r="D34" s="151"/>
      <c r="E34" s="131">
        <f>Seuils!E38</f>
        <v>0</v>
      </c>
    </row>
    <row r="35" spans="1:7" ht="14.4" customHeight="1" thickBot="1" x14ac:dyDescent="0.35">
      <c r="A35" s="132" t="s">
        <v>61</v>
      </c>
      <c r="B35" s="133">
        <f>IF(B30&gt;B29-B31+B32+B33+B34,0,B29+B32+B33+B34-B30-B31)</f>
        <v>0</v>
      </c>
      <c r="C35" s="134">
        <f>IF(C30&gt;C29,C32+C33+C34,C29+C32+C33+C34-C30)</f>
        <v>835.49940800000036</v>
      </c>
      <c r="D35" s="152">
        <f>IF(D30&gt;D29-D31+D32+D33+D34,0,D29-D31+D32+D33+D34-D30)</f>
        <v>2296.4712750000008</v>
      </c>
      <c r="E35" s="134">
        <f>IF(E30&gt;E29,E32+E33+E34,E29+E32+E33+E34-E30)</f>
        <v>5163.140625</v>
      </c>
    </row>
    <row r="36" spans="1:7" ht="14.4" customHeight="1" x14ac:dyDescent="0.3">
      <c r="A36" s="153" t="s">
        <v>62</v>
      </c>
      <c r="B36" s="154"/>
      <c r="C36" s="154"/>
      <c r="D36" s="154"/>
      <c r="E36" s="154">
        <f>E35+D35-(B35+C35)</f>
        <v>6624.1124920000002</v>
      </c>
      <c r="F36" s="79">
        <f>E36/$D$11</f>
        <v>0.23397729540403489</v>
      </c>
    </row>
    <row r="37" spans="1:7" ht="6" customHeight="1" x14ac:dyDescent="0.3">
      <c r="A37" s="155"/>
      <c r="B37" s="155"/>
      <c r="C37" s="155"/>
      <c r="D37" s="155"/>
      <c r="E37" s="155"/>
    </row>
    <row r="38" spans="1:7" ht="14.4" customHeight="1" x14ac:dyDescent="0.3">
      <c r="A38" s="140" t="s">
        <v>63</v>
      </c>
      <c r="B38" s="155"/>
      <c r="C38" s="155"/>
      <c r="D38" s="155"/>
      <c r="E38" s="139" t="s">
        <v>98</v>
      </c>
    </row>
    <row r="39" spans="1:7" ht="14.4" customHeight="1" x14ac:dyDescent="0.3">
      <c r="A39" s="138" t="s">
        <v>64</v>
      </c>
      <c r="B39" s="122">
        <f>C19-B35-C35</f>
        <v>32453.580592000002</v>
      </c>
      <c r="C39" s="122"/>
      <c r="D39" s="122">
        <f>E19-D35-E35</f>
        <v>54140.388099999996</v>
      </c>
      <c r="E39" s="122">
        <f>D39-B39</f>
        <v>21686.807507999994</v>
      </c>
      <c r="F39" s="191"/>
    </row>
    <row r="40" spans="1:7" ht="14.4" customHeight="1" x14ac:dyDescent="0.3">
      <c r="A40" s="138" t="s">
        <v>96</v>
      </c>
      <c r="B40" s="122">
        <f>B16+C16</f>
        <v>2017.08</v>
      </c>
      <c r="C40" s="122"/>
      <c r="D40" s="122">
        <f>D16+E16</f>
        <v>0</v>
      </c>
      <c r="E40" s="122">
        <f t="shared" ref="E40:E43" si="1">D40-B40</f>
        <v>-2017.08</v>
      </c>
      <c r="F40" s="191">
        <f>-E40/$D$11</f>
        <v>7.124741972355543E-2</v>
      </c>
    </row>
    <row r="41" spans="1:7" ht="14.4" customHeight="1" x14ac:dyDescent="0.3">
      <c r="A41" s="138" t="s">
        <v>127</v>
      </c>
      <c r="B41" s="122">
        <f>Seuils!D55</f>
        <v>568</v>
      </c>
      <c r="C41" s="122"/>
      <c r="D41" s="122">
        <f>Seuils!E55</f>
        <v>0</v>
      </c>
      <c r="E41" s="122">
        <f t="shared" si="1"/>
        <v>-568</v>
      </c>
      <c r="F41" s="191">
        <f>-E41/$D$11</f>
        <v>2.0062929781158648E-2</v>
      </c>
    </row>
    <row r="42" spans="1:7" ht="14.4" customHeight="1" x14ac:dyDescent="0.3">
      <c r="A42" s="138" t="s">
        <v>128</v>
      </c>
      <c r="B42" s="122">
        <f>Seuils!J55</f>
        <v>1249</v>
      </c>
      <c r="C42" s="122"/>
      <c r="D42" s="122">
        <f>Seuils!K55</f>
        <v>0</v>
      </c>
      <c r="E42" s="122">
        <f t="shared" si="1"/>
        <v>-1249</v>
      </c>
      <c r="F42" s="191">
        <f>-E42/$D$11</f>
        <v>4.41172522828647E-2</v>
      </c>
    </row>
    <row r="43" spans="1:7" ht="14.4" customHeight="1" x14ac:dyDescent="0.3">
      <c r="A43" s="138" t="s">
        <v>65</v>
      </c>
      <c r="B43" s="122">
        <f>SUM(B39:B42)</f>
        <v>36287.660592</v>
      </c>
      <c r="C43" s="122"/>
      <c r="D43" s="156">
        <f>SUM(D39:D42)</f>
        <v>54140.388099999996</v>
      </c>
      <c r="E43" s="157">
        <f t="shared" si="1"/>
        <v>17852.727507999996</v>
      </c>
      <c r="F43" s="191">
        <f>SUM(F36:F42)</f>
        <v>0.36940489719161362</v>
      </c>
      <c r="G43" s="79"/>
    </row>
    <row r="44" spans="1:7" ht="14.4" hidden="1" customHeight="1" x14ac:dyDescent="0.3">
      <c r="A44" s="138"/>
      <c r="B44" s="158"/>
      <c r="C44" s="139"/>
      <c r="D44" s="139"/>
      <c r="E44" s="158"/>
      <c r="F44" s="75"/>
    </row>
    <row r="45" spans="1:7" ht="14.4" hidden="1" customHeight="1" x14ac:dyDescent="0.3">
      <c r="A45" s="138" t="s">
        <v>66</v>
      </c>
      <c r="B45" s="156">
        <f>D43</f>
        <v>54140.388099999996</v>
      </c>
      <c r="C45" s="138" t="s">
        <v>67</v>
      </c>
      <c r="D45" s="139"/>
      <c r="E45" s="155"/>
    </row>
    <row r="46" spans="1:7" ht="14.4" customHeight="1" x14ac:dyDescent="0.3">
      <c r="A46" s="138" t="s">
        <v>102</v>
      </c>
      <c r="B46" s="157">
        <f>B45-B43</f>
        <v>17852.727507999996</v>
      </c>
      <c r="C46" s="159">
        <f>1-B46/D46</f>
        <v>0.36940489719161385</v>
      </c>
      <c r="D46" s="157">
        <f>D17+E17</f>
        <v>28310.920000000002</v>
      </c>
      <c r="E46" s="155"/>
    </row>
    <row r="47" spans="1:7" ht="6" customHeight="1" thickBot="1" x14ac:dyDescent="0.35">
      <c r="A47" s="155"/>
      <c r="B47" s="155"/>
      <c r="C47" s="155"/>
      <c r="D47" s="155"/>
      <c r="E47" s="155"/>
    </row>
    <row r="48" spans="1:7" ht="14.4" customHeight="1" thickBot="1" x14ac:dyDescent="0.35">
      <c r="A48" s="160" t="s">
        <v>68</v>
      </c>
      <c r="B48" s="161" t="s">
        <v>69</v>
      </c>
      <c r="C48" s="162"/>
      <c r="D48" s="163" t="s">
        <v>48</v>
      </c>
      <c r="E48" s="155"/>
    </row>
    <row r="49" spans="1:9" ht="14.4" customHeight="1" x14ac:dyDescent="0.3">
      <c r="A49" s="164" t="s">
        <v>103</v>
      </c>
      <c r="B49" s="165">
        <f>D49</f>
        <v>0.371</v>
      </c>
      <c r="C49" s="166"/>
      <c r="D49" s="111">
        <f>IF(B6&gt;Seuils!A9,Seuils!E9+Seuils!K9,IF(B6&gt;Seuils!I9,Seuils!E8+Seuils!K9,IF(B6&gt;Seuils!A8,Seuils!E8+Seuils!K8,IF(AND(D6&gt;Seuils!J52/90%,B6&gt;Seuils!A7),37.1%,IF(AND(B4=2,D6&gt;Seuils!J52/90%,B6&lt;Seuils!A7),28.5%,IF(AND(B4=2,D6&gt;Seuils!D52/90%,B6&lt;Seuils!A7),35%,IF(AND(B4=2,D6&lt;27000),35%,IF(AND(B4=2,D6&lt;32500),45%,IF(AND(B4=2,D6&lt;36000),38%,IF(AND(B4=2,D6&lt;41500),52%,IF(AND(B4=2,D6&lt;47000),45%,IF(AND(B4=1,B6&gt;Seuils!J52/90%),Seuils!E7+Seuils!K7,IF(AND(B4=1,B6&gt;Seuils!D52/90%),44%,IF(AND(B4=1,B6&gt;41500),46%,IF(AND(B4=1,B6&gt;Seuils!D51/90%),42.5%,IF(AND(B4=1,B6&gt;Seuils!J51/90%),38.4%,IF(AND(B4=1,B6&lt;Seuils!D12+Seuils!D19),30%,IF(AND(B4=1,B6&lt;16500),44%,IF(AND(B4=1,B6&lt;20131),58%,IF(AND(B4=1,B6&lt;20131/90%),54%,IF(AND(B4=1,B6&lt;22500),50%,IF(AND(B4=1,B6&lt;22660/90%),42%,IF(AND(B4=1,B6&lt;Seuils!J16/90%),29.5%,IF(AND(B4=2,D6&gt;Seuils!J51),39.4%,28.5%))))))))))))))))))))))))</f>
        <v>0.371</v>
      </c>
      <c r="E49" s="155"/>
    </row>
    <row r="50" spans="1:9" ht="14.4" customHeight="1" x14ac:dyDescent="0.3">
      <c r="A50" s="167" t="s">
        <v>70</v>
      </c>
      <c r="B50" s="168">
        <f>B52</f>
        <v>10193.19204027239</v>
      </c>
      <c r="C50" s="166"/>
      <c r="D50" s="169">
        <f>+D52/(1-D49)</f>
        <v>16205.392750830508</v>
      </c>
      <c r="E50" s="155"/>
    </row>
    <row r="51" spans="1:9" ht="14.4" customHeight="1" x14ac:dyDescent="0.3">
      <c r="A51" s="167" t="s">
        <v>97</v>
      </c>
      <c r="B51" s="170"/>
      <c r="C51" s="166"/>
      <c r="D51" s="169">
        <f>+D50*D49</f>
        <v>6012.2007105581188</v>
      </c>
      <c r="E51" s="155"/>
    </row>
    <row r="52" spans="1:9" ht="14.4" customHeight="1" x14ac:dyDescent="0.3">
      <c r="A52" s="167" t="s">
        <v>71</v>
      </c>
      <c r="B52" s="171">
        <f>PMT(D54,D53,,-Seuils!I72)</f>
        <v>10193.19204027239</v>
      </c>
      <c r="C52" s="166"/>
      <c r="D52" s="172">
        <f>B52</f>
        <v>10193.19204027239</v>
      </c>
      <c r="E52" s="155"/>
    </row>
    <row r="53" spans="1:9" ht="14.4" customHeight="1" x14ac:dyDescent="0.3">
      <c r="A53" s="167" t="s">
        <v>99</v>
      </c>
      <c r="B53" s="108">
        <v>20</v>
      </c>
      <c r="C53" s="173"/>
      <c r="D53" s="174">
        <f>B53</f>
        <v>20</v>
      </c>
      <c r="E53" s="155"/>
    </row>
    <row r="54" spans="1:9" ht="14.4" customHeight="1" x14ac:dyDescent="0.3">
      <c r="A54" s="175" t="s">
        <v>100</v>
      </c>
      <c r="B54" s="109">
        <v>0.05</v>
      </c>
      <c r="C54" s="173"/>
      <c r="D54" s="176">
        <f>B54</f>
        <v>0.05</v>
      </c>
      <c r="E54" s="155"/>
    </row>
    <row r="55" spans="1:9" ht="14.4" customHeight="1" thickBot="1" x14ac:dyDescent="0.35">
      <c r="A55" s="177" t="s">
        <v>72</v>
      </c>
      <c r="B55" s="136">
        <f>FV(B54,B53,-B50)</f>
        <v>337047.62016557436</v>
      </c>
      <c r="C55" s="178"/>
      <c r="D55" s="179">
        <f>FV(D54,D53,-D50)</f>
        <v>535846.77291824215</v>
      </c>
      <c r="E55" s="155"/>
    </row>
    <row r="56" spans="1:9" ht="15.6" customHeight="1" x14ac:dyDescent="0.3">
      <c r="A56" s="155"/>
      <c r="B56" s="155"/>
      <c r="C56" s="155"/>
      <c r="D56" s="155"/>
      <c r="E56" s="155"/>
    </row>
    <row r="57" spans="1:9" ht="16.8" customHeight="1" x14ac:dyDescent="0.3">
      <c r="A57" s="155"/>
      <c r="B57" s="155"/>
      <c r="C57" s="155"/>
      <c r="D57" s="155"/>
      <c r="E57" s="155"/>
    </row>
    <row r="58" spans="1:9" ht="14.4" customHeight="1" x14ac:dyDescent="0.3">
      <c r="A58" s="140" t="s">
        <v>73</v>
      </c>
      <c r="B58" s="123">
        <f>B55</f>
        <v>337047.62016557436</v>
      </c>
      <c r="C58" s="139"/>
      <c r="D58" s="123">
        <f>D55</f>
        <v>535846.77291824215</v>
      </c>
      <c r="E58" s="155"/>
    </row>
    <row r="59" spans="1:9" ht="14.4" customHeight="1" x14ac:dyDescent="0.3">
      <c r="A59" s="138" t="s">
        <v>101</v>
      </c>
      <c r="B59" s="110">
        <v>2.9499999999999998E-2</v>
      </c>
      <c r="C59" s="139"/>
      <c r="D59" s="180">
        <f>B59</f>
        <v>2.9499999999999998E-2</v>
      </c>
      <c r="E59" s="155"/>
    </row>
    <row r="60" spans="1:9" ht="14.4" customHeight="1" x14ac:dyDescent="0.3">
      <c r="A60" s="139" t="s">
        <v>75</v>
      </c>
      <c r="B60" s="181">
        <f>B46</f>
        <v>17852.727507999996</v>
      </c>
      <c r="C60" s="182" t="s">
        <v>116</v>
      </c>
      <c r="D60" s="181">
        <f>D17+E17</f>
        <v>28310.920000000002</v>
      </c>
      <c r="E60" s="182" t="s">
        <v>116</v>
      </c>
    </row>
    <row r="61" spans="1:9" ht="14.4" customHeight="1" x14ac:dyDescent="0.3">
      <c r="A61" s="138" t="s">
        <v>74</v>
      </c>
      <c r="B61" s="183">
        <f>NPER(B59,B60,-B58,,1)</f>
        <v>26.782856038267003</v>
      </c>
      <c r="C61" s="184">
        <f>64+B61</f>
        <v>90.782856038266999</v>
      </c>
      <c r="D61" s="183">
        <f>NPER(D59,D60,-D58,,1)</f>
        <v>26.885810789114366</v>
      </c>
      <c r="E61" s="184">
        <f>64+D61</f>
        <v>90.885810789114373</v>
      </c>
      <c r="G61" s="192" t="s">
        <v>77</v>
      </c>
      <c r="H61" s="192" t="s">
        <v>69</v>
      </c>
      <c r="I61" s="192" t="s">
        <v>51</v>
      </c>
    </row>
    <row r="62" spans="1:9" ht="15" hidden="1" customHeight="1" x14ac:dyDescent="0.3">
      <c r="A62" s="138" t="s">
        <v>76</v>
      </c>
      <c r="B62" s="181">
        <f>C91</f>
        <v>-22441.459989578154</v>
      </c>
      <c r="C62" s="139"/>
      <c r="D62" s="181">
        <f>E91</f>
        <v>-32528.487590039687</v>
      </c>
      <c r="E62" s="155"/>
      <c r="G62" s="155"/>
      <c r="H62" s="155"/>
      <c r="I62" s="155"/>
    </row>
    <row r="63" spans="1:9" ht="15.6" x14ac:dyDescent="0.3">
      <c r="A63" s="185" t="s">
        <v>77</v>
      </c>
      <c r="B63" s="139"/>
      <c r="C63" s="186">
        <f>B55</f>
        <v>337047.62016557436</v>
      </c>
      <c r="D63" s="139"/>
      <c r="E63" s="186">
        <f>D55</f>
        <v>535846.77291824215</v>
      </c>
      <c r="F63" s="7"/>
      <c r="G63" s="155">
        <v>64</v>
      </c>
      <c r="H63" s="193">
        <f>C63</f>
        <v>337047.62016557436</v>
      </c>
      <c r="I63" s="193">
        <f>E63</f>
        <v>535846.77291824215</v>
      </c>
    </row>
    <row r="64" spans="1:9" ht="15.6" x14ac:dyDescent="0.3">
      <c r="A64" s="139">
        <v>65</v>
      </c>
      <c r="B64" s="186">
        <f t="shared" ref="B64:B93" si="2">$B$60</f>
        <v>17852.727507999996</v>
      </c>
      <c r="C64" s="187">
        <f>(C63-B64)*(1+$B$59)</f>
        <v>328611.14199097286</v>
      </c>
      <c r="D64" s="186">
        <f t="shared" ref="D64:D93" si="3">$D$60</f>
        <v>28310.920000000002</v>
      </c>
      <c r="E64" s="187">
        <f>(E63-D64)*(1+$B$59)</f>
        <v>522508.16057933035</v>
      </c>
      <c r="F64" s="7"/>
      <c r="G64" s="155">
        <f>A64</f>
        <v>65</v>
      </c>
      <c r="H64" s="194">
        <f>C64</f>
        <v>328611.14199097286</v>
      </c>
      <c r="I64" s="194">
        <f>E64</f>
        <v>522508.16057933035</v>
      </c>
    </row>
    <row r="65" spans="1:9" ht="15.6" x14ac:dyDescent="0.3">
      <c r="A65" s="139">
        <f>A64+1</f>
        <v>66</v>
      </c>
      <c r="B65" s="186">
        <f t="shared" si="2"/>
        <v>17852.727507999996</v>
      </c>
      <c r="C65" s="187">
        <f t="shared" ref="C65:C93" si="4">(C64-B65)*(1+$B$59)</f>
        <v>319925.78771022061</v>
      </c>
      <c r="D65" s="186">
        <f t="shared" si="3"/>
        <v>28310.920000000002</v>
      </c>
      <c r="E65" s="187">
        <f t="shared" ref="E65:E93" si="5">(E64-D65)*(1+$B$59)</f>
        <v>508776.05917642068</v>
      </c>
      <c r="F65" s="7"/>
      <c r="G65" s="155">
        <f t="shared" ref="G65:G93" si="6">A65</f>
        <v>66</v>
      </c>
      <c r="H65" s="194">
        <f t="shared" ref="H65:H93" si="7">C65</f>
        <v>319925.78771022061</v>
      </c>
      <c r="I65" s="194">
        <f t="shared" ref="I65:I93" si="8">E65</f>
        <v>508776.05917642068</v>
      </c>
    </row>
    <row r="66" spans="1:9" ht="15.6" x14ac:dyDescent="0.3">
      <c r="A66" s="139">
        <f t="shared" ref="A66:A93" si="9">A65+1</f>
        <v>67</v>
      </c>
      <c r="B66" s="186">
        <f t="shared" si="2"/>
        <v>17852.727507999996</v>
      </c>
      <c r="C66" s="187">
        <f t="shared" si="4"/>
        <v>310984.21547818615</v>
      </c>
      <c r="D66" s="186">
        <f t="shared" si="3"/>
        <v>28310.920000000002</v>
      </c>
      <c r="E66" s="187">
        <f t="shared" si="5"/>
        <v>494638.86078212515</v>
      </c>
      <c r="F66" s="7"/>
      <c r="G66" s="155">
        <f t="shared" si="6"/>
        <v>67</v>
      </c>
      <c r="H66" s="194">
        <f t="shared" si="7"/>
        <v>310984.21547818615</v>
      </c>
      <c r="I66" s="194">
        <f t="shared" si="8"/>
        <v>494638.86078212515</v>
      </c>
    </row>
    <row r="67" spans="1:9" ht="15.6" x14ac:dyDescent="0.3">
      <c r="A67" s="139">
        <f t="shared" si="9"/>
        <v>68</v>
      </c>
      <c r="B67" s="186">
        <f t="shared" si="2"/>
        <v>17852.727507999996</v>
      </c>
      <c r="C67" s="187">
        <f t="shared" si="4"/>
        <v>301778.86686530669</v>
      </c>
      <c r="D67" s="186">
        <f t="shared" si="3"/>
        <v>28310.920000000002</v>
      </c>
      <c r="E67" s="187">
        <f t="shared" si="5"/>
        <v>480084.61503519787</v>
      </c>
      <c r="F67" s="7"/>
      <c r="G67" s="155">
        <f t="shared" si="6"/>
        <v>68</v>
      </c>
      <c r="H67" s="194">
        <f t="shared" si="7"/>
        <v>301778.86686530669</v>
      </c>
      <c r="I67" s="194">
        <f t="shared" si="8"/>
        <v>480084.61503519787</v>
      </c>
    </row>
    <row r="68" spans="1:9" ht="15.6" x14ac:dyDescent="0.3">
      <c r="A68" s="139">
        <f t="shared" si="9"/>
        <v>69</v>
      </c>
      <c r="B68" s="186">
        <f t="shared" si="2"/>
        <v>17852.727507999996</v>
      </c>
      <c r="C68" s="187">
        <f t="shared" si="4"/>
        <v>292301.9604683473</v>
      </c>
      <c r="D68" s="186">
        <f t="shared" si="3"/>
        <v>28310.920000000002</v>
      </c>
      <c r="E68" s="187">
        <f t="shared" si="5"/>
        <v>465101.01903873624</v>
      </c>
      <c r="F68" s="7"/>
      <c r="G68" s="155">
        <f t="shared" si="6"/>
        <v>69</v>
      </c>
      <c r="H68" s="194">
        <f t="shared" si="7"/>
        <v>292301.9604683473</v>
      </c>
      <c r="I68" s="194">
        <f t="shared" si="8"/>
        <v>465101.01903873624</v>
      </c>
    </row>
    <row r="69" spans="1:9" ht="15.6" x14ac:dyDescent="0.3">
      <c r="A69" s="139">
        <f t="shared" si="9"/>
        <v>70</v>
      </c>
      <c r="B69" s="186">
        <f t="shared" si="2"/>
        <v>17852.727507999996</v>
      </c>
      <c r="C69" s="187">
        <f t="shared" si="4"/>
        <v>282545.48533267761</v>
      </c>
      <c r="D69" s="186">
        <f t="shared" si="3"/>
        <v>28310.920000000002</v>
      </c>
      <c r="E69" s="187">
        <f t="shared" si="5"/>
        <v>449675.40696037898</v>
      </c>
      <c r="F69" s="7"/>
      <c r="G69" s="155">
        <f t="shared" si="6"/>
        <v>70</v>
      </c>
      <c r="H69" s="194">
        <f t="shared" si="7"/>
        <v>282545.48533267761</v>
      </c>
      <c r="I69" s="194">
        <f t="shared" si="8"/>
        <v>449675.40696037898</v>
      </c>
    </row>
    <row r="70" spans="1:9" ht="15.6" x14ac:dyDescent="0.3">
      <c r="A70" s="139">
        <f t="shared" si="9"/>
        <v>71</v>
      </c>
      <c r="B70" s="186">
        <f t="shared" si="2"/>
        <v>17852.727507999996</v>
      </c>
      <c r="C70" s="187">
        <f t="shared" si="4"/>
        <v>272501.19418050564</v>
      </c>
      <c r="D70" s="186">
        <f t="shared" si="3"/>
        <v>28310.920000000002</v>
      </c>
      <c r="E70" s="187">
        <f t="shared" si="5"/>
        <v>433794.73932571022</v>
      </c>
      <c r="F70" s="7"/>
      <c r="G70" s="155">
        <f t="shared" si="6"/>
        <v>71</v>
      </c>
      <c r="H70" s="194">
        <f t="shared" si="7"/>
        <v>272501.19418050564</v>
      </c>
      <c r="I70" s="194">
        <f t="shared" si="8"/>
        <v>433794.73932571022</v>
      </c>
    </row>
    <row r="71" spans="1:9" ht="15.6" x14ac:dyDescent="0.3">
      <c r="A71" s="139">
        <f t="shared" si="9"/>
        <v>72</v>
      </c>
      <c r="B71" s="186">
        <f t="shared" si="2"/>
        <v>17852.727507999996</v>
      </c>
      <c r="C71" s="187">
        <f t="shared" si="4"/>
        <v>262160.59643934458</v>
      </c>
      <c r="D71" s="186">
        <f t="shared" si="3"/>
        <v>28310.920000000002</v>
      </c>
      <c r="E71" s="187">
        <f t="shared" si="5"/>
        <v>417445.59199581872</v>
      </c>
      <c r="F71" s="7"/>
      <c r="G71" s="155">
        <f t="shared" si="6"/>
        <v>72</v>
      </c>
      <c r="H71" s="194">
        <f t="shared" si="7"/>
        <v>262160.59643934458</v>
      </c>
      <c r="I71" s="194">
        <f t="shared" si="8"/>
        <v>417445.59199581872</v>
      </c>
    </row>
    <row r="72" spans="1:9" ht="15.6" x14ac:dyDescent="0.3">
      <c r="A72" s="139">
        <f t="shared" si="9"/>
        <v>73</v>
      </c>
      <c r="B72" s="186">
        <f t="shared" si="2"/>
        <v>17852.727507999996</v>
      </c>
      <c r="C72" s="187">
        <f t="shared" si="4"/>
        <v>251514.95106481927</v>
      </c>
      <c r="D72" s="186">
        <f t="shared" si="3"/>
        <v>28310.920000000002</v>
      </c>
      <c r="E72" s="187">
        <f t="shared" si="5"/>
        <v>400614.14481969544</v>
      </c>
      <c r="F72" s="7"/>
      <c r="G72" s="155">
        <f t="shared" si="6"/>
        <v>73</v>
      </c>
      <c r="H72" s="194">
        <f t="shared" si="7"/>
        <v>251514.95106481927</v>
      </c>
      <c r="I72" s="194">
        <f t="shared" si="8"/>
        <v>400614.14481969544</v>
      </c>
    </row>
    <row r="73" spans="1:9" ht="15.6" x14ac:dyDescent="0.3">
      <c r="A73" s="139">
        <f t="shared" si="9"/>
        <v>74</v>
      </c>
      <c r="B73" s="186">
        <f t="shared" si="2"/>
        <v>17852.727507999996</v>
      </c>
      <c r="C73" s="187">
        <f t="shared" si="4"/>
        <v>240555.25915174544</v>
      </c>
      <c r="D73" s="186">
        <f t="shared" si="3"/>
        <v>28310.920000000002</v>
      </c>
      <c r="E73" s="187">
        <f t="shared" si="5"/>
        <v>383286.16995187651</v>
      </c>
      <c r="F73" s="7"/>
      <c r="G73" s="155">
        <f t="shared" si="6"/>
        <v>74</v>
      </c>
      <c r="H73" s="194">
        <f t="shared" si="7"/>
        <v>240555.25915174544</v>
      </c>
      <c r="I73" s="194">
        <f t="shared" si="8"/>
        <v>383286.16995187651</v>
      </c>
    </row>
    <row r="74" spans="1:9" ht="15.6" x14ac:dyDescent="0.3">
      <c r="A74" s="139">
        <f t="shared" si="9"/>
        <v>75</v>
      </c>
      <c r="B74" s="186">
        <f t="shared" si="2"/>
        <v>17852.727507999996</v>
      </c>
      <c r="C74" s="187">
        <f t="shared" si="4"/>
        <v>229272.25632723593</v>
      </c>
      <c r="D74" s="186">
        <f t="shared" si="3"/>
        <v>28310.920000000002</v>
      </c>
      <c r="E74" s="187">
        <f t="shared" si="5"/>
        <v>365447.0198254569</v>
      </c>
      <c r="F74" s="7"/>
      <c r="G74" s="155">
        <f t="shared" si="6"/>
        <v>75</v>
      </c>
      <c r="H74" s="194">
        <f t="shared" si="7"/>
        <v>229272.25632723593</v>
      </c>
      <c r="I74" s="194">
        <f t="shared" si="8"/>
        <v>365447.0198254569</v>
      </c>
    </row>
    <row r="75" spans="1:9" ht="15.6" x14ac:dyDescent="0.3">
      <c r="A75" s="139">
        <f t="shared" si="9"/>
        <v>76</v>
      </c>
      <c r="B75" s="186">
        <f t="shared" si="2"/>
        <v>17852.727507999996</v>
      </c>
      <c r="C75" s="187">
        <f t="shared" si="4"/>
        <v>217656.4049194034</v>
      </c>
      <c r="D75" s="186">
        <f t="shared" si="3"/>
        <v>28310.920000000002</v>
      </c>
      <c r="E75" s="187">
        <f t="shared" si="5"/>
        <v>347081.6147703079</v>
      </c>
      <c r="F75" s="7"/>
      <c r="G75" s="155">
        <f t="shared" si="6"/>
        <v>76</v>
      </c>
      <c r="H75" s="194">
        <f t="shared" si="7"/>
        <v>217656.4049194034</v>
      </c>
      <c r="I75" s="194">
        <f t="shared" si="8"/>
        <v>347081.6147703079</v>
      </c>
    </row>
    <row r="76" spans="1:9" ht="15.6" x14ac:dyDescent="0.3">
      <c r="A76" s="139">
        <f t="shared" si="9"/>
        <v>77</v>
      </c>
      <c r="B76" s="186">
        <f t="shared" si="2"/>
        <v>17852.727507999996</v>
      </c>
      <c r="C76" s="187">
        <f t="shared" si="4"/>
        <v>205697.8858950398</v>
      </c>
      <c r="D76" s="186">
        <f t="shared" si="3"/>
        <v>28310.920000000002</v>
      </c>
      <c r="E76" s="187">
        <f t="shared" si="5"/>
        <v>328174.43026603205</v>
      </c>
      <c r="F76" s="7"/>
      <c r="G76" s="155">
        <f t="shared" si="6"/>
        <v>77</v>
      </c>
      <c r="H76" s="194">
        <f t="shared" si="7"/>
        <v>205697.8858950398</v>
      </c>
      <c r="I76" s="194">
        <f t="shared" si="8"/>
        <v>328174.43026603205</v>
      </c>
    </row>
    <row r="77" spans="1:9" ht="15.6" x14ac:dyDescent="0.3">
      <c r="A77" s="139">
        <f t="shared" si="9"/>
        <v>78</v>
      </c>
      <c r="B77" s="186">
        <f t="shared" si="2"/>
        <v>17852.727507999996</v>
      </c>
      <c r="C77" s="187">
        <f t="shared" si="4"/>
        <v>193386.59055945749</v>
      </c>
      <c r="D77" s="186">
        <f t="shared" si="3"/>
        <v>28310.920000000002</v>
      </c>
      <c r="E77" s="187">
        <f t="shared" si="5"/>
        <v>308709.48381888005</v>
      </c>
      <c r="F77" s="7"/>
      <c r="G77" s="155">
        <f t="shared" si="6"/>
        <v>78</v>
      </c>
      <c r="H77" s="194">
        <f t="shared" si="7"/>
        <v>193386.59055945749</v>
      </c>
      <c r="I77" s="194">
        <f t="shared" si="8"/>
        <v>308709.48381888005</v>
      </c>
    </row>
    <row r="78" spans="1:9" ht="15.6" x14ac:dyDescent="0.3">
      <c r="A78" s="139">
        <f t="shared" si="9"/>
        <v>79</v>
      </c>
      <c r="B78" s="186">
        <f t="shared" si="2"/>
        <v>17852.727507999996</v>
      </c>
      <c r="C78" s="187">
        <f t="shared" si="4"/>
        <v>180712.11201147552</v>
      </c>
      <c r="D78" s="186">
        <f t="shared" si="3"/>
        <v>28310.920000000002</v>
      </c>
      <c r="E78" s="187">
        <f t="shared" si="5"/>
        <v>288670.32145153708</v>
      </c>
      <c r="F78" s="7"/>
      <c r="G78" s="155">
        <f t="shared" si="6"/>
        <v>79</v>
      </c>
      <c r="H78" s="194">
        <f t="shared" si="7"/>
        <v>180712.11201147552</v>
      </c>
      <c r="I78" s="194">
        <f t="shared" si="8"/>
        <v>288670.32145153708</v>
      </c>
    </row>
    <row r="79" spans="1:9" ht="15.6" x14ac:dyDescent="0.3">
      <c r="A79" s="139">
        <f t="shared" si="9"/>
        <v>80</v>
      </c>
      <c r="B79" s="186">
        <f t="shared" si="2"/>
        <v>17852.727507999996</v>
      </c>
      <c r="C79" s="187">
        <f t="shared" si="4"/>
        <v>167663.73634632805</v>
      </c>
      <c r="D79" s="186">
        <f t="shared" si="3"/>
        <v>28310.920000000002</v>
      </c>
      <c r="E79" s="187">
        <f t="shared" si="5"/>
        <v>268040.00379435741</v>
      </c>
      <c r="F79" s="7"/>
      <c r="G79" s="155">
        <f t="shared" si="6"/>
        <v>80</v>
      </c>
      <c r="H79" s="194">
        <f t="shared" si="7"/>
        <v>167663.73634632805</v>
      </c>
      <c r="I79" s="194">
        <f t="shared" si="8"/>
        <v>268040.00379435741</v>
      </c>
    </row>
    <row r="80" spans="1:9" ht="15.6" x14ac:dyDescent="0.3">
      <c r="A80" s="139">
        <f t="shared" si="9"/>
        <v>81</v>
      </c>
      <c r="B80" s="186">
        <f t="shared" si="2"/>
        <v>17852.727507999996</v>
      </c>
      <c r="C80" s="187">
        <f t="shared" si="4"/>
        <v>154230.43359905877</v>
      </c>
      <c r="D80" s="186">
        <f t="shared" si="3"/>
        <v>28310.920000000002</v>
      </c>
      <c r="E80" s="187">
        <f t="shared" si="5"/>
        <v>246801.09176629098</v>
      </c>
      <c r="F80" s="7"/>
      <c r="G80" s="155">
        <f t="shared" si="6"/>
        <v>81</v>
      </c>
      <c r="H80" s="194">
        <f t="shared" si="7"/>
        <v>154230.43359905877</v>
      </c>
      <c r="I80" s="194">
        <f t="shared" si="8"/>
        <v>246801.09176629098</v>
      </c>
    </row>
    <row r="81" spans="1:9" ht="15.6" x14ac:dyDescent="0.3">
      <c r="A81" s="139">
        <f t="shared" si="9"/>
        <v>82</v>
      </c>
      <c r="B81" s="186">
        <f t="shared" si="2"/>
        <v>17852.727507999996</v>
      </c>
      <c r="C81" s="187">
        <f t="shared" si="4"/>
        <v>140400.84842074502</v>
      </c>
      <c r="D81" s="186">
        <f t="shared" si="3"/>
        <v>28310.920000000002</v>
      </c>
      <c r="E81" s="187">
        <f t="shared" si="5"/>
        <v>224935.63183339656</v>
      </c>
      <c r="F81" s="7"/>
      <c r="G81" s="155">
        <f t="shared" si="6"/>
        <v>82</v>
      </c>
      <c r="H81" s="194">
        <f t="shared" si="7"/>
        <v>140400.84842074502</v>
      </c>
      <c r="I81" s="194">
        <f t="shared" si="8"/>
        <v>224935.63183339656</v>
      </c>
    </row>
    <row r="82" spans="1:9" ht="15.6" x14ac:dyDescent="0.3">
      <c r="A82" s="139">
        <f t="shared" si="9"/>
        <v>83</v>
      </c>
      <c r="B82" s="186">
        <f t="shared" si="2"/>
        <v>17852.727507999996</v>
      </c>
      <c r="C82" s="187">
        <f t="shared" si="4"/>
        <v>126163.29047967102</v>
      </c>
      <c r="D82" s="186">
        <f t="shared" si="3"/>
        <v>28310.920000000002</v>
      </c>
      <c r="E82" s="187">
        <f t="shared" si="5"/>
        <v>202425.14083248176</v>
      </c>
      <c r="F82" s="7"/>
      <c r="G82" s="155">
        <f t="shared" si="6"/>
        <v>83</v>
      </c>
      <c r="H82" s="194">
        <f t="shared" si="7"/>
        <v>126163.29047967102</v>
      </c>
      <c r="I82" s="194">
        <f t="shared" si="8"/>
        <v>202425.14083248176</v>
      </c>
    </row>
    <row r="83" spans="1:9" ht="15.6" x14ac:dyDescent="0.3">
      <c r="A83" s="139">
        <f t="shared" si="9"/>
        <v>84</v>
      </c>
      <c r="B83" s="186">
        <f t="shared" si="2"/>
        <v>17852.727507999996</v>
      </c>
      <c r="C83" s="187">
        <f t="shared" si="4"/>
        <v>111505.72457933534</v>
      </c>
      <c r="D83" s="186">
        <f t="shared" si="3"/>
        <v>28310.920000000002</v>
      </c>
      <c r="E83" s="187">
        <f t="shared" si="5"/>
        <v>179250.59034703998</v>
      </c>
      <c r="F83" s="7"/>
      <c r="G83" s="155">
        <f t="shared" si="6"/>
        <v>84</v>
      </c>
      <c r="H83" s="194">
        <f t="shared" si="7"/>
        <v>111505.72457933534</v>
      </c>
      <c r="I83" s="194">
        <f t="shared" si="8"/>
        <v>179250.59034703998</v>
      </c>
    </row>
    <row r="84" spans="1:9" ht="15.6" x14ac:dyDescent="0.3">
      <c r="A84" s="139">
        <f t="shared" si="9"/>
        <v>85</v>
      </c>
      <c r="B84" s="186">
        <f t="shared" si="2"/>
        <v>17852.727507999996</v>
      </c>
      <c r="C84" s="187">
        <f t="shared" si="4"/>
        <v>96415.760484939747</v>
      </c>
      <c r="D84" s="186">
        <f t="shared" si="3"/>
        <v>28310.920000000002</v>
      </c>
      <c r="E84" s="187">
        <f t="shared" si="5"/>
        <v>155392.39062227766</v>
      </c>
      <c r="F84" s="7"/>
      <c r="G84" s="155">
        <f t="shared" si="6"/>
        <v>85</v>
      </c>
      <c r="H84" s="194">
        <f t="shared" si="7"/>
        <v>96415.760484939747</v>
      </c>
      <c r="I84" s="194">
        <f t="shared" si="8"/>
        <v>155392.39062227766</v>
      </c>
    </row>
    <row r="85" spans="1:9" ht="15.6" x14ac:dyDescent="0.3">
      <c r="A85" s="139">
        <f t="shared" si="9"/>
        <v>86</v>
      </c>
      <c r="B85" s="186">
        <f t="shared" si="2"/>
        <v>17852.727507999996</v>
      </c>
      <c r="C85" s="187">
        <f t="shared" si="4"/>
        <v>80880.642449759485</v>
      </c>
      <c r="D85" s="186">
        <f t="shared" si="3"/>
        <v>28310.920000000002</v>
      </c>
      <c r="E85" s="187">
        <f t="shared" si="5"/>
        <v>130830.37400563486</v>
      </c>
      <c r="F85" s="7"/>
      <c r="G85" s="155">
        <f t="shared" si="6"/>
        <v>86</v>
      </c>
      <c r="H85" s="194">
        <f t="shared" si="7"/>
        <v>80880.642449759485</v>
      </c>
      <c r="I85" s="194">
        <f t="shared" si="8"/>
        <v>130830.37400563486</v>
      </c>
    </row>
    <row r="86" spans="1:9" ht="15.6" x14ac:dyDescent="0.3">
      <c r="A86" s="139">
        <f t="shared" si="9"/>
        <v>87</v>
      </c>
      <c r="B86" s="186">
        <f t="shared" si="2"/>
        <v>17852.727507999996</v>
      </c>
      <c r="C86" s="187">
        <f t="shared" si="4"/>
        <v>64887.238432541402</v>
      </c>
      <c r="D86" s="186">
        <f t="shared" si="3"/>
        <v>28310.920000000002</v>
      </c>
      <c r="E86" s="187">
        <f t="shared" si="5"/>
        <v>105543.7778988011</v>
      </c>
      <c r="F86" s="7"/>
      <c r="G86" s="155">
        <f t="shared" si="6"/>
        <v>87</v>
      </c>
      <c r="H86" s="194">
        <f t="shared" si="7"/>
        <v>64887.238432541402</v>
      </c>
      <c r="I86" s="194">
        <f t="shared" si="8"/>
        <v>105543.7778988011</v>
      </c>
    </row>
    <row r="87" spans="1:9" ht="15.6" x14ac:dyDescent="0.3">
      <c r="A87" s="139">
        <f t="shared" si="9"/>
        <v>88</v>
      </c>
      <c r="B87" s="186">
        <f t="shared" si="2"/>
        <v>17852.727507999996</v>
      </c>
      <c r="C87" s="187">
        <f t="shared" si="4"/>
        <v>48422.028996815381</v>
      </c>
      <c r="D87" s="186">
        <f t="shared" si="3"/>
        <v>28310.920000000002</v>
      </c>
      <c r="E87" s="187">
        <f t="shared" si="5"/>
        <v>79511.227206815733</v>
      </c>
      <c r="F87" s="7"/>
      <c r="G87" s="155">
        <f t="shared" si="6"/>
        <v>88</v>
      </c>
      <c r="H87" s="194">
        <f t="shared" si="7"/>
        <v>48422.028996815381</v>
      </c>
      <c r="I87" s="194">
        <f t="shared" si="8"/>
        <v>79511.227206815733</v>
      </c>
    </row>
    <row r="88" spans="1:9" ht="15.6" x14ac:dyDescent="0.3">
      <c r="A88" s="139">
        <f t="shared" si="9"/>
        <v>89</v>
      </c>
      <c r="B88" s="186">
        <f t="shared" si="2"/>
        <v>17852.727507999996</v>
      </c>
      <c r="C88" s="187">
        <f t="shared" si="4"/>
        <v>31471.095882735441</v>
      </c>
      <c r="D88" s="186">
        <f t="shared" si="3"/>
        <v>28310.920000000002</v>
      </c>
      <c r="E88" s="187">
        <f t="shared" si="5"/>
        <v>52710.7162694168</v>
      </c>
      <c r="F88" s="7"/>
      <c r="G88" s="155">
        <f t="shared" si="6"/>
        <v>89</v>
      </c>
      <c r="H88" s="194">
        <f t="shared" si="7"/>
        <v>31471.095882735441</v>
      </c>
      <c r="I88" s="194">
        <f t="shared" si="8"/>
        <v>52710.7162694168</v>
      </c>
    </row>
    <row r="89" spans="1:9" ht="15.6" x14ac:dyDescent="0.3">
      <c r="A89" s="139">
        <f t="shared" si="9"/>
        <v>90</v>
      </c>
      <c r="B89" s="186">
        <f t="shared" si="2"/>
        <v>17852.727507999996</v>
      </c>
      <c r="C89" s="187">
        <f t="shared" si="4"/>
        <v>14020.11024179014</v>
      </c>
      <c r="D89" s="186">
        <f t="shared" si="3"/>
        <v>28310.920000000002</v>
      </c>
      <c r="E89" s="187">
        <f t="shared" si="5"/>
        <v>25119.590259364595</v>
      </c>
      <c r="F89" s="7"/>
      <c r="G89" s="155">
        <f t="shared" si="6"/>
        <v>90</v>
      </c>
      <c r="H89" s="194">
        <f t="shared" si="7"/>
        <v>14020.11024179014</v>
      </c>
      <c r="I89" s="194">
        <f t="shared" si="8"/>
        <v>25119.590259364595</v>
      </c>
    </row>
    <row r="90" spans="1:9" ht="15.6" x14ac:dyDescent="0.3">
      <c r="A90" s="139">
        <f t="shared" si="9"/>
        <v>91</v>
      </c>
      <c r="B90" s="186">
        <f t="shared" si="2"/>
        <v>17852.727507999996</v>
      </c>
      <c r="C90" s="187">
        <f t="shared" si="4"/>
        <v>-3945.6794755630472</v>
      </c>
      <c r="D90" s="186">
        <f t="shared" si="3"/>
        <v>28310.920000000002</v>
      </c>
      <c r="E90" s="187">
        <f t="shared" si="5"/>
        <v>-3285.4739679841514</v>
      </c>
      <c r="F90" s="7"/>
      <c r="G90" s="155">
        <f t="shared" si="6"/>
        <v>91</v>
      </c>
      <c r="H90" s="194">
        <f t="shared" si="7"/>
        <v>-3945.6794755630472</v>
      </c>
      <c r="I90" s="194">
        <f t="shared" si="8"/>
        <v>-3285.4739679841514</v>
      </c>
    </row>
    <row r="91" spans="1:9" ht="15.6" x14ac:dyDescent="0.3">
      <c r="A91" s="139">
        <f t="shared" si="9"/>
        <v>92</v>
      </c>
      <c r="B91" s="186">
        <f t="shared" si="2"/>
        <v>17852.727507999996</v>
      </c>
      <c r="C91" s="187">
        <f t="shared" si="4"/>
        <v>-22441.459989578154</v>
      </c>
      <c r="D91" s="186">
        <f t="shared" si="3"/>
        <v>28310.920000000002</v>
      </c>
      <c r="E91" s="187">
        <f t="shared" si="5"/>
        <v>-32528.487590039687</v>
      </c>
      <c r="F91" s="7"/>
      <c r="G91" s="155">
        <f t="shared" si="6"/>
        <v>92</v>
      </c>
      <c r="H91" s="194">
        <f t="shared" si="7"/>
        <v>-22441.459989578154</v>
      </c>
      <c r="I91" s="194">
        <f t="shared" si="8"/>
        <v>-32528.487590039687</v>
      </c>
    </row>
    <row r="92" spans="1:9" ht="15.6" x14ac:dyDescent="0.3">
      <c r="A92" s="139">
        <f t="shared" si="9"/>
        <v>93</v>
      </c>
      <c r="B92" s="186">
        <f t="shared" si="2"/>
        <v>17852.727507999996</v>
      </c>
      <c r="C92" s="187">
        <f t="shared" si="4"/>
        <v>-41482.866028756711</v>
      </c>
      <c r="D92" s="186">
        <f t="shared" si="3"/>
        <v>28310.920000000002</v>
      </c>
      <c r="E92" s="187">
        <f t="shared" si="5"/>
        <v>-62634.17011394586</v>
      </c>
      <c r="F92" s="7"/>
      <c r="G92" s="155">
        <f t="shared" si="6"/>
        <v>93</v>
      </c>
      <c r="H92" s="194">
        <f t="shared" si="7"/>
        <v>-41482.866028756711</v>
      </c>
      <c r="I92" s="194">
        <f t="shared" si="8"/>
        <v>-62634.17011394586</v>
      </c>
    </row>
    <row r="93" spans="1:9" ht="15.6" x14ac:dyDescent="0.3">
      <c r="A93" s="139">
        <f t="shared" si="9"/>
        <v>94</v>
      </c>
      <c r="B93" s="186">
        <f t="shared" si="2"/>
        <v>17852.727507999996</v>
      </c>
      <c r="C93" s="187">
        <f t="shared" si="4"/>
        <v>-61085.993546091035</v>
      </c>
      <c r="D93" s="186">
        <f t="shared" si="3"/>
        <v>28310.920000000002</v>
      </c>
      <c r="E93" s="187">
        <f t="shared" si="5"/>
        <v>-93627.97027230727</v>
      </c>
      <c r="F93" s="7"/>
      <c r="G93" s="155">
        <f t="shared" si="6"/>
        <v>94</v>
      </c>
      <c r="H93" s="194">
        <f t="shared" si="7"/>
        <v>-61085.993546091035</v>
      </c>
      <c r="I93" s="194">
        <f t="shared" si="8"/>
        <v>-93627.97027230727</v>
      </c>
    </row>
    <row r="94" spans="1:9" ht="15.6" x14ac:dyDescent="0.3">
      <c r="A94" s="7"/>
      <c r="B94" s="7"/>
      <c r="C94" s="7"/>
      <c r="D94" s="7"/>
      <c r="E94" s="7"/>
      <c r="F94" s="7"/>
    </row>
  </sheetData>
  <sheetProtection algorithmName="SHA-512" hashValue="rAVCt81+zfbDiJXL+WMKvwDEGxZItyMb87VwZ5rQitOXpyjTpyT+pP/+Aq6KSMhZNEUNfvx4Tu57yYOY7Pcw8A==" saltValue="wLQwL2nbv3jhQFfZ2ZNBUA==" spinCount="100000" sheet="1" objects="1" scenarios="1"/>
  <mergeCells count="6">
    <mergeCell ref="A1:E1"/>
    <mergeCell ref="K10:M10"/>
    <mergeCell ref="B21:C21"/>
    <mergeCell ref="D21:E21"/>
    <mergeCell ref="B13:C13"/>
    <mergeCell ref="D13:E13"/>
  </mergeCells>
  <pageMargins left="0.51181102362204722" right="0.51181102362204722" top="0.47244094488188981" bottom="0.23622047244094491" header="0.31496062992125984" footer="0.31496062992125984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R116"/>
  <sheetViews>
    <sheetView topLeftCell="A4" workbookViewId="0">
      <selection activeCell="K18" sqref="K18"/>
    </sheetView>
  </sheetViews>
  <sheetFormatPr baseColWidth="10" defaultRowHeight="14.4" x14ac:dyDescent="0.3"/>
  <cols>
    <col min="1" max="1" width="21.77734375" customWidth="1"/>
    <col min="7" max="7" width="12.44140625" bestFit="1" customWidth="1"/>
    <col min="9" max="9" width="15.33203125" bestFit="1" customWidth="1"/>
    <col min="11" max="11" width="12.6640625" bestFit="1" customWidth="1"/>
    <col min="13" max="13" width="42" customWidth="1"/>
    <col min="14" max="14" width="11.5546875" customWidth="1"/>
    <col min="15" max="15" width="10.109375" customWidth="1"/>
    <col min="17" max="17" width="37.5546875" customWidth="1"/>
  </cols>
  <sheetData>
    <row r="3" spans="1:14" ht="16.2" thickBot="1" x14ac:dyDescent="0.35">
      <c r="A3" s="1" t="s">
        <v>0</v>
      </c>
      <c r="B3" s="1"/>
      <c r="C3" s="6"/>
      <c r="D3" s="6"/>
      <c r="E3" s="6"/>
      <c r="F3" s="6"/>
      <c r="G3" s="7"/>
      <c r="H3" s="7"/>
      <c r="I3" s="1" t="s">
        <v>8</v>
      </c>
      <c r="J3" s="6"/>
      <c r="K3" s="6"/>
      <c r="L3" s="6"/>
      <c r="M3" s="7"/>
      <c r="N3" s="7"/>
    </row>
    <row r="4" spans="1:14" ht="16.8" thickTop="1" thickBot="1" x14ac:dyDescent="0.35">
      <c r="A4" s="205" t="s">
        <v>1</v>
      </c>
      <c r="B4" s="206"/>
      <c r="C4" s="207" t="s">
        <v>2</v>
      </c>
      <c r="D4" s="208"/>
      <c r="E4" s="205" t="s">
        <v>3</v>
      </c>
      <c r="F4" s="208"/>
      <c r="G4" s="7"/>
      <c r="H4" s="7"/>
      <c r="I4" s="209" t="s">
        <v>1</v>
      </c>
      <c r="J4" s="210"/>
      <c r="K4" s="211" t="s">
        <v>2</v>
      </c>
      <c r="L4" s="212"/>
      <c r="M4" s="7"/>
      <c r="N4" s="7"/>
    </row>
    <row r="5" spans="1:14" ht="16.8" thickTop="1" thickBot="1" x14ac:dyDescent="0.35">
      <c r="A5" s="8" t="s">
        <v>4</v>
      </c>
      <c r="B5" s="9" t="s">
        <v>5</v>
      </c>
      <c r="C5" s="10" t="s">
        <v>6</v>
      </c>
      <c r="D5" s="9" t="s">
        <v>7</v>
      </c>
      <c r="E5" s="11" t="s">
        <v>6</v>
      </c>
      <c r="F5" s="12" t="s">
        <v>7</v>
      </c>
      <c r="G5" s="7" t="s">
        <v>87</v>
      </c>
      <c r="H5" s="7"/>
      <c r="I5" s="13" t="s">
        <v>4</v>
      </c>
      <c r="J5" s="14" t="s">
        <v>5</v>
      </c>
      <c r="K5" s="15" t="s">
        <v>9</v>
      </c>
      <c r="L5" s="14" t="s">
        <v>7</v>
      </c>
      <c r="M5" s="7"/>
      <c r="N5" s="7"/>
    </row>
    <row r="6" spans="1:14" ht="15.6" x14ac:dyDescent="0.3">
      <c r="A6" s="16">
        <v>0</v>
      </c>
      <c r="B6" s="17">
        <v>45916</v>
      </c>
      <c r="C6" s="18">
        <v>0.15</v>
      </c>
      <c r="D6" s="17"/>
      <c r="E6" s="19">
        <f>C6*83.5%</f>
        <v>0.12525</v>
      </c>
      <c r="F6" s="20"/>
      <c r="G6" s="7">
        <f>Données!B7/25%</f>
        <v>46420.415999999997</v>
      </c>
      <c r="H6" s="7"/>
      <c r="I6" s="21">
        <v>0</v>
      </c>
      <c r="J6" s="22">
        <v>42705</v>
      </c>
      <c r="K6" s="23">
        <v>0.15</v>
      </c>
      <c r="L6" s="22"/>
      <c r="M6" s="7"/>
      <c r="N6" s="7"/>
    </row>
    <row r="7" spans="1:14" ht="15.6" x14ac:dyDescent="0.3">
      <c r="A7" s="24">
        <f>+B6</f>
        <v>45916</v>
      </c>
      <c r="B7" s="22">
        <v>91831</v>
      </c>
      <c r="C7" s="25">
        <v>0.20499999999999999</v>
      </c>
      <c r="D7" s="22">
        <f>ROUND(B6*C6,0)</f>
        <v>6887</v>
      </c>
      <c r="E7" s="26">
        <f>C7*83.5%</f>
        <v>0.17117499999999999</v>
      </c>
      <c r="F7" s="27">
        <f>ROUND(B6*E6,0)</f>
        <v>5751</v>
      </c>
      <c r="G7" s="7"/>
      <c r="H7" s="7"/>
      <c r="I7" s="21">
        <f>+J6</f>
        <v>42705</v>
      </c>
      <c r="J7" s="22">
        <v>85405</v>
      </c>
      <c r="K7" s="23">
        <v>0.2</v>
      </c>
      <c r="L7" s="28">
        <f>J6*K6</f>
        <v>6405.75</v>
      </c>
      <c r="M7" s="7"/>
      <c r="N7" s="7"/>
    </row>
    <row r="8" spans="1:14" ht="15.6" x14ac:dyDescent="0.3">
      <c r="A8" s="24">
        <f>+B7</f>
        <v>91831</v>
      </c>
      <c r="B8" s="22">
        <v>142353</v>
      </c>
      <c r="C8" s="25">
        <v>0.26</v>
      </c>
      <c r="D8" s="22">
        <f>ROUND((B6*C6)+((B7-B6)*C7),0)</f>
        <v>16300</v>
      </c>
      <c r="E8" s="26">
        <f>26%*83.5%</f>
        <v>0.21709999999999999</v>
      </c>
      <c r="F8" s="27">
        <f>ROUND((B6*E6)+((B7-B6)*E7),0)</f>
        <v>13610</v>
      </c>
      <c r="G8" s="7"/>
      <c r="H8" s="7"/>
      <c r="I8" s="29">
        <f>J7</f>
        <v>85405</v>
      </c>
      <c r="J8" s="30">
        <v>103915</v>
      </c>
      <c r="K8" s="31">
        <v>0.24</v>
      </c>
      <c r="L8" s="32">
        <f>(J6*K6)+((J7-J6)*K7)</f>
        <v>14945.75</v>
      </c>
      <c r="M8" s="7"/>
      <c r="N8" s="7"/>
    </row>
    <row r="9" spans="1:14" ht="16.2" thickBot="1" x14ac:dyDescent="0.35">
      <c r="A9" s="33">
        <f>+B8</f>
        <v>142353</v>
      </c>
      <c r="B9" s="34"/>
      <c r="C9" s="35">
        <v>0.28999999999999998</v>
      </c>
      <c r="D9" s="34">
        <f>ROUND((B6*C6)+((B7-B6)*C7)+((B8-B7)*C8),0)</f>
        <v>29436</v>
      </c>
      <c r="E9" s="36">
        <f>29%*83.5%</f>
        <v>0.24214999999999998</v>
      </c>
      <c r="F9" s="37">
        <f>ROUND((B6*E6)+((B7-B6)*E7)+((B8-B7)*E8),0)</f>
        <v>24579</v>
      </c>
      <c r="G9" s="7"/>
      <c r="H9" s="7"/>
      <c r="I9" s="38">
        <f>+J8</f>
        <v>103915</v>
      </c>
      <c r="J9" s="39"/>
      <c r="K9" s="40">
        <v>0.25750000000000001</v>
      </c>
      <c r="L9" s="41">
        <f>(J6*K6)+((J7-J6)*K7)+((J8-J7)*K8)</f>
        <v>19388.150000000001</v>
      </c>
      <c r="M9" s="7"/>
      <c r="N9" s="7"/>
    </row>
    <row r="10" spans="1:14" ht="15.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.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.6" x14ac:dyDescent="0.3">
      <c r="A12" s="42" t="s">
        <v>17</v>
      </c>
      <c r="B12" s="7"/>
      <c r="C12" s="7"/>
      <c r="D12" s="46">
        <v>11635</v>
      </c>
      <c r="E12" s="7"/>
      <c r="F12" s="7"/>
      <c r="G12" s="7"/>
      <c r="H12" s="7"/>
      <c r="I12" s="7"/>
      <c r="J12" s="46">
        <v>14890</v>
      </c>
      <c r="K12" s="78"/>
      <c r="L12" s="7"/>
      <c r="M12" s="7"/>
      <c r="N12" s="7"/>
    </row>
    <row r="13" spans="1:14" ht="15.6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5.6" x14ac:dyDescent="0.3">
      <c r="A14" s="42" t="s">
        <v>10</v>
      </c>
      <c r="B14" s="7"/>
      <c r="C14" s="7"/>
      <c r="D14" s="7"/>
      <c r="E14" s="7"/>
      <c r="F14" s="7"/>
      <c r="G14" s="7"/>
      <c r="H14" s="7"/>
      <c r="I14" s="7"/>
      <c r="J14" s="7">
        <f>Données!B4</f>
        <v>2</v>
      </c>
      <c r="K14" s="7" t="s">
        <v>69</v>
      </c>
      <c r="L14" s="7"/>
      <c r="M14" s="7"/>
      <c r="N14" s="7"/>
    </row>
    <row r="15" spans="1:14" ht="15.6" x14ac:dyDescent="0.3">
      <c r="A15" s="7" t="s">
        <v>13</v>
      </c>
      <c r="B15" s="7"/>
      <c r="C15" s="7"/>
      <c r="D15" s="3">
        <v>7225</v>
      </c>
      <c r="E15" s="7"/>
      <c r="F15" s="7"/>
      <c r="G15" s="7"/>
      <c r="H15" s="7"/>
      <c r="I15" s="7"/>
      <c r="J15" s="7">
        <f>IF(J14=2,J19*2+J21*2,SUM(J19:J21))</f>
        <v>11828</v>
      </c>
      <c r="K15" s="7">
        <f>IF(AND(Données!B17=0,Données!C17=0,Données!B4=2),Seuils!J21*2,IF(J14=2,J19*2+J21*2,IF(AND(Données!B17=0,Données!C17=0,Données!B4=1),J20+J21,SUM(J19:J21))))</f>
        <v>6264</v>
      </c>
      <c r="L15" s="7">
        <f>J15*15%/15%</f>
        <v>11828</v>
      </c>
      <c r="M15" s="7"/>
      <c r="N15" s="7"/>
    </row>
    <row r="16" spans="1:14" ht="15.6" x14ac:dyDescent="0.3">
      <c r="A16" s="7" t="s">
        <v>11</v>
      </c>
      <c r="B16" s="7"/>
      <c r="C16" s="7"/>
      <c r="D16" s="4">
        <v>36430</v>
      </c>
      <c r="E16" s="7"/>
      <c r="F16" s="7"/>
      <c r="G16" s="7"/>
      <c r="H16" s="7"/>
      <c r="I16" s="7">
        <f>IF(J14=2,(J12*2+J15+Données!D8+Données!D9+Seuils!J16*15%)*K7/(Seuils!K6+20%*3%+20%*15%),(J12+K15+Données!D8+Données!D9-N25*N28)*K7/(Seuils!K6+20%*3%-N28*20%))</f>
        <v>52657.258064516129</v>
      </c>
      <c r="J16" s="43">
        <v>33755</v>
      </c>
      <c r="K16" s="7">
        <f>IF(Données!C19+Données!B16+Données!C16&lt;Seuils!J16,,Données!C19+Données!C16+Données!B16-Seuils!J16)</f>
        <v>1551.1600000000035</v>
      </c>
      <c r="M16" s="7"/>
      <c r="N16" s="7"/>
    </row>
    <row r="17" spans="1:18" ht="15.6" x14ac:dyDescent="0.3">
      <c r="A17" s="7" t="s">
        <v>12</v>
      </c>
      <c r="B17" s="7"/>
      <c r="C17" s="7"/>
      <c r="D17" s="5">
        <f>(D15+(D16*15%))/15%</f>
        <v>84596.666666666672</v>
      </c>
      <c r="E17" s="7"/>
      <c r="F17" s="7"/>
      <c r="G17" s="7"/>
      <c r="H17" s="7"/>
      <c r="I17" s="7"/>
      <c r="J17" s="45">
        <f>(J16*18.75%+J15)/18.75%</f>
        <v>96837.666666666672</v>
      </c>
      <c r="K17" s="7">
        <f>K16*18.75%</f>
        <v>290.84250000000065</v>
      </c>
      <c r="M17" s="7"/>
      <c r="N17" s="7"/>
    </row>
    <row r="18" spans="1:18" ht="15.6" x14ac:dyDescent="0.3">
      <c r="A18" s="7"/>
      <c r="B18" s="7"/>
      <c r="C18" s="7"/>
      <c r="D18" s="7"/>
      <c r="E18" s="7"/>
      <c r="F18" s="7"/>
      <c r="G18" s="7"/>
      <c r="H18" s="7"/>
      <c r="I18" s="117"/>
      <c r="J18" s="7"/>
      <c r="K18" s="7">
        <f>K15-K17</f>
        <v>5973.1574999999993</v>
      </c>
      <c r="M18" s="7"/>
      <c r="N18" s="7"/>
    </row>
    <row r="19" spans="1:18" ht="15.6" x14ac:dyDescent="0.3">
      <c r="A19" s="7" t="s">
        <v>14</v>
      </c>
      <c r="B19" s="7"/>
      <c r="C19" s="7"/>
      <c r="D19" s="7">
        <v>2000</v>
      </c>
      <c r="E19" s="7"/>
      <c r="F19" s="7"/>
      <c r="G19" s="7"/>
      <c r="H19" s="7"/>
      <c r="I19" s="7"/>
      <c r="J19" s="7">
        <v>2782</v>
      </c>
      <c r="K19" s="7"/>
      <c r="L19" s="7"/>
      <c r="M19" s="7"/>
      <c r="N19" s="7"/>
    </row>
    <row r="20" spans="1:18" ht="15.6" x14ac:dyDescent="0.3">
      <c r="A20" s="7" t="s">
        <v>15</v>
      </c>
      <c r="B20" s="7"/>
      <c r="C20" s="7"/>
      <c r="D20" s="7"/>
      <c r="E20" s="7"/>
      <c r="F20" s="7"/>
      <c r="G20" s="7"/>
      <c r="H20" s="7"/>
      <c r="I20" s="7"/>
      <c r="J20" s="44">
        <v>1707</v>
      </c>
      <c r="K20" s="7"/>
      <c r="L20" s="7"/>
      <c r="M20" s="7"/>
      <c r="N20" s="7"/>
    </row>
    <row r="21" spans="1:18" ht="15.6" x14ac:dyDescent="0.3">
      <c r="A21" s="7" t="s">
        <v>16</v>
      </c>
      <c r="B21" s="7"/>
      <c r="C21" s="7"/>
      <c r="D21" s="7">
        <f>D15</f>
        <v>7225</v>
      </c>
      <c r="E21" s="7"/>
      <c r="F21" s="7"/>
      <c r="G21" s="7"/>
      <c r="H21" s="7"/>
      <c r="I21" s="7"/>
      <c r="J21" s="7">
        <v>3132</v>
      </c>
      <c r="K21" s="7"/>
      <c r="L21" s="7"/>
      <c r="M21" s="7"/>
      <c r="N21" s="7"/>
    </row>
    <row r="22" spans="1:18" ht="15.6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8" ht="15.6" x14ac:dyDescent="0.3">
      <c r="A23" s="7" t="s">
        <v>20</v>
      </c>
      <c r="B23" s="7"/>
      <c r="C23" s="7"/>
      <c r="D23" s="7">
        <f>Données!D8+Données!D9</f>
        <v>2300</v>
      </c>
      <c r="E23" s="7"/>
      <c r="F23" s="7"/>
      <c r="G23" s="7"/>
      <c r="H23" s="7"/>
      <c r="I23" s="7"/>
      <c r="J23" s="7"/>
      <c r="K23" s="77">
        <f>Données!$D$8+Seuils!K28</f>
        <v>1835.4994080000004</v>
      </c>
      <c r="L23" s="77">
        <f>Données!$D$8+Seuils!L28</f>
        <v>2327</v>
      </c>
      <c r="N23" t="s">
        <v>22</v>
      </c>
      <c r="O23" t="s">
        <v>23</v>
      </c>
      <c r="Q23" s="2"/>
      <c r="R23" s="70"/>
    </row>
    <row r="24" spans="1:18" ht="15.6" x14ac:dyDescent="0.3">
      <c r="A24" s="7" t="s">
        <v>18</v>
      </c>
      <c r="B24" s="7"/>
      <c r="C24" s="7"/>
      <c r="D24" s="7">
        <f>IF(AND(J14=2,D23&lt;D25*3%),0,IF(AND(J14=1,D23&lt;(Données!C19+Données!B16)*3%),0,IF(J14=2,D23-(D25*3%),D23-(Données!C19+Données!B16)*3%)))</f>
        <v>1894.1262135922329</v>
      </c>
      <c r="E24" s="7">
        <f>IF(AND(J14=2,D23&lt;E25*3%),0,IF(AND(J14=1,D23&lt;(Données!E19+Données!B16)*3%),0,IF(J14=2,D23-(E25*3%),IF((Données!E19+Données!D16)*3%&gt;Seuils!D23,0,Seuils!D23-(Données!E19+Données!D16)*3%))))</f>
        <v>1544.9</v>
      </c>
      <c r="F24" s="7"/>
      <c r="G24" s="7"/>
      <c r="H24" s="7"/>
      <c r="I24" s="7"/>
      <c r="J24" s="7"/>
      <c r="K24" s="7">
        <f>IF(K23&lt;(Données!C19+Données!C16+Données!B16)*3%,0,K23-(Données!C19+Données!C16+Données!B16)*3%)</f>
        <v>776.31460800000036</v>
      </c>
      <c r="L24" s="7">
        <f>IF((Données!E19+Données!E16+Données!D16)*3%&gt;L23,0,L23-(Données!E19+Données!E16+Données!D16)*3%)</f>
        <v>479</v>
      </c>
      <c r="M24" s="2" t="s">
        <v>24</v>
      </c>
      <c r="N24" s="47">
        <f>N33</f>
        <v>663.5</v>
      </c>
      <c r="O24" s="47">
        <f>N24*2</f>
        <v>1327</v>
      </c>
      <c r="P24">
        <f>IF(Seuils!$J$14=2,Seuils!O24,Seuils!N24)</f>
        <v>1327</v>
      </c>
      <c r="Q24" s="2"/>
      <c r="R24" s="70"/>
    </row>
    <row r="25" spans="1:18" ht="15.6" x14ac:dyDescent="0.3">
      <c r="A25" s="7" t="s">
        <v>19</v>
      </c>
      <c r="B25" s="7"/>
      <c r="C25" s="7"/>
      <c r="D25" s="7">
        <f>IF(J14=1,0,IF(Données!C19-Seuils!D16&gt;Seuils!D12,Données!E19-Seuils!D16,(Seuils!D12+Seuils!D23)/1.03))</f>
        <v>13529.126213592233</v>
      </c>
      <c r="E25" s="7">
        <f>IF(Données!E19&gt;Seuils!D16*2,Seuils!D16,IF(Données!E19-Seuils!D16&gt;Seuils!D12,Données!E19-Seuils!D16,(Seuils!D12+Seuils!D23)/1.03))</f>
        <v>25170</v>
      </c>
      <c r="F25" s="7"/>
      <c r="G25" s="7">
        <f>(Seuils!D12+Seuils!D23)/1.03</f>
        <v>13529.126213592233</v>
      </c>
      <c r="H25" s="7"/>
      <c r="I25" s="7"/>
      <c r="J25" s="7"/>
      <c r="K25" s="7">
        <f>K24*16%/16%</f>
        <v>776.31460800000036</v>
      </c>
      <c r="L25" s="7"/>
      <c r="M25" s="2" t="s">
        <v>25</v>
      </c>
      <c r="N25" s="48">
        <v>15790</v>
      </c>
      <c r="O25" s="48">
        <v>25600</v>
      </c>
      <c r="P25">
        <f>IF(Seuils!$J$14=2,Seuils!O25,Seuils!N25)</f>
        <v>25600</v>
      </c>
      <c r="Q25" s="2"/>
      <c r="R25" s="70"/>
    </row>
    <row r="26" spans="1:18" ht="15.6" x14ac:dyDescent="0.3">
      <c r="A26" s="7"/>
      <c r="B26" s="7"/>
      <c r="C26" s="7"/>
      <c r="D26" s="7"/>
      <c r="E26" s="7" t="s">
        <v>120</v>
      </c>
      <c r="F26" s="7"/>
      <c r="G26" s="7"/>
      <c r="H26" s="7"/>
      <c r="I26" s="7"/>
      <c r="J26" s="7"/>
      <c r="K26" s="7" t="s">
        <v>69</v>
      </c>
      <c r="L26" s="7" t="s">
        <v>48</v>
      </c>
      <c r="M26" s="2" t="s">
        <v>26</v>
      </c>
      <c r="N26" s="48">
        <v>9810</v>
      </c>
      <c r="O26" s="48">
        <v>3380</v>
      </c>
      <c r="P26">
        <f>IF(Seuils!$J$14=2,Seuils!O26,Seuils!N26)</f>
        <v>3380</v>
      </c>
      <c r="Q26" s="2"/>
      <c r="R26" s="70"/>
    </row>
    <row r="27" spans="1:18" ht="15.6" x14ac:dyDescent="0.3">
      <c r="A27" s="7" t="s">
        <v>21</v>
      </c>
      <c r="B27" s="7"/>
      <c r="C27" s="7"/>
      <c r="D27" s="7"/>
      <c r="E27" s="7"/>
      <c r="F27" s="7"/>
      <c r="G27" s="7"/>
      <c r="H27" s="7"/>
      <c r="I27" s="7"/>
      <c r="J27" s="7"/>
      <c r="K27" s="7">
        <f>IF(Données!C19&lt;Seuils!$P$25,0,Données!C19+Données!B16+Données!C16-Seuils!$P$25)</f>
        <v>9706.1600000000035</v>
      </c>
      <c r="L27" s="7">
        <f>IF(Données!E19+Données!D16+Données!E16&lt;Seuils!$P$25,0,Données!E19+Données!D16+Données!E16-Seuils!$P$25)</f>
        <v>36000</v>
      </c>
      <c r="M27" s="2" t="s">
        <v>27</v>
      </c>
      <c r="N27" s="48">
        <v>13190</v>
      </c>
      <c r="O27" s="48">
        <v>6505</v>
      </c>
      <c r="P27">
        <f>IF(Seuils!$J$14=2,Seuils!O27,Seuils!N27)</f>
        <v>6505</v>
      </c>
      <c r="Q27" s="2"/>
      <c r="R27" s="70"/>
    </row>
    <row r="28" spans="1:18" ht="15.6" x14ac:dyDescent="0.3">
      <c r="A28" s="7"/>
      <c r="B28" s="7"/>
      <c r="C28" s="7"/>
      <c r="D28" s="7"/>
      <c r="E28" s="7"/>
      <c r="F28" s="7"/>
      <c r="G28" s="7"/>
      <c r="H28" s="45">
        <f>(N24-O30+(5000*P29))/P29+P25</f>
        <v>40041.233140655109</v>
      </c>
      <c r="I28" s="7"/>
      <c r="J28" s="7"/>
      <c r="K28" s="77">
        <f>IF((K27-5000)*$P$28+$P$30&gt;$P$24/$J$14,$P$24,IF(K27+$P$25&gt;$H$28,$P$24,IF(K27&gt;5000,$J$14*((K27-5000)*$P$29+$P$30),K27*P28)))</f>
        <v>835.49940800000036</v>
      </c>
      <c r="L28" s="77">
        <f>IF((L27-5000)*$P$28+$P$30&gt;$P$24/$J$14,$P$24,IF(L27+$P$25&gt;$H$28,$P$24,IF(L27&gt;5000,$J$14*((L27-5000)*$P$29+$P$30),L27*P28)))</f>
        <v>1327</v>
      </c>
      <c r="M28" s="2" t="s">
        <v>28</v>
      </c>
      <c r="N28" s="49">
        <v>6.88E-2</v>
      </c>
      <c r="O28" s="49">
        <v>3.4700000000000002E-2</v>
      </c>
      <c r="P28" s="71">
        <f>IF(Seuils!$J$14=2,Seuils!O28,Seuils!N28)</f>
        <v>3.4700000000000002E-2</v>
      </c>
      <c r="Q28" s="2"/>
      <c r="R28" s="70"/>
    </row>
    <row r="29" spans="1:18" ht="15.6" x14ac:dyDescent="0.3">
      <c r="A29" s="42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 t="s">
        <v>121</v>
      </c>
      <c r="M29" s="2" t="s">
        <v>29</v>
      </c>
      <c r="N29" s="49">
        <v>0.1033</v>
      </c>
      <c r="O29" s="49">
        <v>5.1900000000000002E-2</v>
      </c>
      <c r="P29" s="71">
        <f>IF(Seuils!$J$14=2,Seuils!O29,Seuils!N29)</f>
        <v>5.1900000000000002E-2</v>
      </c>
      <c r="Q29" s="2"/>
      <c r="R29" s="71"/>
    </row>
    <row r="30" spans="1:18" ht="15.6" x14ac:dyDescent="0.3">
      <c r="A30" s="7" t="s">
        <v>35</v>
      </c>
      <c r="B30" s="7"/>
      <c r="C30" s="7"/>
      <c r="D30" s="113">
        <f>IF($J$14=2,F30,E30)</f>
        <v>11688</v>
      </c>
      <c r="E30" s="68">
        <v>8844</v>
      </c>
      <c r="F30" s="69">
        <v>11688</v>
      </c>
      <c r="G30" s="7"/>
      <c r="H30" s="7"/>
      <c r="I30" s="7"/>
      <c r="J30" s="7" t="s">
        <v>84</v>
      </c>
      <c r="K30" s="7">
        <f>Données!C19-K31+Données!B16</f>
        <v>18578.724000000002</v>
      </c>
      <c r="L30" s="114">
        <f>IF(J14=1,Données!E19+Données!D16,IF(Données!E19&lt;J42,I42,IF(Données!E19&gt;Seuils!J7,Données!E19-Seuils!C44,IF(Données!E19&gt;I7+Seuils!I42,I7,Données!E19-Seuils!I42-Données!D14))))</f>
        <v>42705</v>
      </c>
      <c r="M30" s="2" t="s">
        <v>30</v>
      </c>
      <c r="N30" s="50">
        <v>344</v>
      </c>
      <c r="O30" s="50">
        <v>173.5</v>
      </c>
      <c r="P30">
        <f>IF(Seuils!$J$14=2,Seuils!O30,Seuils!N30)</f>
        <v>173.5</v>
      </c>
      <c r="Q30" s="2"/>
      <c r="R30" s="72"/>
    </row>
    <row r="31" spans="1:18" ht="15.6" x14ac:dyDescent="0.3">
      <c r="A31" s="7" t="s">
        <v>36</v>
      </c>
      <c r="B31" s="7"/>
      <c r="C31" s="7"/>
      <c r="D31" s="113">
        <f t="shared" ref="D31" si="0">IF($J$14=2,F31,E31)</f>
        <v>23376</v>
      </c>
      <c r="E31" s="52">
        <v>17688</v>
      </c>
      <c r="F31" s="69">
        <v>23376</v>
      </c>
      <c r="G31" s="7"/>
      <c r="H31" s="7"/>
      <c r="I31" s="7"/>
      <c r="J31" s="7" t="s">
        <v>85</v>
      </c>
      <c r="K31" s="7">
        <f>IF(J14=1,0,Données!C18)</f>
        <v>14710.356000000002</v>
      </c>
      <c r="L31" s="114">
        <f>IF(J14=1,0,Données!E19-Seuils!L30)</f>
        <v>18895</v>
      </c>
      <c r="M31" s="2" t="s">
        <v>31</v>
      </c>
      <c r="N31" s="48">
        <v>55</v>
      </c>
      <c r="O31" s="48">
        <f>N31*2</f>
        <v>110</v>
      </c>
      <c r="P31">
        <f>IF(Seuils!$J$14=2,Seuils!O31,Seuils!N31)</f>
        <v>110</v>
      </c>
      <c r="Q31" s="2"/>
      <c r="R31" s="71"/>
    </row>
    <row r="32" spans="1:18" ht="15.6" x14ac:dyDescent="0.3">
      <c r="A32" s="7" t="s">
        <v>43</v>
      </c>
      <c r="B32" s="7"/>
      <c r="C32" s="7"/>
      <c r="D32" s="113">
        <f>IF($J$14=2,E32*2,E32)</f>
        <v>13947.24</v>
      </c>
      <c r="E32" s="67">
        <v>6973.62</v>
      </c>
      <c r="F32" s="7"/>
      <c r="G32" s="7"/>
      <c r="H32" s="7"/>
      <c r="I32" s="7"/>
      <c r="J32" s="7" t="s">
        <v>83</v>
      </c>
      <c r="K32" s="77">
        <f>K12+L15+K25</f>
        <v>12604.314608000001</v>
      </c>
      <c r="L32" s="7"/>
      <c r="M32" s="2" t="s">
        <v>32</v>
      </c>
      <c r="N32" s="48">
        <v>55.58</v>
      </c>
      <c r="O32" s="48">
        <f>N32*2</f>
        <v>111.16</v>
      </c>
      <c r="P32">
        <f>IF(Seuils!$J$14=2,Seuils!O32,Seuils!N32)</f>
        <v>111.16</v>
      </c>
      <c r="Q32" s="2"/>
      <c r="R32" s="72"/>
    </row>
    <row r="33" spans="1:18" ht="15.6" x14ac:dyDescent="0.3">
      <c r="A33" s="7" t="s">
        <v>42</v>
      </c>
      <c r="E33" s="67">
        <v>74788</v>
      </c>
      <c r="K33">
        <f>K30+K31</f>
        <v>33289.08</v>
      </c>
      <c r="L33" s="114">
        <f>L30+L31</f>
        <v>61600</v>
      </c>
      <c r="M33" s="2" t="s">
        <v>33</v>
      </c>
      <c r="N33" s="51">
        <f>ROUNDUP(N31*6+N32*6,1)</f>
        <v>663.5</v>
      </c>
      <c r="O33" s="51">
        <f>ROUNDUP(O31*6+O32*6,1)</f>
        <v>1327</v>
      </c>
      <c r="P33">
        <f>IF(Seuils!$J$14=2,Seuils!O33,Seuils!N33)</f>
        <v>1327</v>
      </c>
      <c r="Q33" s="2"/>
      <c r="R33" s="70"/>
    </row>
    <row r="34" spans="1:18" ht="15.6" x14ac:dyDescent="0.3">
      <c r="M34" s="2"/>
      <c r="N34" s="73"/>
      <c r="O34" s="73"/>
      <c r="Q34" s="2"/>
      <c r="R34" s="70"/>
    </row>
    <row r="35" spans="1:18" ht="15.6" x14ac:dyDescent="0.3">
      <c r="A35" s="7" t="s">
        <v>44</v>
      </c>
      <c r="D35" t="s">
        <v>86</v>
      </c>
      <c r="E35" t="s">
        <v>48</v>
      </c>
      <c r="M35" s="2"/>
      <c r="N35" s="73"/>
      <c r="O35" s="73"/>
      <c r="Q35" s="2"/>
      <c r="R35" s="70"/>
    </row>
    <row r="36" spans="1:18" ht="15.6" x14ac:dyDescent="0.3">
      <c r="A36" s="7"/>
      <c r="C36" t="s">
        <v>45</v>
      </c>
      <c r="D36">
        <f>IF(K30&gt;$C$45,$F$43+$F$45,IF(K30&gt;$C$44,(K30-$C$44)*$E$44+$F$43,IF(K30&gt;$C$43,$F$43,IF(K30&lt;$D$41,0,(K30-$C$42)*$E$42))))</f>
        <v>0</v>
      </c>
      <c r="E36">
        <f>IF(L30&gt;$C$45,$F$43+$F$45,IF(L30&gt;$C$44,(L30-$C$44)*$E$44+$F$43,IF(L30&gt;$C$43,$F$43,IF(L30&lt;$D$41,0,(L30-$C$42)*$E$42))))</f>
        <v>0</v>
      </c>
      <c r="J36" t="s">
        <v>45</v>
      </c>
      <c r="K36">
        <f>IF((K30-$E$32-Données!B16-$I$44)*$K$44+$L$44&gt;$L$45,$L$45,IF(K30-$E$32-Données!B16&gt;$I$44,(K30-$E$32-Données!B16-$I$44)*$K$44+$L$43,IF(K30-$E$32-Données!B16&gt;$I$43,$L$43,IF(K30-$E$32-Données!B16&lt;$J$41,0,(K30-$E$32-Données!B16-$I$42)*$K$42))))</f>
        <v>0</v>
      </c>
      <c r="L36" s="75">
        <f>IF((L30-$E$32-$I$44)*$K$44+$L$44&gt;$L$45,$L$45,IF(L30-$E$32&gt;$I$44,(L30-$E$32-$I$44)*$K$44+$L$43,IF(L30-$E$32&gt;$I$43,$L$43,IF(L30-$E$32&lt;$J$41,0,(L30-$E$32-$I$42)*$K$42))))</f>
        <v>150</v>
      </c>
      <c r="M36" s="2"/>
      <c r="N36" s="73"/>
      <c r="O36" s="73"/>
      <c r="Q36" s="2"/>
      <c r="R36" s="70"/>
    </row>
    <row r="37" spans="1:18" ht="15.6" x14ac:dyDescent="0.3">
      <c r="A37" s="7" t="s">
        <v>37</v>
      </c>
      <c r="C37" t="s">
        <v>46</v>
      </c>
      <c r="D37">
        <f>IF(K31&gt;$C$45,$F$43+$F$45,IF(K31&gt;$C$44,(K31-$C$44)*$E$44+$F$43,IF(K31&gt;$C$43,$F$43,IF(K31&lt;$D$41,0,(K31-$C$42)*$E$42))))</f>
        <v>0</v>
      </c>
      <c r="E37">
        <f>IF(L31&gt;$C$45,$F$43+$F$45,IF(L31&gt;$C$44,(L31-$C$44)*$E$44+$F$43,IF(L31&gt;$C$43,$F$43,IF(L31&lt;$D$41,0,(L31-$C$42)*$E$42))))</f>
        <v>0</v>
      </c>
      <c r="H37" t="s">
        <v>39</v>
      </c>
      <c r="I37" s="72"/>
      <c r="J37" s="72" t="s">
        <v>46</v>
      </c>
      <c r="K37">
        <f>IF((K31-$E$32-Données!C16-$I$44)*$K$44+$L$44&gt;$L$45,$L$45,IF(K31-$E$32-Données!C16&gt;$I$44,(K31-$E$32-Données!C16-$I$44)*$K$44+$L$43,IF(K31-$E$32-Données!C16&gt;$I$43,$L$43,IF(K31-$E$32-Données!C16&lt;$J$41,0,(K31-$E$32-Données!C16-$I$42)*$K$42))))</f>
        <v>0</v>
      </c>
      <c r="L37" s="75">
        <f>IF((L31-$E$32-$I$44)*$K$44+$L$44&gt;$L$45,$L$45,IF(L31-$E$32&gt;$I$44,(L31-$E$32-$I$44)*$K$44+$L$43,IF(L31-$E$32&gt;$I$43,$L$43,IF(L31-$E$32&lt;$J$41,0,(L31-$E$32-$I$42)*$K$42))))</f>
        <v>0</v>
      </c>
      <c r="M37" s="2"/>
      <c r="N37" s="73"/>
      <c r="O37" s="73"/>
      <c r="Q37" s="2"/>
      <c r="R37" s="70"/>
    </row>
    <row r="38" spans="1:18" ht="16.2" thickBot="1" x14ac:dyDescent="0.35">
      <c r="A38" s="7"/>
      <c r="D38">
        <f>SUM(D36:D37)</f>
        <v>0</v>
      </c>
      <c r="E38">
        <f>SUM(E36:E37)</f>
        <v>0</v>
      </c>
      <c r="I38" s="72"/>
      <c r="J38" s="72"/>
      <c r="K38">
        <f>SUM(K36:K37)</f>
        <v>0</v>
      </c>
      <c r="L38" s="75">
        <f>SUM(L36:L37)</f>
        <v>150</v>
      </c>
      <c r="M38" s="2"/>
      <c r="N38" s="73"/>
      <c r="O38" s="73"/>
      <c r="Q38" s="2"/>
      <c r="R38" s="70"/>
    </row>
    <row r="39" spans="1:18" x14ac:dyDescent="0.3">
      <c r="C39" s="203" t="s">
        <v>38</v>
      </c>
      <c r="D39" s="204"/>
      <c r="E39" s="203" t="s">
        <v>2</v>
      </c>
      <c r="F39" s="204"/>
      <c r="I39" s="203" t="s">
        <v>38</v>
      </c>
      <c r="J39" s="204"/>
      <c r="K39" s="203" t="s">
        <v>2</v>
      </c>
      <c r="L39" s="204"/>
    </row>
    <row r="40" spans="1:18" ht="15" thickBot="1" x14ac:dyDescent="0.35">
      <c r="C40" s="53" t="s">
        <v>4</v>
      </c>
      <c r="D40" s="53" t="s">
        <v>5</v>
      </c>
      <c r="E40" s="54" t="s">
        <v>6</v>
      </c>
      <c r="F40" s="53" t="s">
        <v>7</v>
      </c>
      <c r="I40" s="53" t="s">
        <v>4</v>
      </c>
      <c r="J40" s="53" t="s">
        <v>5</v>
      </c>
      <c r="K40" s="54" t="s">
        <v>6</v>
      </c>
      <c r="L40" s="53" t="s">
        <v>7</v>
      </c>
    </row>
    <row r="41" spans="1:18" x14ac:dyDescent="0.3">
      <c r="C41" s="55">
        <v>0</v>
      </c>
      <c r="D41" s="56">
        <v>18570</v>
      </c>
      <c r="E41" s="57"/>
      <c r="F41" s="55"/>
      <c r="I41" s="55">
        <v>0</v>
      </c>
      <c r="J41" s="56">
        <v>14545</v>
      </c>
      <c r="K41" s="57"/>
      <c r="L41" s="55"/>
    </row>
    <row r="42" spans="1:18" ht="15.6" x14ac:dyDescent="0.3">
      <c r="C42" s="58">
        <f t="shared" ref="C42:C47" si="1">+D41</f>
        <v>18570</v>
      </c>
      <c r="D42" s="58">
        <f>F43/E42+C42</f>
        <v>18570</v>
      </c>
      <c r="E42" s="59">
        <v>0.05</v>
      </c>
      <c r="F42" s="60">
        <v>0</v>
      </c>
      <c r="I42" s="61">
        <f>+J41</f>
        <v>14545</v>
      </c>
      <c r="J42" s="61">
        <f>(L43+J41*K42)*100</f>
        <v>29545.000000000004</v>
      </c>
      <c r="K42" s="63">
        <v>0.01</v>
      </c>
      <c r="L42" s="60">
        <v>0</v>
      </c>
    </row>
    <row r="43" spans="1:18" x14ac:dyDescent="0.3">
      <c r="C43" s="61">
        <f t="shared" si="1"/>
        <v>18570</v>
      </c>
      <c r="D43" s="62">
        <v>41265</v>
      </c>
      <c r="E43" s="63"/>
      <c r="F43" s="60">
        <v>0</v>
      </c>
      <c r="I43" s="61">
        <f>+J42</f>
        <v>29545.000000000004</v>
      </c>
      <c r="J43" s="62">
        <v>50570</v>
      </c>
      <c r="K43" s="63"/>
      <c r="L43" s="60">
        <v>150</v>
      </c>
    </row>
    <row r="44" spans="1:18" ht="15.6" x14ac:dyDescent="0.3">
      <c r="C44" s="58">
        <f t="shared" si="1"/>
        <v>41265</v>
      </c>
      <c r="D44" s="58">
        <f>F45/E44+C44</f>
        <v>41265</v>
      </c>
      <c r="E44" s="59">
        <v>0.05</v>
      </c>
      <c r="F44" s="60"/>
      <c r="I44" s="61">
        <f>J43</f>
        <v>50570</v>
      </c>
      <c r="J44" s="61">
        <f>(L45-L43+J43*K44)*100</f>
        <v>135570</v>
      </c>
      <c r="K44" s="63">
        <v>0.01</v>
      </c>
      <c r="L44" s="60">
        <v>150</v>
      </c>
    </row>
    <row r="45" spans="1:18" ht="15" thickBot="1" x14ac:dyDescent="0.35">
      <c r="C45" s="61">
        <f t="shared" si="1"/>
        <v>41265</v>
      </c>
      <c r="D45" s="62">
        <v>134095</v>
      </c>
      <c r="E45" s="63"/>
      <c r="F45" s="60">
        <v>0</v>
      </c>
      <c r="I45" s="64">
        <f>J44</f>
        <v>135570</v>
      </c>
      <c r="J45" s="54"/>
      <c r="K45" s="54"/>
      <c r="L45" s="65">
        <v>1000</v>
      </c>
    </row>
    <row r="46" spans="1:18" ht="15.6" x14ac:dyDescent="0.3">
      <c r="C46" s="58">
        <f t="shared" si="1"/>
        <v>134095</v>
      </c>
      <c r="D46" s="58">
        <f>F46/E46+C46</f>
        <v>134095</v>
      </c>
      <c r="E46" s="59">
        <v>0.04</v>
      </c>
      <c r="F46" s="60">
        <v>0</v>
      </c>
    </row>
    <row r="47" spans="1:18" ht="15.6" x14ac:dyDescent="0.3">
      <c r="C47" s="61">
        <f t="shared" si="1"/>
        <v>134095</v>
      </c>
      <c r="D47" s="61"/>
      <c r="E47" s="63"/>
      <c r="F47" s="58">
        <f>SUM(F42:F46)</f>
        <v>0</v>
      </c>
    </row>
    <row r="49" spans="1:11" x14ac:dyDescent="0.3">
      <c r="A49" t="s">
        <v>40</v>
      </c>
      <c r="I49" t="s">
        <v>41</v>
      </c>
    </row>
    <row r="50" spans="1:11" x14ac:dyDescent="0.3">
      <c r="A50" t="s">
        <v>35</v>
      </c>
      <c r="D50">
        <f>IF(J14=2,284*2,149+284)</f>
        <v>568</v>
      </c>
      <c r="J50">
        <f>IF(J14=2,(287*2+675),(137+287+557))</f>
        <v>1249</v>
      </c>
    </row>
    <row r="51" spans="1:11" ht="15.6" x14ac:dyDescent="0.3">
      <c r="A51" t="s">
        <v>42</v>
      </c>
      <c r="D51">
        <v>36976</v>
      </c>
      <c r="J51" s="66">
        <v>34215</v>
      </c>
    </row>
    <row r="52" spans="1:11" x14ac:dyDescent="0.3">
      <c r="A52" t="s">
        <v>12</v>
      </c>
      <c r="D52">
        <f>(D50+(D51*5%))/5%</f>
        <v>48336</v>
      </c>
      <c r="J52">
        <f>(J50+(J51*6%))/6%</f>
        <v>55031.666666666672</v>
      </c>
    </row>
    <row r="54" spans="1:11" x14ac:dyDescent="0.3">
      <c r="D54" t="s">
        <v>69</v>
      </c>
      <c r="E54" t="s">
        <v>48</v>
      </c>
      <c r="J54" t="s">
        <v>86</v>
      </c>
      <c r="K54" t="s">
        <v>48</v>
      </c>
    </row>
    <row r="55" spans="1:11" x14ac:dyDescent="0.3">
      <c r="D55">
        <f>IF(Données!C19&lt;Seuils!D51,Seuils!D50,IF(Données!C19&gt;Seuils!D52,0,D50-(Données!C19-Seuils!D51)*5%))</f>
        <v>568</v>
      </c>
      <c r="E55">
        <f>IF(Données!$E$19&lt;Seuils!D51,Seuils!D50,IF(Données!$E$19&gt;Seuils!D52,0,D50-(Données!$E$19-Seuils!D51)*5%))</f>
        <v>0</v>
      </c>
      <c r="J55">
        <f>IF(Données!C19&lt;Seuils!J51,Seuils!J50,IF(Données!C19&gt;Seuils!J52,0,J50-(Données!C19-Seuils!J51)*6%))</f>
        <v>1249</v>
      </c>
      <c r="K55">
        <f>IF(Données!$E$19&lt;Seuils!J51,Seuils!J50,IF(Données!$E$19&gt;Seuils!J52,0,J50-(Données!$E$19-Seuils!J51)*6%))</f>
        <v>0</v>
      </c>
    </row>
    <row r="62" spans="1:11" ht="21.6" x14ac:dyDescent="0.45">
      <c r="A62" s="80" t="s">
        <v>104</v>
      </c>
      <c r="B62" s="2"/>
      <c r="C62" s="2"/>
      <c r="D62" s="2"/>
      <c r="E62" s="2"/>
      <c r="F62" s="2"/>
      <c r="G62" s="2"/>
      <c r="H62" s="2"/>
      <c r="I62" s="2"/>
    </row>
    <row r="63" spans="1:11" ht="16.2" thickBot="1" x14ac:dyDescent="0.35">
      <c r="A63" s="2"/>
      <c r="B63" s="2"/>
      <c r="C63" s="2"/>
      <c r="D63" s="2"/>
      <c r="E63" s="2"/>
      <c r="F63" s="2"/>
      <c r="G63" s="2"/>
      <c r="H63" s="2"/>
      <c r="I63" s="2"/>
    </row>
    <row r="64" spans="1:11" ht="16.2" thickTop="1" x14ac:dyDescent="0.3">
      <c r="A64" s="81" t="s">
        <v>105</v>
      </c>
      <c r="B64" s="82">
        <v>20</v>
      </c>
      <c r="C64" s="82">
        <v>25</v>
      </c>
      <c r="D64" s="82">
        <v>30</v>
      </c>
      <c r="E64" s="82">
        <v>35</v>
      </c>
      <c r="F64" s="82">
        <v>40</v>
      </c>
      <c r="G64" s="82">
        <v>45</v>
      </c>
      <c r="H64" s="83">
        <v>50</v>
      </c>
      <c r="I64" s="2"/>
    </row>
    <row r="65" spans="1:9" ht="15.6" x14ac:dyDescent="0.3">
      <c r="A65" s="84" t="s">
        <v>106</v>
      </c>
      <c r="B65" s="85">
        <f>H72</f>
        <v>337047.62016557436</v>
      </c>
      <c r="C65" s="86">
        <f>B65</f>
        <v>337047.62016557436</v>
      </c>
      <c r="D65" s="86">
        <f>B65</f>
        <v>337047.62016557436</v>
      </c>
      <c r="E65" s="86">
        <f>B65</f>
        <v>337047.62016557436</v>
      </c>
      <c r="F65" s="86">
        <f>B65</f>
        <v>337047.62016557436</v>
      </c>
      <c r="G65" s="86">
        <f>B65</f>
        <v>337047.62016557436</v>
      </c>
      <c r="H65" s="87">
        <f>B65</f>
        <v>337047.62016557436</v>
      </c>
      <c r="I65" s="2"/>
    </row>
    <row r="66" spans="1:9" ht="15.6" x14ac:dyDescent="0.3">
      <c r="A66" s="84" t="s">
        <v>107</v>
      </c>
      <c r="B66" s="88">
        <f t="shared" ref="B66:C66" si="2">PMT($B$70,65-B64,,-B65)</f>
        <v>2110.5027626913711</v>
      </c>
      <c r="C66" s="88">
        <f t="shared" si="2"/>
        <v>2790.1345203591718</v>
      </c>
      <c r="D66" s="88">
        <f>PMT($B$70,65-D64,,-D65)</f>
        <v>3731.6925733279118</v>
      </c>
      <c r="E66" s="88">
        <f>PMT($B$70,65-E64,,-E65)</f>
        <v>5073.0503738838634</v>
      </c>
      <c r="F66" s="88">
        <f t="shared" ref="F66:H66" si="3">PMT($B$70,65-F64,,-F65)</f>
        <v>7061.9758693261601</v>
      </c>
      <c r="G66" s="88">
        <f t="shared" si="3"/>
        <v>10193.19204027239</v>
      </c>
      <c r="H66" s="88">
        <f t="shared" si="3"/>
        <v>15619.557751724398</v>
      </c>
      <c r="I66" s="2"/>
    </row>
    <row r="67" spans="1:9" ht="15.6" x14ac:dyDescent="0.3">
      <c r="A67" s="84" t="s">
        <v>108</v>
      </c>
      <c r="B67" s="89"/>
      <c r="C67" s="90">
        <f>C66/$B$66</f>
        <v>1.3220236285315805</v>
      </c>
      <c r="D67" s="90">
        <f t="shared" ref="D67:H67" si="4">D66/$B$66</f>
        <v>1.7681533705121308</v>
      </c>
      <c r="E67" s="90">
        <f t="shared" si="4"/>
        <v>2.403716528385194</v>
      </c>
      <c r="F67" s="90">
        <f t="shared" si="4"/>
        <v>3.3461106965434788</v>
      </c>
      <c r="G67" s="90">
        <f t="shared" si="4"/>
        <v>4.8297458882611233</v>
      </c>
      <c r="H67" s="90">
        <f t="shared" si="4"/>
        <v>7.4008705545620366</v>
      </c>
      <c r="I67" s="2"/>
    </row>
    <row r="68" spans="1:9" ht="16.2" thickBot="1" x14ac:dyDescent="0.35">
      <c r="A68" s="91" t="s">
        <v>109</v>
      </c>
      <c r="B68" s="103">
        <f t="shared" ref="B68:H68" si="5">B66*(66-B64)</f>
        <v>97083.127083803076</v>
      </c>
      <c r="C68" s="103">
        <f t="shared" si="5"/>
        <v>114395.51533472605</v>
      </c>
      <c r="D68" s="103">
        <f t="shared" si="5"/>
        <v>134340.93263980481</v>
      </c>
      <c r="E68" s="103">
        <f t="shared" si="5"/>
        <v>157264.56159039977</v>
      </c>
      <c r="F68" s="103">
        <f t="shared" si="5"/>
        <v>183611.37260248017</v>
      </c>
      <c r="G68" s="103">
        <f t="shared" si="5"/>
        <v>214057.03284572018</v>
      </c>
      <c r="H68" s="104">
        <f t="shared" si="5"/>
        <v>249912.92402759037</v>
      </c>
      <c r="I68" s="2"/>
    </row>
    <row r="69" spans="1:9" ht="16.2" thickTop="1" x14ac:dyDescent="0.3">
      <c r="A69" s="2"/>
      <c r="B69" s="2"/>
      <c r="C69" s="2"/>
      <c r="D69" s="2"/>
      <c r="E69" s="2"/>
      <c r="F69" s="2"/>
      <c r="G69" s="2"/>
      <c r="H69" s="2"/>
      <c r="I69" s="2"/>
    </row>
    <row r="70" spans="1:9" ht="15.6" x14ac:dyDescent="0.3">
      <c r="A70" s="2" t="s">
        <v>110</v>
      </c>
      <c r="B70" s="92">
        <f>Données!B54</f>
        <v>0.05</v>
      </c>
      <c r="C70" s="2"/>
      <c r="D70" s="2"/>
      <c r="E70" s="2"/>
      <c r="F70" s="2"/>
      <c r="G70" s="2"/>
      <c r="H70" s="2"/>
      <c r="I70" s="2"/>
    </row>
    <row r="71" spans="1:9" ht="15.6" x14ac:dyDescent="0.3">
      <c r="A71" s="2">
        <v>19</v>
      </c>
      <c r="B71" s="2"/>
      <c r="C71" s="2"/>
      <c r="D71" s="2"/>
      <c r="E71" s="2"/>
      <c r="F71" s="2"/>
      <c r="G71" s="2"/>
      <c r="H71" s="2"/>
      <c r="I71" s="2"/>
    </row>
    <row r="72" spans="1:9" ht="15.6" x14ac:dyDescent="0.3">
      <c r="A72" s="2">
        <v>20</v>
      </c>
      <c r="B72" s="93">
        <f>B66</f>
        <v>2110.5027626913711</v>
      </c>
      <c r="C72" s="2"/>
      <c r="D72" s="2"/>
      <c r="E72" s="2"/>
      <c r="F72" s="2" t="s">
        <v>111</v>
      </c>
      <c r="G72" s="2"/>
      <c r="H72" s="94">
        <f>I72</f>
        <v>337047.62016557436</v>
      </c>
      <c r="I72" s="105">
        <f>PV(Données!B59,28,-Données!B46)</f>
        <v>337047.62016557436</v>
      </c>
    </row>
    <row r="73" spans="1:9" ht="15.6" x14ac:dyDescent="0.3">
      <c r="A73" s="95">
        <f>A72+1</f>
        <v>21</v>
      </c>
      <c r="B73" s="96">
        <f>FV($B$70,A73-$A$71,-$B$66,,0)</f>
        <v>4326.530663517312</v>
      </c>
      <c r="C73" s="2"/>
      <c r="D73" s="2"/>
      <c r="E73" s="2"/>
      <c r="F73" s="2" t="s">
        <v>110</v>
      </c>
      <c r="G73" s="2"/>
      <c r="H73" s="49">
        <f>Données!B59</f>
        <v>2.9499999999999998E-2</v>
      </c>
      <c r="I73" s="2"/>
    </row>
    <row r="74" spans="1:9" ht="15.6" x14ac:dyDescent="0.3">
      <c r="A74" s="95">
        <f t="shared" ref="A74:A116" si="6">A73+1</f>
        <v>22</v>
      </c>
      <c r="B74" s="96">
        <f t="shared" ref="B74:B116" si="7">FV($B$70,A74-$A$71,-$B$66,,0)</f>
        <v>6653.3599593845529</v>
      </c>
      <c r="C74" s="2"/>
      <c r="D74" s="2"/>
      <c r="E74" s="2"/>
      <c r="F74" s="2" t="s">
        <v>112</v>
      </c>
      <c r="G74" s="2"/>
      <c r="H74" s="49">
        <f>I74/H72</f>
        <v>5.2967967847480597E-2</v>
      </c>
      <c r="I74" s="2">
        <f>Données!B46</f>
        <v>17852.727507999996</v>
      </c>
    </row>
    <row r="75" spans="1:9" ht="15.6" x14ac:dyDescent="0.3">
      <c r="A75" s="95">
        <f t="shared" si="6"/>
        <v>23</v>
      </c>
      <c r="B75" s="96">
        <f t="shared" si="7"/>
        <v>9096.5307200451462</v>
      </c>
      <c r="C75" s="2"/>
      <c r="D75" s="2"/>
      <c r="E75" s="2"/>
      <c r="F75" s="2" t="s">
        <v>113</v>
      </c>
      <c r="G75" s="2"/>
      <c r="H75" s="97">
        <v>0.02</v>
      </c>
      <c r="I75" s="2"/>
    </row>
    <row r="76" spans="1:9" ht="15.6" x14ac:dyDescent="0.3">
      <c r="A76" s="95">
        <f t="shared" si="6"/>
        <v>24</v>
      </c>
      <c r="B76" s="96">
        <f t="shared" si="7"/>
        <v>11661.86001873878</v>
      </c>
      <c r="C76" s="2"/>
      <c r="D76" s="2"/>
      <c r="E76" s="2"/>
      <c r="F76" s="2" t="s">
        <v>114</v>
      </c>
      <c r="G76" s="2"/>
      <c r="H76" s="98">
        <v>27.7</v>
      </c>
      <c r="I76" s="2"/>
    </row>
    <row r="77" spans="1:9" ht="15.6" x14ac:dyDescent="0.3">
      <c r="A77" s="95">
        <f t="shared" si="6"/>
        <v>25</v>
      </c>
      <c r="B77" s="96">
        <f t="shared" si="7"/>
        <v>14355.455782367084</v>
      </c>
      <c r="C77" s="93">
        <f>C66</f>
        <v>2790.1345203591718</v>
      </c>
      <c r="D77" s="2"/>
      <c r="E77" s="2"/>
      <c r="F77" s="2"/>
      <c r="G77" s="2"/>
      <c r="H77" s="99">
        <f>H72*H74</f>
        <v>17852.727507999996</v>
      </c>
      <c r="I77" s="2"/>
    </row>
    <row r="78" spans="1:9" ht="15.6" x14ac:dyDescent="0.3">
      <c r="A78" s="95">
        <f t="shared" si="6"/>
        <v>26</v>
      </c>
      <c r="B78" s="96">
        <f t="shared" si="7"/>
        <v>17183.73133417682</v>
      </c>
      <c r="C78" s="100">
        <f>FV($B$70,A73-$A$71,-$C$66,,0)</f>
        <v>5719.7757667363039</v>
      </c>
      <c r="D78" s="100"/>
      <c r="E78" s="2"/>
      <c r="F78" s="100" t="s">
        <v>115</v>
      </c>
      <c r="G78" s="2"/>
      <c r="H78" s="101">
        <f>((1+H73)/(1+H75))-1</f>
        <v>9.3137254901960453E-3</v>
      </c>
      <c r="I78" s="2"/>
    </row>
    <row r="79" spans="1:9" ht="15.6" x14ac:dyDescent="0.3">
      <c r="A79" s="95">
        <f t="shared" si="6"/>
        <v>27</v>
      </c>
      <c r="B79" s="96">
        <f t="shared" si="7"/>
        <v>20153.420663577021</v>
      </c>
      <c r="C79" s="100">
        <f t="shared" ref="C79:C116" si="8">FV($B$70,A74-$A$71,-$C$66,,0)</f>
        <v>8795.8990754322967</v>
      </c>
      <c r="D79" s="100"/>
      <c r="E79" s="2"/>
      <c r="F79" s="100"/>
      <c r="G79" s="2"/>
      <c r="H79" s="102">
        <f>NPER(H78,-H72*H74,H72,,1)</f>
        <v>20.648030843132389</v>
      </c>
      <c r="I79" s="2"/>
    </row>
    <row r="80" spans="1:9" ht="15.6" x14ac:dyDescent="0.3">
      <c r="A80" s="95">
        <f t="shared" si="6"/>
        <v>28</v>
      </c>
      <c r="B80" s="96">
        <f t="shared" si="7"/>
        <v>23271.594459447249</v>
      </c>
      <c r="C80" s="100">
        <f t="shared" si="8"/>
        <v>12025.828549563075</v>
      </c>
    </row>
    <row r="81" spans="1:3" ht="15.6" x14ac:dyDescent="0.3">
      <c r="A81" s="95">
        <f t="shared" si="6"/>
        <v>29</v>
      </c>
      <c r="B81" s="96">
        <f t="shared" si="7"/>
        <v>26545.676945110983</v>
      </c>
      <c r="C81" s="100">
        <f t="shared" si="8"/>
        <v>15417.254497400409</v>
      </c>
    </row>
    <row r="82" spans="1:3" ht="15.6" x14ac:dyDescent="0.3">
      <c r="A82" s="95">
        <f t="shared" si="6"/>
        <v>30</v>
      </c>
      <c r="B82" s="96">
        <f t="shared" si="7"/>
        <v>29983.463555057908</v>
      </c>
      <c r="C82" s="100">
        <f t="shared" si="8"/>
        <v>18978.251742629593</v>
      </c>
    </row>
    <row r="83" spans="1:3" ht="15.6" x14ac:dyDescent="0.3">
      <c r="A83" s="95">
        <f t="shared" si="6"/>
        <v>31</v>
      </c>
      <c r="B83" s="96">
        <f t="shared" si="7"/>
        <v>33593.139495502161</v>
      </c>
      <c r="C83" s="100">
        <f t="shared" si="8"/>
        <v>22717.298850120256</v>
      </c>
    </row>
    <row r="84" spans="1:3" ht="15.6" x14ac:dyDescent="0.3">
      <c r="A84" s="95">
        <f t="shared" si="6"/>
        <v>32</v>
      </c>
      <c r="B84" s="96">
        <f t="shared" si="7"/>
        <v>37383.299232968653</v>
      </c>
      <c r="C84" s="100">
        <f t="shared" si="8"/>
        <v>26643.298312985429</v>
      </c>
    </row>
    <row r="85" spans="1:3" ht="15.6" x14ac:dyDescent="0.3">
      <c r="A85" s="95">
        <f t="shared" si="6"/>
        <v>33</v>
      </c>
      <c r="B85" s="96">
        <f t="shared" si="7"/>
        <v>41362.966957308439</v>
      </c>
      <c r="C85" s="100">
        <f t="shared" si="8"/>
        <v>30765.597748993881</v>
      </c>
    </row>
    <row r="86" spans="1:3" ht="15.6" x14ac:dyDescent="0.3">
      <c r="A86" s="95">
        <f t="shared" si="6"/>
        <v>34</v>
      </c>
      <c r="B86" s="96">
        <f t="shared" si="7"/>
        <v>45541.618067865267</v>
      </c>
      <c r="C86" s="100">
        <f t="shared" si="8"/>
        <v>35094.012156802746</v>
      </c>
    </row>
    <row r="87" spans="1:3" ht="15.6" x14ac:dyDescent="0.3">
      <c r="A87" s="95">
        <f t="shared" si="6"/>
        <v>35</v>
      </c>
      <c r="B87" s="96">
        <f t="shared" si="7"/>
        <v>49929.201733949893</v>
      </c>
      <c r="C87" s="100">
        <f t="shared" si="8"/>
        <v>39638.847285002063</v>
      </c>
    </row>
    <row r="88" spans="1:3" ht="15.6" x14ac:dyDescent="0.3">
      <c r="A88" s="95">
        <f t="shared" si="6"/>
        <v>36</v>
      </c>
      <c r="B88" s="96">
        <f t="shared" si="7"/>
        <v>54536.164583338767</v>
      </c>
      <c r="C88" s="100">
        <f t="shared" si="8"/>
        <v>44410.924169611317</v>
      </c>
    </row>
    <row r="89" spans="1:3" ht="15.6" x14ac:dyDescent="0.3">
      <c r="A89" s="95">
        <f t="shared" si="6"/>
        <v>37</v>
      </c>
      <c r="B89" s="96">
        <f t="shared" si="7"/>
        <v>59373.475575197073</v>
      </c>
      <c r="C89" s="100">
        <f t="shared" si="8"/>
        <v>49421.604898451078</v>
      </c>
    </row>
    <row r="90" spans="1:3" ht="15.6" x14ac:dyDescent="0.3">
      <c r="A90" s="95">
        <f t="shared" si="6"/>
        <v>38</v>
      </c>
      <c r="B90" s="96">
        <f t="shared" si="7"/>
        <v>64452.6521166483</v>
      </c>
      <c r="C90" s="100">
        <f t="shared" si="8"/>
        <v>54682.819663732778</v>
      </c>
    </row>
    <row r="91" spans="1:3" ht="15.6" x14ac:dyDescent="0.3">
      <c r="A91" s="95">
        <f t="shared" si="6"/>
        <v>39</v>
      </c>
      <c r="B91" s="96">
        <f t="shared" si="7"/>
        <v>69785.78748517207</v>
      </c>
      <c r="C91" s="100">
        <f t="shared" si="8"/>
        <v>60207.095167278625</v>
      </c>
    </row>
    <row r="92" spans="1:3" ht="15.6" x14ac:dyDescent="0.3">
      <c r="A92" s="95">
        <f t="shared" si="6"/>
        <v>40</v>
      </c>
      <c r="B92" s="96">
        <f t="shared" si="7"/>
        <v>75385.579622122052</v>
      </c>
      <c r="C92" s="100">
        <f t="shared" si="8"/>
        <v>66007.584446001725</v>
      </c>
    </row>
    <row r="93" spans="1:3" ht="15.6" x14ac:dyDescent="0.3">
      <c r="A93" s="95">
        <f t="shared" si="6"/>
        <v>41</v>
      </c>
      <c r="B93" s="112">
        <f t="shared" si="7"/>
        <v>81265.361365919525</v>
      </c>
      <c r="C93" s="100">
        <f t="shared" si="8"/>
        <v>72098.098188660995</v>
      </c>
    </row>
    <row r="94" spans="1:3" ht="15.6" x14ac:dyDescent="0.3">
      <c r="A94" s="95">
        <f t="shared" si="6"/>
        <v>42</v>
      </c>
      <c r="B94" s="112">
        <f t="shared" si="7"/>
        <v>87439.132196906881</v>
      </c>
      <c r="C94" s="100">
        <f t="shared" si="8"/>
        <v>78493.137618453213</v>
      </c>
    </row>
    <row r="95" spans="1:3" ht="15.6" x14ac:dyDescent="0.3">
      <c r="A95" s="95">
        <f t="shared" si="6"/>
        <v>43</v>
      </c>
      <c r="B95" s="112">
        <f t="shared" si="7"/>
        <v>93921.591569443583</v>
      </c>
      <c r="C95" s="100">
        <f t="shared" si="8"/>
        <v>85207.929019735035</v>
      </c>
    </row>
    <row r="96" spans="1:3" ht="15.6" x14ac:dyDescent="0.3">
      <c r="A96" s="95">
        <f t="shared" si="6"/>
        <v>44</v>
      </c>
      <c r="B96" s="112">
        <f t="shared" si="7"/>
        <v>100728.17391060715</v>
      </c>
      <c r="C96" s="100">
        <f t="shared" si="8"/>
        <v>92258.459991080948</v>
      </c>
    </row>
    <row r="97" spans="1:3" ht="15.6" x14ac:dyDescent="0.3">
      <c r="A97" s="95">
        <f t="shared" si="6"/>
        <v>45</v>
      </c>
      <c r="B97" s="112">
        <f t="shared" si="7"/>
        <v>107875.08536882888</v>
      </c>
      <c r="C97" s="100">
        <f t="shared" si="8"/>
        <v>99661.517510994177</v>
      </c>
    </row>
    <row r="98" spans="1:3" ht="15.6" x14ac:dyDescent="0.3">
      <c r="A98" s="95">
        <f t="shared" si="6"/>
        <v>46</v>
      </c>
      <c r="B98" s="112">
        <f t="shared" si="7"/>
        <v>115379.34239996171</v>
      </c>
      <c r="C98" s="100">
        <f t="shared" si="8"/>
        <v>107434.72790690305</v>
      </c>
    </row>
    <row r="99" spans="1:3" ht="15.6" x14ac:dyDescent="0.3">
      <c r="A99" s="95">
        <f t="shared" si="6"/>
        <v>47</v>
      </c>
      <c r="B99" s="112">
        <f t="shared" si="7"/>
        <v>123258.81228265114</v>
      </c>
      <c r="C99" s="100">
        <f t="shared" si="8"/>
        <v>115596.5988226074</v>
      </c>
    </row>
    <row r="100" spans="1:3" ht="15.6" x14ac:dyDescent="0.3">
      <c r="A100" s="95">
        <f t="shared" si="6"/>
        <v>48</v>
      </c>
      <c r="B100" s="112">
        <f t="shared" si="7"/>
        <v>131532.25565947511</v>
      </c>
      <c r="C100" s="100">
        <f t="shared" si="8"/>
        <v>124166.56328409692</v>
      </c>
    </row>
    <row r="101" spans="1:3" ht="15.6" x14ac:dyDescent="0.3">
      <c r="A101" s="95">
        <f t="shared" si="6"/>
        <v>49</v>
      </c>
      <c r="B101" s="112">
        <f t="shared" si="7"/>
        <v>140219.37120514017</v>
      </c>
      <c r="C101" s="100">
        <f t="shared" si="8"/>
        <v>133165.02596866095</v>
      </c>
    </row>
    <row r="102" spans="1:3" ht="15.6" x14ac:dyDescent="0.3">
      <c r="A102" s="95">
        <f t="shared" si="6"/>
        <v>50</v>
      </c>
      <c r="B102" s="112">
        <f t="shared" si="7"/>
        <v>149340.84252808863</v>
      </c>
      <c r="C102" s="100">
        <f t="shared" si="8"/>
        <v>142613.41178745317</v>
      </c>
    </row>
    <row r="103" spans="1:3" ht="15.6" x14ac:dyDescent="0.3">
      <c r="A103" s="95">
        <f t="shared" si="6"/>
        <v>51</v>
      </c>
      <c r="B103" s="112">
        <f t="shared" si="7"/>
        <v>158918.38741718439</v>
      </c>
      <c r="C103" s="100">
        <f t="shared" si="8"/>
        <v>152534.21689718502</v>
      </c>
    </row>
    <row r="104" spans="1:3" ht="15.6" x14ac:dyDescent="0.3">
      <c r="A104" s="95">
        <f t="shared" si="6"/>
        <v>52</v>
      </c>
      <c r="B104" s="112">
        <f t="shared" si="7"/>
        <v>168974.80955073499</v>
      </c>
      <c r="C104" s="100">
        <f t="shared" si="8"/>
        <v>162951.0622624034</v>
      </c>
    </row>
    <row r="105" spans="1:3" ht="15.6" x14ac:dyDescent="0.3">
      <c r="A105" s="95">
        <f t="shared" si="6"/>
        <v>53</v>
      </c>
      <c r="B105" s="112">
        <f t="shared" si="7"/>
        <v>179534.05279096312</v>
      </c>
      <c r="C105" s="100">
        <f t="shared" si="8"/>
        <v>173888.74989588279</v>
      </c>
    </row>
    <row r="106" spans="1:3" ht="15.6" x14ac:dyDescent="0.3">
      <c r="A106" s="95">
        <f t="shared" si="6"/>
        <v>54</v>
      </c>
      <c r="B106" s="112">
        <f t="shared" si="7"/>
        <v>190621.25819320267</v>
      </c>
      <c r="C106" s="100">
        <f t="shared" si="8"/>
        <v>185373.32191103604</v>
      </c>
    </row>
    <row r="107" spans="1:3" ht="15.6" x14ac:dyDescent="0.3">
      <c r="A107" s="95">
        <f t="shared" si="6"/>
        <v>55</v>
      </c>
      <c r="B107" s="112">
        <f t="shared" si="7"/>
        <v>202262.82386555412</v>
      </c>
      <c r="C107" s="100">
        <f t="shared" si="8"/>
        <v>197432.12252694712</v>
      </c>
    </row>
    <row r="108" spans="1:3" ht="15.6" x14ac:dyDescent="0.3">
      <c r="A108" s="95">
        <f t="shared" si="6"/>
        <v>56</v>
      </c>
      <c r="B108" s="112">
        <f t="shared" si="7"/>
        <v>214486.46782152326</v>
      </c>
      <c r="C108" s="100">
        <f t="shared" si="8"/>
        <v>210093.8631736536</v>
      </c>
    </row>
    <row r="109" spans="1:3" ht="15.6" x14ac:dyDescent="0.3">
      <c r="A109" s="95">
        <f t="shared" si="6"/>
        <v>57</v>
      </c>
      <c r="B109" s="112">
        <f t="shared" si="7"/>
        <v>227321.29397529073</v>
      </c>
      <c r="C109" s="100">
        <f t="shared" si="8"/>
        <v>223388.69085269546</v>
      </c>
    </row>
    <row r="110" spans="1:3" ht="15.6" x14ac:dyDescent="0.3">
      <c r="A110" s="95">
        <f t="shared" si="6"/>
        <v>58</v>
      </c>
      <c r="B110" s="112">
        <f t="shared" si="7"/>
        <v>240797.86143674669</v>
      </c>
      <c r="C110" s="100">
        <f t="shared" si="8"/>
        <v>237348.25991568938</v>
      </c>
    </row>
    <row r="111" spans="1:3" ht="15.6" x14ac:dyDescent="0.3">
      <c r="A111" s="95">
        <f t="shared" si="6"/>
        <v>59</v>
      </c>
      <c r="B111" s="112">
        <f t="shared" si="7"/>
        <v>254948.25727127536</v>
      </c>
      <c r="C111" s="100">
        <f t="shared" si="8"/>
        <v>252005.80743183306</v>
      </c>
    </row>
    <row r="112" spans="1:3" ht="15.6" x14ac:dyDescent="0.3">
      <c r="A112" s="95">
        <f t="shared" si="6"/>
        <v>60</v>
      </c>
      <c r="B112" s="112">
        <f t="shared" si="7"/>
        <v>269806.17289753055</v>
      </c>
      <c r="C112" s="100">
        <f t="shared" si="8"/>
        <v>267396.23232378386</v>
      </c>
    </row>
    <row r="113" spans="1:3" ht="15.6" x14ac:dyDescent="0.3">
      <c r="A113" s="95">
        <f t="shared" si="6"/>
        <v>61</v>
      </c>
      <c r="B113" s="112">
        <f t="shared" si="7"/>
        <v>285406.98430509842</v>
      </c>
      <c r="C113" s="100">
        <f t="shared" si="8"/>
        <v>283556.17846033227</v>
      </c>
    </row>
    <row r="114" spans="1:3" ht="15.6" x14ac:dyDescent="0.3">
      <c r="A114" s="95">
        <f t="shared" si="6"/>
        <v>62</v>
      </c>
      <c r="B114" s="112">
        <f t="shared" si="7"/>
        <v>301787.83628304471</v>
      </c>
      <c r="C114" s="100">
        <f t="shared" si="8"/>
        <v>300524.12190370797</v>
      </c>
    </row>
    <row r="115" spans="1:3" ht="15.6" x14ac:dyDescent="0.3">
      <c r="A115" s="95">
        <f t="shared" si="6"/>
        <v>63</v>
      </c>
      <c r="B115" s="112">
        <f t="shared" si="7"/>
        <v>318987.73085988831</v>
      </c>
      <c r="C115" s="100">
        <f t="shared" si="8"/>
        <v>318340.46251925261</v>
      </c>
    </row>
    <row r="116" spans="1:3" ht="15.6" x14ac:dyDescent="0.3">
      <c r="A116" s="95">
        <f t="shared" si="6"/>
        <v>64</v>
      </c>
      <c r="B116" s="112">
        <f t="shared" si="7"/>
        <v>337047.62016557419</v>
      </c>
      <c r="C116" s="100">
        <f t="shared" si="8"/>
        <v>337047.62016557436</v>
      </c>
    </row>
  </sheetData>
  <mergeCells count="9">
    <mergeCell ref="C39:D39"/>
    <mergeCell ref="E39:F39"/>
    <mergeCell ref="I39:J39"/>
    <mergeCell ref="K39:L39"/>
    <mergeCell ref="A4:B4"/>
    <mergeCell ref="C4:D4"/>
    <mergeCell ref="E4:F4"/>
    <mergeCell ref="I4:J4"/>
    <mergeCell ref="K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Seuils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Jean-François Robert</cp:lastModifiedBy>
  <cp:lastPrinted>2016-12-22T00:35:48Z</cp:lastPrinted>
  <dcterms:created xsi:type="dcterms:W3CDTF">2013-11-12T09:50:25Z</dcterms:created>
  <dcterms:modified xsi:type="dcterms:W3CDTF">2018-01-28T18:56:46Z</dcterms:modified>
</cp:coreProperties>
</file>