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\Documents\Finances d'OR\Site Web\Site Web\RVER\"/>
    </mc:Choice>
  </mc:AlternateContent>
  <xr:revisionPtr revIDLastSave="0" documentId="13_ncr:1_{F1997D19-0418-4C84-9993-877F09CDC2B9}" xr6:coauthVersionLast="40" xr6:coauthVersionMax="40" xr10:uidLastSave="{00000000-0000-0000-0000-000000000000}"/>
  <bookViews>
    <workbookView xWindow="0" yWindow="0" windowWidth="19200" windowHeight="9168" xr2:uid="{00000000-000D-0000-FFFF-FFFF00000000}"/>
  </bookViews>
  <sheets>
    <sheet name="Données" sheetId="1" r:id="rId1"/>
    <sheet name="Seu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L59" i="2" l="1"/>
  <c r="L60" i="2"/>
  <c r="L58" i="2"/>
  <c r="B10" i="1" l="1"/>
  <c r="B7" i="1" l="1"/>
  <c r="C7" i="1"/>
  <c r="G7" i="1" s="1"/>
  <c r="F6" i="1" l="1"/>
  <c r="G6" i="1" s="1"/>
  <c r="F7" i="1"/>
  <c r="N32" i="2"/>
  <c r="N31" i="2"/>
  <c r="D71" i="2" l="1"/>
  <c r="D70" i="2"/>
  <c r="D68" i="2"/>
  <c r="D67" i="2"/>
  <c r="D66" i="2"/>
  <c r="D65" i="2"/>
  <c r="D64" i="2"/>
  <c r="D72" i="2"/>
  <c r="C72" i="2"/>
  <c r="B72" i="2"/>
  <c r="C68" i="2"/>
  <c r="B68" i="2"/>
  <c r="K12" i="2"/>
  <c r="L69" i="2"/>
  <c r="L67" i="2"/>
  <c r="L66" i="2"/>
  <c r="L65" i="2"/>
  <c r="L64" i="2"/>
  <c r="L71" i="2"/>
  <c r="L70" i="2"/>
  <c r="K67" i="2"/>
  <c r="J67" i="2"/>
  <c r="K66" i="2"/>
  <c r="K71" i="2" s="1"/>
  <c r="J66" i="2"/>
  <c r="J71" i="2" s="1"/>
  <c r="C9" i="1"/>
  <c r="N33" i="2" l="1"/>
  <c r="E7" i="2" l="1"/>
  <c r="H89" i="2" l="1"/>
  <c r="B86" i="2"/>
  <c r="O31" i="2" l="1"/>
  <c r="G72" i="1" l="1"/>
  <c r="A89" i="2"/>
  <c r="A90" i="2" s="1"/>
  <c r="D6" i="1"/>
  <c r="A91" i="2" l="1"/>
  <c r="D62" i="1"/>
  <c r="D61" i="1"/>
  <c r="H94" i="2"/>
  <c r="A92" i="2" l="1"/>
  <c r="B15" i="1"/>
  <c r="D15" i="1" s="1"/>
  <c r="G6" i="2"/>
  <c r="D8" i="1"/>
  <c r="C14" i="1"/>
  <c r="D14" i="1"/>
  <c r="D9" i="1"/>
  <c r="C17" i="2" s="1"/>
  <c r="C16" i="2" s="1"/>
  <c r="D25" i="1"/>
  <c r="J14" i="2"/>
  <c r="B24" i="1"/>
  <c r="C23" i="1"/>
  <c r="B23" i="1"/>
  <c r="D23" i="1" s="1"/>
  <c r="C15" i="1"/>
  <c r="E15" i="1" s="1"/>
  <c r="D7" i="1"/>
  <c r="L8" i="1" s="1"/>
  <c r="A73" i="1"/>
  <c r="J44" i="2"/>
  <c r="I45" i="2" s="1"/>
  <c r="I44" i="2"/>
  <c r="J42" i="2"/>
  <c r="I43" i="2" s="1"/>
  <c r="I42" i="2"/>
  <c r="F47" i="2"/>
  <c r="C46" i="2"/>
  <c r="D46" i="2" s="1"/>
  <c r="C44" i="2"/>
  <c r="D44" i="2" s="1"/>
  <c r="C45" i="2" s="1"/>
  <c r="C42" i="2"/>
  <c r="D42" i="2" s="1"/>
  <c r="C43" i="2" s="1"/>
  <c r="N24" i="2"/>
  <c r="O24" i="2" s="1"/>
  <c r="D17" i="2"/>
  <c r="L9" i="2"/>
  <c r="I9" i="2"/>
  <c r="L8" i="2"/>
  <c r="I8" i="2"/>
  <c r="L7" i="2"/>
  <c r="I7" i="2"/>
  <c r="E9" i="2"/>
  <c r="D9" i="2"/>
  <c r="A9" i="2"/>
  <c r="E8" i="2"/>
  <c r="D8" i="2"/>
  <c r="A8" i="2"/>
  <c r="D7" i="2"/>
  <c r="A7" i="2"/>
  <c r="E6" i="2"/>
  <c r="B11" i="1" l="1"/>
  <c r="M8" i="1"/>
  <c r="P34" i="2"/>
  <c r="J50" i="2"/>
  <c r="J52" i="2" s="1"/>
  <c r="D50" i="2"/>
  <c r="D52" i="2" s="1"/>
  <c r="C47" i="2"/>
  <c r="A74" i="1"/>
  <c r="G73" i="1"/>
  <c r="P29" i="2"/>
  <c r="D32" i="2"/>
  <c r="D30" i="2"/>
  <c r="P28" i="2"/>
  <c r="D31" i="2"/>
  <c r="A93" i="2"/>
  <c r="C11" i="1"/>
  <c r="E17" i="1" s="1"/>
  <c r="E14" i="1"/>
  <c r="P25" i="2"/>
  <c r="K15" i="2"/>
  <c r="D10" i="1"/>
  <c r="D23" i="2"/>
  <c r="G25" i="2" s="1"/>
  <c r="J15" i="2"/>
  <c r="F9" i="2"/>
  <c r="P31" i="2"/>
  <c r="P24" i="2"/>
  <c r="P30" i="2"/>
  <c r="P26" i="2"/>
  <c r="P27" i="2"/>
  <c r="E23" i="1"/>
  <c r="O32" i="2"/>
  <c r="F7" i="2"/>
  <c r="F8" i="2"/>
  <c r="D57" i="1" l="1"/>
  <c r="J10" i="1" s="1"/>
  <c r="I16" i="2"/>
  <c r="O33" i="2"/>
  <c r="P33" i="2" s="1"/>
  <c r="J17" i="2"/>
  <c r="L15" i="2"/>
  <c r="A75" i="1"/>
  <c r="G74" i="1"/>
  <c r="A94" i="2"/>
  <c r="D17" i="1"/>
  <c r="D11" i="1"/>
  <c r="E16" i="1" s="1"/>
  <c r="B16" i="1"/>
  <c r="B18" i="1" s="1"/>
  <c r="H28" i="2"/>
  <c r="C16" i="1"/>
  <c r="P32" i="2"/>
  <c r="B57" i="1" l="1"/>
  <c r="A76" i="1"/>
  <c r="G75" i="1"/>
  <c r="B40" i="1"/>
  <c r="A95" i="2"/>
  <c r="C18" i="1"/>
  <c r="D16" i="1"/>
  <c r="D18" i="1" s="1"/>
  <c r="D46" i="1"/>
  <c r="D53" i="1" s="1"/>
  <c r="D68" i="1"/>
  <c r="E18" i="1"/>
  <c r="A77" i="1" l="1"/>
  <c r="G76" i="1"/>
  <c r="C19" i="1"/>
  <c r="J56" i="2" s="1"/>
  <c r="K31" i="2"/>
  <c r="K37" i="2" s="1"/>
  <c r="A96" i="2"/>
  <c r="D40" i="1"/>
  <c r="E40" i="1" s="1"/>
  <c r="F40" i="1" s="1"/>
  <c r="E19" i="1"/>
  <c r="D73" i="1"/>
  <c r="D76" i="1"/>
  <c r="D74" i="1"/>
  <c r="D100" i="1"/>
  <c r="D99" i="1"/>
  <c r="D84" i="1"/>
  <c r="D91" i="1"/>
  <c r="D92" i="1"/>
  <c r="D87" i="1"/>
  <c r="D72" i="1"/>
  <c r="D88" i="1"/>
  <c r="D77" i="1"/>
  <c r="D85" i="1"/>
  <c r="D93" i="1"/>
  <c r="D101" i="1"/>
  <c r="D78" i="1"/>
  <c r="D86" i="1"/>
  <c r="D94" i="1"/>
  <c r="D83" i="1"/>
  <c r="D75" i="1"/>
  <c r="D79" i="1"/>
  <c r="D95" i="1"/>
  <c r="D80" i="1"/>
  <c r="D96" i="1"/>
  <c r="D81" i="1"/>
  <c r="D89" i="1"/>
  <c r="D97" i="1"/>
  <c r="D82" i="1"/>
  <c r="D90" i="1"/>
  <c r="D98" i="1"/>
  <c r="K56" i="2" l="1"/>
  <c r="D50" i="1" s="1"/>
  <c r="C29" i="1"/>
  <c r="B50" i="1"/>
  <c r="K55" i="2"/>
  <c r="D42" i="1" s="1"/>
  <c r="L30" i="2"/>
  <c r="L31" i="2" s="1"/>
  <c r="D55" i="2"/>
  <c r="B41" i="1" s="1"/>
  <c r="K27" i="2"/>
  <c r="K28" i="2" s="1"/>
  <c r="E24" i="1"/>
  <c r="J55" i="2"/>
  <c r="B42" i="1" s="1"/>
  <c r="B29" i="1"/>
  <c r="K16" i="2"/>
  <c r="D25" i="2"/>
  <c r="D24" i="2" s="1"/>
  <c r="B26" i="1" s="1"/>
  <c r="B27" i="1" s="1"/>
  <c r="B30" i="1" s="1"/>
  <c r="G77" i="1"/>
  <c r="A78" i="1"/>
  <c r="E25" i="2"/>
  <c r="E24" i="2" s="1"/>
  <c r="D26" i="1" s="1"/>
  <c r="A97" i="2"/>
  <c r="L27" i="2"/>
  <c r="L28" i="2" s="1"/>
  <c r="E55" i="2"/>
  <c r="D41" i="1" s="1"/>
  <c r="K30" i="2"/>
  <c r="K36" i="2" s="1"/>
  <c r="K38" i="2" s="1"/>
  <c r="C32" i="1" s="1"/>
  <c r="D37" i="2"/>
  <c r="D24" i="1" l="1"/>
  <c r="K17" i="2"/>
  <c r="K18" i="2" s="1"/>
  <c r="C24" i="1" s="1"/>
  <c r="E29" i="1"/>
  <c r="D29" i="1"/>
  <c r="E42" i="1"/>
  <c r="F42" i="1" s="1"/>
  <c r="E41" i="1"/>
  <c r="F41" i="1" s="1"/>
  <c r="L23" i="2"/>
  <c r="L24" i="2" s="1"/>
  <c r="E26" i="1" s="1"/>
  <c r="E27" i="1" s="1"/>
  <c r="C33" i="1"/>
  <c r="G78" i="1"/>
  <c r="A79" i="1"/>
  <c r="D27" i="1"/>
  <c r="D30" i="1" s="1"/>
  <c r="B31" i="1"/>
  <c r="B35" i="1" s="1"/>
  <c r="K33" i="2"/>
  <c r="A98" i="2"/>
  <c r="L37" i="2"/>
  <c r="D36" i="2"/>
  <c r="D38" i="2" s="1"/>
  <c r="C34" i="1" s="1"/>
  <c r="E30" i="1" l="1"/>
  <c r="D31" i="1"/>
  <c r="D35" i="1" s="1"/>
  <c r="E33" i="1"/>
  <c r="F10" i="1"/>
  <c r="K23" i="2"/>
  <c r="K24" i="2" s="1"/>
  <c r="K25" i="2" s="1"/>
  <c r="A80" i="1"/>
  <c r="G79" i="1"/>
  <c r="A99" i="2"/>
  <c r="E37" i="2"/>
  <c r="E36" i="2"/>
  <c r="K32" i="2" l="1"/>
  <c r="C26" i="1"/>
  <c r="C30" i="1" s="1"/>
  <c r="A81" i="1"/>
  <c r="G80" i="1"/>
  <c r="A100" i="2"/>
  <c r="L36" i="2"/>
  <c r="L38" i="2" s="1"/>
  <c r="E32" i="1" s="1"/>
  <c r="E38" i="2"/>
  <c r="E34" i="1" s="1"/>
  <c r="L33" i="2"/>
  <c r="C27" i="1" l="1"/>
  <c r="G81" i="1"/>
  <c r="A82" i="1"/>
  <c r="A101" i="2"/>
  <c r="E35" i="1"/>
  <c r="C35" i="1" l="1"/>
  <c r="B39" i="1" s="1"/>
  <c r="B43" i="1" s="1"/>
  <c r="B49" i="1" s="1"/>
  <c r="B51" i="1" s="1"/>
  <c r="G82" i="1"/>
  <c r="A83" i="1"/>
  <c r="A102" i="2"/>
  <c r="D43" i="1"/>
  <c r="D49" i="1" s="1"/>
  <c r="D51" i="1" s="1"/>
  <c r="B53" i="1" s="1"/>
  <c r="C53" i="1" s="1"/>
  <c r="J12" i="1" s="1"/>
  <c r="K10" i="1" s="1"/>
  <c r="E43" i="1" l="1"/>
  <c r="E36" i="1"/>
  <c r="F36" i="1" s="1"/>
  <c r="F43" i="1" s="1"/>
  <c r="A84" i="1"/>
  <c r="G83" i="1"/>
  <c r="A103" i="2"/>
  <c r="B45" i="1"/>
  <c r="B46" i="1" s="1"/>
  <c r="I87" i="2" s="1"/>
  <c r="E39" i="1"/>
  <c r="B68" i="1" l="1"/>
  <c r="B93" i="1" s="1"/>
  <c r="I88" i="2"/>
  <c r="B60" i="1" s="1"/>
  <c r="B58" i="1" s="1"/>
  <c r="I90" i="2"/>
  <c r="C46" i="1"/>
  <c r="J11" i="1" s="1"/>
  <c r="A85" i="1"/>
  <c r="G84" i="1"/>
  <c r="A104" i="2"/>
  <c r="H88" i="2" l="1"/>
  <c r="B81" i="2" s="1"/>
  <c r="G85" i="1"/>
  <c r="A86" i="1"/>
  <c r="A105" i="2"/>
  <c r="B77" i="1"/>
  <c r="B75" i="1"/>
  <c r="B81" i="1"/>
  <c r="B101" i="1"/>
  <c r="B84" i="1"/>
  <c r="B73" i="1"/>
  <c r="B94" i="1"/>
  <c r="B80" i="1"/>
  <c r="B100" i="1"/>
  <c r="B86" i="1"/>
  <c r="B85" i="1"/>
  <c r="B97" i="1"/>
  <c r="B91" i="1"/>
  <c r="B83" i="1"/>
  <c r="B98" i="1"/>
  <c r="B87" i="1"/>
  <c r="B89" i="1"/>
  <c r="B99" i="1"/>
  <c r="B96" i="1"/>
  <c r="B72" i="1"/>
  <c r="B88" i="1"/>
  <c r="B82" i="1"/>
  <c r="B95" i="1"/>
  <c r="B92" i="1"/>
  <c r="B74" i="1"/>
  <c r="B76" i="1"/>
  <c r="B79" i="1"/>
  <c r="B78" i="1"/>
  <c r="B90" i="1"/>
  <c r="D60" i="1"/>
  <c r="D58" i="1" s="1"/>
  <c r="B63" i="1"/>
  <c r="H90" i="2" l="1"/>
  <c r="H95" i="2" s="1"/>
  <c r="G86" i="1"/>
  <c r="A87" i="1"/>
  <c r="A106" i="2"/>
  <c r="F81" i="2"/>
  <c r="F82" i="2" s="1"/>
  <c r="B82" i="2"/>
  <c r="B105" i="2" s="1"/>
  <c r="D81" i="2"/>
  <c r="D82" i="2" s="1"/>
  <c r="E81" i="2"/>
  <c r="E82" i="2" s="1"/>
  <c r="H81" i="2"/>
  <c r="H82" i="2" s="1"/>
  <c r="G81" i="2"/>
  <c r="G82" i="2" s="1"/>
  <c r="C81" i="2"/>
  <c r="C82" i="2" s="1"/>
  <c r="B66" i="1"/>
  <c r="C71" i="1"/>
  <c r="H71" i="1" s="1"/>
  <c r="D59" i="1"/>
  <c r="D63" i="1"/>
  <c r="H93" i="2" l="1"/>
  <c r="G87" i="1"/>
  <c r="A88" i="1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B89" i="2"/>
  <c r="B88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A107" i="2"/>
  <c r="B106" i="2"/>
  <c r="C111" i="2"/>
  <c r="C110" i="2"/>
  <c r="F83" i="2"/>
  <c r="F84" i="2"/>
  <c r="C83" i="2"/>
  <c r="C84" i="2"/>
  <c r="H83" i="2"/>
  <c r="H84" i="2"/>
  <c r="D83" i="2"/>
  <c r="D84" i="2"/>
  <c r="G83" i="2"/>
  <c r="G84" i="2"/>
  <c r="E83" i="2"/>
  <c r="E84" i="2"/>
  <c r="B84" i="2"/>
  <c r="D66" i="1"/>
  <c r="E71" i="1"/>
  <c r="I71" i="1" s="1"/>
  <c r="B69" i="1"/>
  <c r="C69" i="1" s="1"/>
  <c r="C72" i="1"/>
  <c r="D67" i="1"/>
  <c r="E72" i="1" l="1"/>
  <c r="E73" i="1" s="1"/>
  <c r="A89" i="1"/>
  <c r="G88" i="1"/>
  <c r="C73" i="1"/>
  <c r="H72" i="1"/>
  <c r="C112" i="2"/>
  <c r="A108" i="2"/>
  <c r="B107" i="2"/>
  <c r="D69" i="1"/>
  <c r="E69" i="1" s="1"/>
  <c r="I72" i="1" l="1"/>
  <c r="A90" i="1"/>
  <c r="G89" i="1"/>
  <c r="C74" i="1"/>
  <c r="H73" i="1"/>
  <c r="E74" i="1"/>
  <c r="I73" i="1"/>
  <c r="A109" i="2"/>
  <c r="B108" i="2"/>
  <c r="C113" i="2"/>
  <c r="G90" i="1" l="1"/>
  <c r="A91" i="1"/>
  <c r="E75" i="1"/>
  <c r="I74" i="1"/>
  <c r="C75" i="1"/>
  <c r="H74" i="1"/>
  <c r="C114" i="2"/>
  <c r="A110" i="2"/>
  <c r="B109" i="2"/>
  <c r="G91" i="1" l="1"/>
  <c r="A92" i="1"/>
  <c r="C76" i="1"/>
  <c r="H75" i="1"/>
  <c r="E76" i="1"/>
  <c r="I75" i="1"/>
  <c r="A111" i="2"/>
  <c r="B110" i="2"/>
  <c r="C115" i="2"/>
  <c r="A93" i="1" l="1"/>
  <c r="G92" i="1"/>
  <c r="E77" i="1"/>
  <c r="I76" i="1"/>
  <c r="C77" i="1"/>
  <c r="H76" i="1"/>
  <c r="C116" i="2"/>
  <c r="A112" i="2"/>
  <c r="B111" i="2"/>
  <c r="G93" i="1" l="1"/>
  <c r="A94" i="1"/>
  <c r="C78" i="1"/>
  <c r="H77" i="1"/>
  <c r="E78" i="1"/>
  <c r="I77" i="1"/>
  <c r="A113" i="2"/>
  <c r="B112" i="2"/>
  <c r="C117" i="2"/>
  <c r="A95" i="1" l="1"/>
  <c r="G94" i="1"/>
  <c r="E79" i="1"/>
  <c r="I78" i="1"/>
  <c r="C79" i="1"/>
  <c r="H78" i="1"/>
  <c r="C118" i="2"/>
  <c r="A114" i="2"/>
  <c r="B113" i="2"/>
  <c r="A96" i="1" l="1"/>
  <c r="G95" i="1"/>
  <c r="C80" i="1"/>
  <c r="H79" i="1"/>
  <c r="E80" i="1"/>
  <c r="I79" i="1"/>
  <c r="A115" i="2"/>
  <c r="B114" i="2"/>
  <c r="C119" i="2"/>
  <c r="A97" i="1" l="1"/>
  <c r="G96" i="1"/>
  <c r="E81" i="1"/>
  <c r="I80" i="1"/>
  <c r="C81" i="1"/>
  <c r="H80" i="1"/>
  <c r="C120" i="2"/>
  <c r="A116" i="2"/>
  <c r="B115" i="2"/>
  <c r="G97" i="1" l="1"/>
  <c r="A98" i="1"/>
  <c r="C82" i="1"/>
  <c r="H81" i="1"/>
  <c r="E82" i="1"/>
  <c r="I81" i="1"/>
  <c r="A117" i="2"/>
  <c r="B116" i="2"/>
  <c r="C121" i="2"/>
  <c r="A99" i="1" l="1"/>
  <c r="G98" i="1"/>
  <c r="E83" i="1"/>
  <c r="I82" i="1"/>
  <c r="C83" i="1"/>
  <c r="H82" i="1"/>
  <c r="C122" i="2"/>
  <c r="A118" i="2"/>
  <c r="B117" i="2"/>
  <c r="A100" i="1" l="1"/>
  <c r="G99" i="1"/>
  <c r="C84" i="1"/>
  <c r="H83" i="1"/>
  <c r="E84" i="1"/>
  <c r="I83" i="1"/>
  <c r="A119" i="2"/>
  <c r="B118" i="2"/>
  <c r="C123" i="2"/>
  <c r="G100" i="1" l="1"/>
  <c r="A101" i="1"/>
  <c r="G101" i="1" s="1"/>
  <c r="E85" i="1"/>
  <c r="I84" i="1"/>
  <c r="C85" i="1"/>
  <c r="H84" i="1"/>
  <c r="C124" i="2"/>
  <c r="A120" i="2"/>
  <c r="B119" i="2"/>
  <c r="C86" i="1" l="1"/>
  <c r="H85" i="1"/>
  <c r="E86" i="1"/>
  <c r="I85" i="1"/>
  <c r="A121" i="2"/>
  <c r="B120" i="2"/>
  <c r="C125" i="2"/>
  <c r="E87" i="1" l="1"/>
  <c r="I86" i="1"/>
  <c r="C87" i="1"/>
  <c r="H86" i="1"/>
  <c r="C126" i="2"/>
  <c r="A122" i="2"/>
  <c r="B121" i="2"/>
  <c r="C88" i="1" l="1"/>
  <c r="H87" i="1"/>
  <c r="E88" i="1"/>
  <c r="I87" i="1"/>
  <c r="A123" i="2"/>
  <c r="B122" i="2"/>
  <c r="C127" i="2"/>
  <c r="E89" i="1" l="1"/>
  <c r="I88" i="1"/>
  <c r="C89" i="1"/>
  <c r="H88" i="1"/>
  <c r="C128" i="2"/>
  <c r="A124" i="2"/>
  <c r="B123" i="2"/>
  <c r="C90" i="1" l="1"/>
  <c r="H89" i="1"/>
  <c r="E90" i="1"/>
  <c r="I89" i="1"/>
  <c r="A125" i="2"/>
  <c r="B124" i="2"/>
  <c r="C129" i="2"/>
  <c r="E91" i="1" l="1"/>
  <c r="I90" i="1"/>
  <c r="C91" i="1"/>
  <c r="H90" i="1"/>
  <c r="C130" i="2"/>
  <c r="A126" i="2"/>
  <c r="B125" i="2"/>
  <c r="C92" i="1" l="1"/>
  <c r="H91" i="1"/>
  <c r="E92" i="1"/>
  <c r="I91" i="1"/>
  <c r="A127" i="2"/>
  <c r="B126" i="2"/>
  <c r="C131" i="2"/>
  <c r="E93" i="1" l="1"/>
  <c r="I92" i="1"/>
  <c r="C93" i="1"/>
  <c r="H92" i="1"/>
  <c r="C132" i="2"/>
  <c r="A128" i="2"/>
  <c r="B127" i="2"/>
  <c r="C94" i="1" l="1"/>
  <c r="H93" i="1"/>
  <c r="E94" i="1"/>
  <c r="I93" i="1"/>
  <c r="A129" i="2"/>
  <c r="B128" i="2"/>
  <c r="E95" i="1" l="1"/>
  <c r="I94" i="1"/>
  <c r="C95" i="1"/>
  <c r="H94" i="1"/>
  <c r="A130" i="2"/>
  <c r="B129" i="2"/>
  <c r="C96" i="1" l="1"/>
  <c r="H95" i="1"/>
  <c r="E96" i="1"/>
  <c r="I95" i="1"/>
  <c r="A131" i="2"/>
  <c r="B130" i="2"/>
  <c r="E97" i="1" l="1"/>
  <c r="I96" i="1"/>
  <c r="C97" i="1"/>
  <c r="H96" i="1"/>
  <c r="A132" i="2"/>
  <c r="B132" i="2" s="1"/>
  <c r="B131" i="2"/>
  <c r="C98" i="1" l="1"/>
  <c r="H97" i="1"/>
  <c r="E98" i="1"/>
  <c r="I97" i="1"/>
  <c r="E99" i="1" l="1"/>
  <c r="I98" i="1"/>
  <c r="C99" i="1"/>
  <c r="H98" i="1"/>
  <c r="B70" i="1" l="1"/>
  <c r="H99" i="1"/>
  <c r="C100" i="1"/>
  <c r="D70" i="1"/>
  <c r="I99" i="1"/>
  <c r="E100" i="1"/>
  <c r="C101" i="1" l="1"/>
  <c r="H101" i="1" s="1"/>
  <c r="H100" i="1"/>
  <c r="E101" i="1"/>
  <c r="I101" i="1" s="1"/>
  <c r="I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  <author>Jean-François Robert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 vous vivez seul inscrire 1; si vous vivez en couple inscrire 2</t>
        </r>
      </text>
    </comment>
    <comment ref="B6" authorId="1" shapeId="0" xr:uid="{F08E63DE-E076-4DFA-91F7-EF955707841F}">
      <text>
        <r>
          <rPr>
            <sz val="9"/>
            <color indexed="81"/>
            <rFont val="Tahoma"/>
            <family val="2"/>
          </rPr>
          <t xml:space="preserve">Vous êtes </t>
        </r>
        <r>
          <rPr>
            <b/>
            <sz val="9"/>
            <color indexed="81"/>
            <rFont val="Tahoma"/>
            <family val="2"/>
          </rPr>
          <t>salarié,</t>
        </r>
        <r>
          <rPr>
            <sz val="9"/>
            <color indexed="81"/>
            <rFont val="Tahoma"/>
            <family val="2"/>
          </rPr>
          <t xml:space="preserve"> inscrire votre revenu actuel
Vous êtes déjà </t>
        </r>
        <r>
          <rPr>
            <b/>
            <sz val="9"/>
            <color indexed="81"/>
            <rFont val="Tahoma"/>
            <family val="2"/>
          </rPr>
          <t>retraité</t>
        </r>
        <r>
          <rPr>
            <sz val="9"/>
            <color indexed="81"/>
            <rFont val="Tahoma"/>
            <family val="2"/>
          </rPr>
          <t xml:space="preserve">, inscrire les revenus que vous aviez juste avant la retraite.
Faites de même pour le conjoint s'il y a lieu.
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Inscrivez le montant réel de votre rente annuelle au RRQ si disponible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Inscrivez le montant réel de la rente annuelle de votre conjoint au RRQ si disponible</t>
        </r>
      </text>
    </comment>
    <comment ref="B8" authorId="1" shapeId="0" xr:uid="{C8275DD7-F5B1-40F0-9776-787CB224A732}">
      <text>
        <r>
          <rPr>
            <b/>
            <sz val="9"/>
            <color indexed="81"/>
            <rFont val="Tahoma"/>
            <family val="2"/>
          </rPr>
          <t>Inscrire le montant actuel de vos frais médicaux, excluant le coût de votre régime d'assurance</t>
        </r>
      </text>
    </comment>
    <comment ref="B9" authorId="1" shapeId="0" xr:uid="{8B8DD7C1-29ED-4AD6-9152-CCF1BF3D61C5}">
      <text>
        <r>
          <rPr>
            <b/>
            <sz val="9"/>
            <color indexed="81"/>
            <rFont val="Tahoma"/>
            <family val="2"/>
          </rPr>
          <t>Presque tous les travailleurs devront, à partir de 65 ans, payer la cotisation à la RAMQ !</t>
        </r>
      </text>
    </comment>
    <comment ref="E10" authorId="1" shapeId="0" xr:uid="{51871BC7-6F66-4567-8F1C-D3EE3BB882B0}">
      <text>
        <r>
          <rPr>
            <b/>
            <sz val="9"/>
            <color indexed="81"/>
            <rFont val="Tahoma"/>
            <family val="2"/>
          </rPr>
          <t>Généralement, il est question d'un taux de remplacement du revenu préretraite de 60%, 70% ou 80%. 
Ici, je vous suggère de comparer le taux que vous visiez avec ce taux OPTIMAL situé juste à côté (F10)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1" shapeId="0" xr:uid="{6385BBEC-62F7-48DD-9922-AAD7F6699391}">
      <text>
        <r>
          <rPr>
            <b/>
            <sz val="9"/>
            <color indexed="81"/>
            <rFont val="Tahoma"/>
            <family val="2"/>
          </rPr>
          <t xml:space="preserve">Normalement, ce calcul se fait automatiquement, en fonction tu taux visé (E10), par contre si vous désirez voir l'incidence de votre retrait FERR, vous pouvez l'inscrire ici. </t>
        </r>
      </text>
    </comment>
  </commentList>
</comments>
</file>

<file path=xl/sharedStrings.xml><?xml version="1.0" encoding="utf-8"?>
<sst xmlns="http://schemas.openxmlformats.org/spreadsheetml/2006/main" count="216" uniqueCount="156">
  <si>
    <t>Table d'impôt des particuliers (Canada)</t>
  </si>
  <si>
    <t>Revenu imposable</t>
  </si>
  <si>
    <t>Taux d'imposition</t>
  </si>
  <si>
    <t>Après abattement</t>
  </si>
  <si>
    <t>De</t>
  </si>
  <si>
    <t xml:space="preserve">à </t>
  </si>
  <si>
    <t>Pourcentage</t>
  </si>
  <si>
    <t>Montant</t>
  </si>
  <si>
    <t>Table d'impôt des particuliers (Québec)</t>
  </si>
  <si>
    <t>Pourcent</t>
  </si>
  <si>
    <t>Crédits en raison de l'âge</t>
  </si>
  <si>
    <t>Seui de réduction</t>
  </si>
  <si>
    <t>Seuil limite</t>
  </si>
  <si>
    <t>Montants maximal</t>
  </si>
  <si>
    <t>Montant pour revenu retraite</t>
  </si>
  <si>
    <t>Montant pour personne vivant seule</t>
  </si>
  <si>
    <t>Montant en raison de l'âge</t>
  </si>
  <si>
    <t>Crédits de base</t>
  </si>
  <si>
    <t>Crédits frais médicaux</t>
  </si>
  <si>
    <t>Revenu 2</t>
  </si>
  <si>
    <t>Frais médicaux</t>
  </si>
  <si>
    <t>RAMQ</t>
  </si>
  <si>
    <t>Pers. Seule</t>
  </si>
  <si>
    <t>Couple</t>
  </si>
  <si>
    <t>Coûts max</t>
  </si>
  <si>
    <t>Déduction de base</t>
  </si>
  <si>
    <t xml:space="preserve">Déduction suppl. si 1 enfant </t>
  </si>
  <si>
    <t xml:space="preserve">Déduction suppl. si 2 enfants et + </t>
  </si>
  <si>
    <t>Taux pour particulier si revenu &lt; 5000</t>
  </si>
  <si>
    <t>Taux pour particulier si revenu &gt; 5000</t>
  </si>
  <si>
    <t>Montant de base si revenu &gt; 5000</t>
  </si>
  <si>
    <t>Montant de la cotisation 6 premiers mois</t>
  </si>
  <si>
    <t>Montant de la cotisation 6 derniers mois</t>
  </si>
  <si>
    <t>Cotisation maximale</t>
  </si>
  <si>
    <t>SRG</t>
  </si>
  <si>
    <t>Montant max</t>
  </si>
  <si>
    <t>Seuil  max</t>
  </si>
  <si>
    <t>Contribution santé</t>
  </si>
  <si>
    <t>Revenu excédentaire</t>
  </si>
  <si>
    <t>FSS</t>
  </si>
  <si>
    <t>TPS</t>
  </si>
  <si>
    <t>Crédit solidarité</t>
  </si>
  <si>
    <t>Seuil réduction</t>
  </si>
  <si>
    <t xml:space="preserve">PSV </t>
  </si>
  <si>
    <t>Revenu total</t>
  </si>
  <si>
    <t>Conj #1</t>
  </si>
  <si>
    <t>Conj #2</t>
  </si>
  <si>
    <t>CELI seulement</t>
  </si>
  <si>
    <t>REER</t>
  </si>
  <si>
    <t>PSV</t>
  </si>
  <si>
    <t>RRQ</t>
  </si>
  <si>
    <t>FERR</t>
  </si>
  <si>
    <t>CELI uniquement</t>
  </si>
  <si>
    <t>REER uniquement</t>
  </si>
  <si>
    <t>Fédéral</t>
  </si>
  <si>
    <t>Provincial</t>
  </si>
  <si>
    <t>Total des crédits</t>
  </si>
  <si>
    <t>Impôt sur le revenu</t>
  </si>
  <si>
    <t>Crédits d'impôts</t>
  </si>
  <si>
    <t xml:space="preserve">Abat du Québec </t>
  </si>
  <si>
    <t>Contribution Santé</t>
  </si>
  <si>
    <t>Solde à payer</t>
  </si>
  <si>
    <t>Impôt supplémentaire à payer</t>
  </si>
  <si>
    <t>Revenus disponible</t>
  </si>
  <si>
    <t>Revenus imposable - impôt</t>
  </si>
  <si>
    <t>Revenu disponible total</t>
  </si>
  <si>
    <t>Revenu désiré</t>
  </si>
  <si>
    <t>TEMI correspondant</t>
  </si>
  <si>
    <t>Hypothèses :</t>
  </si>
  <si>
    <t>CELI</t>
  </si>
  <si>
    <t xml:space="preserve">   Montant à investir brut</t>
  </si>
  <si>
    <t xml:space="preserve">   Montant à investir net</t>
  </si>
  <si>
    <t xml:space="preserve">   Valeur à la retraite</t>
  </si>
  <si>
    <t xml:space="preserve">Valeur accumulée </t>
  </si>
  <si>
    <t>Nbre années de décaissement</t>
  </si>
  <si>
    <t>Retrait non indexé</t>
  </si>
  <si>
    <t>Solde / (déficit) à 92 ans</t>
  </si>
  <si>
    <t>Année</t>
  </si>
  <si>
    <t>Vivez-vous seul (1) ou en couple (2)</t>
  </si>
  <si>
    <t>Conjoint #1</t>
  </si>
  <si>
    <t>conjoint #2</t>
  </si>
  <si>
    <t>Total</t>
  </si>
  <si>
    <t>Frais médicaux (autres que RAMQ)</t>
  </si>
  <si>
    <t>Crédits #1</t>
  </si>
  <si>
    <t>Revenus 1</t>
  </si>
  <si>
    <t>Revenus 2</t>
  </si>
  <si>
    <t>CELi</t>
  </si>
  <si>
    <t>VS RRQ</t>
  </si>
  <si>
    <t xml:space="preserve">Revenus imposables </t>
  </si>
  <si>
    <t>Revenus imposables du ménage</t>
  </si>
  <si>
    <t>Revenus avant la retraite</t>
  </si>
  <si>
    <t>Crédits d'impôt personnel</t>
  </si>
  <si>
    <t>Montant en raison âge conj 1&amp;2</t>
  </si>
  <si>
    <t>Déduction revenu Pension conj 1&amp;2</t>
  </si>
  <si>
    <t>Déclarations de revenus</t>
  </si>
  <si>
    <t xml:space="preserve">Revenus bruts de retraite désirés </t>
  </si>
  <si>
    <t>SRG à recevoir</t>
  </si>
  <si>
    <t xml:space="preserve">   Économie d'impôt réelle</t>
  </si>
  <si>
    <t>Écart</t>
  </si>
  <si>
    <t xml:space="preserve">   Nombre d'années d'investissement</t>
  </si>
  <si>
    <t xml:space="preserve">   Rendement (phase accumulation)</t>
  </si>
  <si>
    <t>Rendement (phase décaissement)</t>
  </si>
  <si>
    <t>Retrait du CELI pour revenus égaux</t>
  </si>
  <si>
    <t xml:space="preserve">   Taux d'économies REER</t>
  </si>
  <si>
    <t>Comparaison de l’investissement nécessaire pour atteindre le même capital de retraite à l’âge de 65 ans</t>
  </si>
  <si>
    <t>Âge du début</t>
  </si>
  <si>
    <t>Valeur finale</t>
  </si>
  <si>
    <t>Cotisation annuelle</t>
  </si>
  <si>
    <t>Effort supplémentaire</t>
  </si>
  <si>
    <t>Investissement total</t>
  </si>
  <si>
    <t>Taux de rendement</t>
  </si>
  <si>
    <t>Montant à accumuler</t>
  </si>
  <si>
    <t>Taux de décaissement</t>
  </si>
  <si>
    <t>Taux d'inflation</t>
  </si>
  <si>
    <t>Nbre années retraite</t>
  </si>
  <si>
    <t>Rendement net d'inflation</t>
  </si>
  <si>
    <t>jusqu'à</t>
  </si>
  <si>
    <t>Rentes du RRQ estimées ou réelles</t>
  </si>
  <si>
    <t>Répartition revenus entre conjoints</t>
  </si>
  <si>
    <t>Conjoint #2</t>
  </si>
  <si>
    <t>Fractionnement REER</t>
  </si>
  <si>
    <t>Fractionne</t>
  </si>
  <si>
    <t>Taux remplacement du revenu</t>
  </si>
  <si>
    <t>TEMI actuel</t>
  </si>
  <si>
    <t>Visé</t>
  </si>
  <si>
    <t>optimal</t>
  </si>
  <si>
    <t>Revenus imposables à privilégier &gt; 65 ans :</t>
  </si>
  <si>
    <t xml:space="preserve">Prime au travail (Québec) </t>
  </si>
  <si>
    <t>Seule</t>
  </si>
  <si>
    <t>Revenus de travail exclus</t>
  </si>
  <si>
    <t>Taux du crédit d'impôt</t>
  </si>
  <si>
    <t>Prime maximale</t>
  </si>
  <si>
    <t>Prime maximale selon revenu</t>
  </si>
  <si>
    <t>Réduction</t>
  </si>
  <si>
    <t xml:space="preserve">     Seuil de réduction</t>
  </si>
  <si>
    <t xml:space="preserve">     Taux de réduction</t>
  </si>
  <si>
    <t>Seuil de sortie 2018</t>
  </si>
  <si>
    <t xml:space="preserve">Taux de base </t>
  </si>
  <si>
    <t>Seuil pour prime maximale</t>
  </si>
  <si>
    <t>Seuil de sortie</t>
  </si>
  <si>
    <t>PFRT</t>
  </si>
  <si>
    <t xml:space="preserve">Seuil limite RAMQ </t>
  </si>
  <si>
    <t>Cotisation(s) à la RAMQ en 2017</t>
  </si>
  <si>
    <t>Retraits FERR en 2018</t>
  </si>
  <si>
    <t>Revenus de retraite 2018</t>
  </si>
  <si>
    <t>TPS (juil 2019 à juin 2020)</t>
  </si>
  <si>
    <t>Crédit solidarité (juil 2019 à juin 2020)</t>
  </si>
  <si>
    <t>Crédit Legault</t>
  </si>
  <si>
    <t>Crédit max</t>
  </si>
  <si>
    <t>TEMI à partir de 70 ans</t>
  </si>
  <si>
    <t>TEMI de 65 à 69 ans</t>
  </si>
  <si>
    <t>Revenus disponible après 70 ans</t>
  </si>
  <si>
    <t>Crédit remboursable Legault</t>
  </si>
  <si>
    <t>Nouveau TEMI (à partir de 70 ans)</t>
  </si>
  <si>
    <t>Revenu disponible total vs réalité 65 ans</t>
  </si>
  <si>
    <t>RVER ou CELI  (selon la réalité fiscale de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</si>
</sst>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$&quot;_);[Red]\(#,##0\ &quot;$&quot;\)"/>
    <numFmt numFmtId="8" formatCode="#,##0.00\ &quot;$&quot;_);[Red]\(#,##0.00\ &quot;$&quot;\)"/>
    <numFmt numFmtId="164" formatCode="[$$-1009]#,##0.00"/>
    <numFmt numFmtId="165" formatCode="0.0%"/>
    <numFmt numFmtId="166" formatCode="[$$-1009]#,##0"/>
    <numFmt numFmtId="167" formatCode="0.0"/>
    <numFmt numFmtId="168" formatCode="#,##0\ &quot;$&quot;"/>
    <numFmt numFmtId="169" formatCode="#,##0\ &quot;$&quot;_-"/>
    <numFmt numFmtId="170" formatCode="#,##0_);[Red]\(#,##0\)"/>
    <numFmt numFmtId="171" formatCode="#,##0.00\ &quot;$&quot;_-"/>
    <numFmt numFmtId="172" formatCode="#,##0.00\ &quot;$&quot;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Helvetic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Helvetica"/>
      <family val="2"/>
    </font>
    <font>
      <sz val="11"/>
      <name val="Helvetica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6"/>
      <color rgb="FF4E3B30"/>
      <name val="Franklin Gothic Medium"/>
      <family val="2"/>
    </font>
    <font>
      <sz val="12"/>
      <color rgb="FF000000"/>
      <name val="Arial"/>
      <family val="2"/>
    </font>
    <font>
      <sz val="12"/>
      <color rgb="FF4E3B3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auto="1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Border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2" borderId="0" xfId="0" applyNumberFormat="1" applyFont="1" applyFill="1" applyAlignment="1"/>
    <xf numFmtId="1" fontId="3" fillId="3" borderId="0" xfId="0" applyNumberFormat="1" applyFont="1" applyFill="1" applyAlignment="1"/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/>
    <xf numFmtId="0" fontId="4" fillId="0" borderId="10" xfId="0" applyFont="1" applyBorder="1"/>
    <xf numFmtId="0" fontId="4" fillId="0" borderId="11" xfId="0" applyFont="1" applyBorder="1"/>
    <xf numFmtId="10" fontId="4" fillId="0" borderId="12" xfId="0" applyNumberFormat="1" applyFont="1" applyBorder="1"/>
    <xf numFmtId="10" fontId="4" fillId="0" borderId="13" xfId="0" applyNumberFormat="1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16" xfId="0" applyFont="1" applyBorder="1"/>
    <xf numFmtId="9" fontId="4" fillId="0" borderId="18" xfId="0" applyNumberFormat="1" applyFont="1" applyBorder="1"/>
    <xf numFmtId="0" fontId="4" fillId="0" borderId="15" xfId="0" applyFont="1" applyBorder="1"/>
    <xf numFmtId="10" fontId="4" fillId="0" borderId="17" xfId="0" applyNumberFormat="1" applyFont="1" applyBorder="1"/>
    <xf numFmtId="10" fontId="4" fillId="0" borderId="18" xfId="0" applyNumberFormat="1" applyFont="1" applyBorder="1"/>
    <xf numFmtId="0" fontId="4" fillId="0" borderId="19" xfId="0" applyFont="1" applyBorder="1"/>
    <xf numFmtId="1" fontId="4" fillId="0" borderId="16" xfId="0" applyNumberFormat="1" applyFont="1" applyBorder="1"/>
    <xf numFmtId="0" fontId="4" fillId="0" borderId="27" xfId="0" applyFont="1" applyBorder="1"/>
    <xf numFmtId="0" fontId="4" fillId="0" borderId="28" xfId="0" applyFont="1" applyBorder="1"/>
    <xf numFmtId="9" fontId="4" fillId="0" borderId="29" xfId="0" applyNumberFormat="1" applyFont="1" applyBorder="1"/>
    <xf numFmtId="1" fontId="4" fillId="0" borderId="28" xfId="0" applyNumberFormat="1" applyFont="1" applyBorder="1"/>
    <xf numFmtId="0" fontId="4" fillId="0" borderId="5" xfId="0" applyFont="1" applyBorder="1"/>
    <xf numFmtId="0" fontId="4" fillId="0" borderId="6" xfId="0" applyFont="1" applyBorder="1"/>
    <xf numFmtId="10" fontId="4" fillId="0" borderId="7" xfId="0" applyNumberFormat="1" applyFont="1" applyBorder="1"/>
    <xf numFmtId="10" fontId="4" fillId="0" borderId="8" xfId="0" applyNumberFormat="1" applyFont="1" applyBorder="1"/>
    <xf numFmtId="0" fontId="4" fillId="0" borderId="9" xfId="0" applyFont="1" applyBorder="1"/>
    <xf numFmtId="0" fontId="4" fillId="0" borderId="30" xfId="0" applyFont="1" applyBorder="1"/>
    <xf numFmtId="0" fontId="4" fillId="0" borderId="31" xfId="0" applyFont="1" applyBorder="1"/>
    <xf numFmtId="10" fontId="4" fillId="0" borderId="32" xfId="0" applyNumberFormat="1" applyFont="1" applyBorder="1"/>
    <xf numFmtId="1" fontId="4" fillId="0" borderId="31" xfId="0" applyNumberFormat="1" applyFont="1" applyBorder="1"/>
    <xf numFmtId="0" fontId="5" fillId="0" borderId="0" xfId="0" applyFont="1"/>
    <xf numFmtId="0" fontId="6" fillId="0" borderId="0" xfId="0" applyNumberFormat="1" applyFont="1" applyAlignment="1"/>
    <xf numFmtId="0" fontId="6" fillId="2" borderId="0" xfId="0" applyNumberFormat="1" applyFont="1" applyFill="1" applyAlignment="1"/>
    <xf numFmtId="1" fontId="4" fillId="0" borderId="0" xfId="0" applyNumberFormat="1" applyFont="1"/>
    <xf numFmtId="164" fontId="7" fillId="3" borderId="0" xfId="0" applyNumberFormat="1" applyFont="1" applyFill="1" applyAlignment="1" applyProtection="1">
      <protection hidden="1"/>
    </xf>
    <xf numFmtId="164" fontId="0" fillId="3" borderId="0" xfId="0" applyNumberFormat="1" applyFill="1"/>
    <xf numFmtId="164" fontId="0" fillId="4" borderId="0" xfId="0" applyNumberFormat="1" applyFill="1"/>
    <xf numFmtId="10" fontId="0" fillId="4" borderId="0" xfId="0" applyNumberFormat="1" applyFill="1"/>
    <xf numFmtId="2" fontId="0" fillId="4" borderId="0" xfId="0" applyNumberFormat="1" applyFill="1"/>
    <xf numFmtId="0" fontId="0" fillId="3" borderId="0" xfId="0" applyFill="1"/>
    <xf numFmtId="3" fontId="3" fillId="2" borderId="0" xfId="0" applyNumberFormat="1" applyFont="1" applyFill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2" borderId="34" xfId="0" applyFill="1" applyBorder="1"/>
    <xf numFmtId="10" fontId="0" fillId="0" borderId="34" xfId="0" applyNumberFormat="1" applyBorder="1"/>
    <xf numFmtId="0" fontId="1" fillId="3" borderId="35" xfId="0" applyFont="1" applyFill="1" applyBorder="1"/>
    <xf numFmtId="10" fontId="1" fillId="0" borderId="35" xfId="0" applyNumberFormat="1" applyFont="1" applyBorder="1"/>
    <xf numFmtId="0" fontId="0" fillId="0" borderId="35" xfId="0" applyBorder="1"/>
    <xf numFmtId="0" fontId="0" fillId="3" borderId="35" xfId="0" applyFill="1" applyBorder="1"/>
    <xf numFmtId="0" fontId="0" fillId="2" borderId="35" xfId="0" applyFill="1" applyBorder="1"/>
    <xf numFmtId="10" fontId="0" fillId="0" borderId="35" xfId="0" applyNumberFormat="1" applyBorder="1"/>
    <xf numFmtId="0" fontId="0" fillId="3" borderId="33" xfId="0" applyFill="1" applyBorder="1"/>
    <xf numFmtId="0" fontId="0" fillId="0" borderId="33" xfId="0" applyFill="1" applyBorder="1"/>
    <xf numFmtId="0" fontId="6" fillId="3" borderId="0" xfId="0" applyNumberFormat="1" applyFont="1" applyFill="1" applyAlignment="1"/>
    <xf numFmtId="0" fontId="3" fillId="4" borderId="0" xfId="0" applyNumberFormat="1" applyFont="1" applyFill="1" applyAlignment="1"/>
    <xf numFmtId="3" fontId="4" fillId="2" borderId="0" xfId="0" applyNumberFormat="1" applyFont="1" applyFill="1"/>
    <xf numFmtId="0" fontId="4" fillId="2" borderId="0" xfId="0" applyFont="1" applyFill="1"/>
    <xf numFmtId="164" fontId="0" fillId="0" borderId="0" xfId="0" applyNumberFormat="1"/>
    <xf numFmtId="10" fontId="0" fillId="0" borderId="0" xfId="0" applyNumberFormat="1"/>
    <xf numFmtId="2" fontId="0" fillId="0" borderId="0" xfId="0" applyNumberFormat="1"/>
    <xf numFmtId="0" fontId="0" fillId="0" borderId="0" xfId="0" applyFill="1"/>
    <xf numFmtId="0" fontId="3" fillId="0" borderId="0" xfId="0" applyFont="1"/>
    <xf numFmtId="1" fontId="0" fillId="0" borderId="0" xfId="0" applyNumberFormat="1"/>
    <xf numFmtId="0" fontId="11" fillId="0" borderId="0" xfId="0" applyFont="1"/>
    <xf numFmtId="2" fontId="4" fillId="0" borderId="0" xfId="0" applyNumberFormat="1" applyFont="1"/>
    <xf numFmtId="164" fontId="4" fillId="0" borderId="0" xfId="0" applyNumberFormat="1" applyFont="1"/>
    <xf numFmtId="165" fontId="0" fillId="0" borderId="0" xfId="0" applyNumberFormat="1"/>
    <xf numFmtId="0" fontId="12" fillId="0" borderId="0" xfId="0" applyFont="1"/>
    <xf numFmtId="0" fontId="13" fillId="0" borderId="54" xfId="0" applyFont="1" applyBorder="1" applyAlignment="1">
      <alignment horizontal="left" vertical="top" wrapText="1" readingOrder="1"/>
    </xf>
    <xf numFmtId="0" fontId="13" fillId="0" borderId="55" xfId="0" applyFont="1" applyBorder="1" applyAlignment="1">
      <alignment horizontal="right" vertical="top" wrapText="1" readingOrder="1"/>
    </xf>
    <xf numFmtId="0" fontId="13" fillId="0" borderId="56" xfId="0" applyFont="1" applyBorder="1" applyAlignment="1">
      <alignment horizontal="right" vertical="top" wrapText="1" readingOrder="1"/>
    </xf>
    <xf numFmtId="0" fontId="2" fillId="0" borderId="57" xfId="0" applyNumberFormat="1" applyFont="1" applyBorder="1" applyAlignment="1"/>
    <xf numFmtId="168" fontId="2" fillId="0" borderId="58" xfId="0" applyNumberFormat="1" applyFont="1" applyFill="1" applyBorder="1" applyAlignment="1"/>
    <xf numFmtId="168" fontId="2" fillId="0" borderId="58" xfId="0" applyNumberFormat="1" applyFont="1" applyBorder="1" applyAlignment="1"/>
    <xf numFmtId="168" fontId="2" fillId="0" borderId="59" xfId="0" applyNumberFormat="1" applyFont="1" applyBorder="1" applyAlignment="1"/>
    <xf numFmtId="6" fontId="2" fillId="0" borderId="58" xfId="0" applyNumberFormat="1" applyFont="1" applyBorder="1" applyAlignment="1"/>
    <xf numFmtId="0" fontId="2" fillId="0" borderId="58" xfId="0" applyNumberFormat="1" applyFont="1" applyBorder="1" applyAlignment="1"/>
    <xf numFmtId="167" fontId="2" fillId="0" borderId="58" xfId="0" applyNumberFormat="1" applyFont="1" applyBorder="1" applyAlignment="1"/>
    <xf numFmtId="0" fontId="2" fillId="0" borderId="60" xfId="0" applyNumberFormat="1" applyFont="1" applyBorder="1" applyAlignment="1"/>
    <xf numFmtId="165" fontId="2" fillId="0" borderId="0" xfId="0" applyNumberFormat="1" applyFont="1" applyAlignment="1"/>
    <xf numFmtId="6" fontId="6" fillId="0" borderId="0" xfId="0" applyNumberFormat="1" applyFont="1" applyAlignment="1"/>
    <xf numFmtId="169" fontId="0" fillId="4" borderId="0" xfId="0" applyNumberFormat="1" applyFill="1"/>
    <xf numFmtId="0" fontId="14" fillId="0" borderId="0" xfId="0" applyFont="1"/>
    <xf numFmtId="6" fontId="2" fillId="0" borderId="0" xfId="0" applyNumberFormat="1" applyFont="1" applyAlignment="1"/>
    <xf numFmtId="165" fontId="0" fillId="4" borderId="0" xfId="0" applyNumberFormat="1" applyFill="1"/>
    <xf numFmtId="1" fontId="0" fillId="4" borderId="0" xfId="0" applyNumberFormat="1" applyFill="1"/>
    <xf numFmtId="169" fontId="0" fillId="3" borderId="0" xfId="0" applyNumberFormat="1" applyFill="1"/>
    <xf numFmtId="168" fontId="2" fillId="0" borderId="0" xfId="0" applyNumberFormat="1" applyFont="1" applyAlignment="1"/>
    <xf numFmtId="10" fontId="0" fillId="3" borderId="0" xfId="0" applyNumberFormat="1" applyFill="1"/>
    <xf numFmtId="167" fontId="0" fillId="3" borderId="0" xfId="0" applyNumberFormat="1" applyFill="1"/>
    <xf numFmtId="170" fontId="2" fillId="0" borderId="61" xfId="0" applyNumberFormat="1" applyFont="1" applyBorder="1" applyAlignment="1"/>
    <xf numFmtId="170" fontId="2" fillId="0" borderId="62" xfId="0" applyNumberFormat="1" applyFont="1" applyBorder="1" applyAlignment="1"/>
    <xf numFmtId="8" fontId="2" fillId="0" borderId="0" xfId="0" applyNumberFormat="1" applyFont="1" applyAlignment="1"/>
    <xf numFmtId="0" fontId="4" fillId="2" borderId="0" xfId="0" applyFont="1" applyFill="1" applyProtection="1">
      <protection locked="0"/>
    </xf>
    <xf numFmtId="166" fontId="4" fillId="2" borderId="0" xfId="0" applyNumberFormat="1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165" fontId="4" fillId="2" borderId="0" xfId="0" applyNumberFormat="1" applyFont="1" applyFill="1" applyBorder="1" applyProtection="1">
      <protection locked="0"/>
    </xf>
    <xf numFmtId="10" fontId="4" fillId="4" borderId="0" xfId="0" applyNumberFormat="1" applyFont="1" applyFill="1" applyProtection="1">
      <protection locked="0"/>
    </xf>
    <xf numFmtId="165" fontId="1" fillId="0" borderId="47" xfId="0" applyNumberFormat="1" applyFont="1" applyFill="1" applyBorder="1" applyProtection="1">
      <protection locked="0"/>
    </xf>
    <xf numFmtId="170" fontId="2" fillId="0" borderId="0" xfId="0" applyNumberFormat="1" applyFont="1" applyAlignment="1"/>
    <xf numFmtId="0" fontId="4" fillId="3" borderId="0" xfId="0" applyFont="1" applyFill="1"/>
    <xf numFmtId="0" fontId="15" fillId="0" borderId="0" xfId="0" applyFont="1"/>
    <xf numFmtId="165" fontId="5" fillId="2" borderId="0" xfId="0" applyNumberFormat="1" applyFont="1" applyFill="1" applyProtection="1">
      <protection locked="0"/>
    </xf>
    <xf numFmtId="0" fontId="15" fillId="0" borderId="0" xfId="0" applyFont="1" applyAlignment="1">
      <alignment horizontal="center"/>
    </xf>
    <xf numFmtId="9" fontId="4" fillId="0" borderId="0" xfId="0" applyNumberFormat="1" applyFont="1"/>
    <xf numFmtId="164" fontId="4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65" fontId="5" fillId="3" borderId="0" xfId="0" applyNumberFormat="1" applyFont="1" applyFill="1" applyProtection="1"/>
    <xf numFmtId="166" fontId="4" fillId="0" borderId="0" xfId="0" applyNumberFormat="1" applyFont="1" applyProtection="1"/>
    <xf numFmtId="166" fontId="4" fillId="0" borderId="0" xfId="0" applyNumberFormat="1" applyFont="1" applyFill="1" applyProtection="1"/>
    <xf numFmtId="0" fontId="1" fillId="0" borderId="36" xfId="0" applyFont="1" applyBorder="1" applyProtection="1"/>
    <xf numFmtId="0" fontId="3" fillId="0" borderId="51" xfId="0" applyFont="1" applyBorder="1" applyProtection="1"/>
    <xf numFmtId="166" fontId="4" fillId="0" borderId="10" xfId="0" applyNumberFormat="1" applyFont="1" applyBorder="1" applyProtection="1"/>
    <xf numFmtId="166" fontId="4" fillId="0" borderId="14" xfId="0" applyNumberFormat="1" applyFont="1" applyBorder="1" applyProtection="1"/>
    <xf numFmtId="166" fontId="4" fillId="0" borderId="15" xfId="0" applyNumberFormat="1" applyFont="1" applyBorder="1" applyProtection="1"/>
    <xf numFmtId="166" fontId="4" fillId="0" borderId="19" xfId="0" applyNumberFormat="1" applyFont="1" applyBorder="1" applyProtection="1"/>
    <xf numFmtId="166" fontId="4" fillId="0" borderId="42" xfId="0" applyNumberFormat="1" applyFont="1" applyBorder="1" applyProtection="1"/>
    <xf numFmtId="166" fontId="4" fillId="0" borderId="43" xfId="0" applyNumberFormat="1" applyFont="1" applyBorder="1" applyProtection="1"/>
    <xf numFmtId="0" fontId="3" fillId="0" borderId="36" xfId="0" applyFont="1" applyBorder="1" applyProtection="1"/>
    <xf numFmtId="166" fontId="4" fillId="0" borderId="38" xfId="0" applyNumberFormat="1" applyFont="1" applyBorder="1" applyProtection="1"/>
    <xf numFmtId="166" fontId="4" fillId="0" borderId="39" xfId="0" applyNumberFormat="1" applyFont="1" applyBorder="1" applyProtection="1"/>
    <xf numFmtId="0" fontId="3" fillId="0" borderId="52" xfId="0" applyFont="1" applyBorder="1" applyProtection="1"/>
    <xf numFmtId="166" fontId="4" fillId="0" borderId="49" xfId="0" applyNumberFormat="1" applyFont="1" applyBorder="1" applyProtection="1"/>
    <xf numFmtId="166" fontId="1" fillId="0" borderId="50" xfId="0" applyNumberFormat="1" applyFont="1" applyBorder="1" applyProtection="1"/>
    <xf numFmtId="0" fontId="3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1" fillId="0" borderId="53" xfId="0" applyFont="1" applyFill="1" applyBorder="1" applyProtection="1"/>
    <xf numFmtId="0" fontId="3" fillId="0" borderId="37" xfId="0" applyFont="1" applyBorder="1" applyProtection="1"/>
    <xf numFmtId="0" fontId="3" fillId="0" borderId="38" xfId="0" applyFont="1" applyBorder="1" applyProtection="1"/>
    <xf numFmtId="0" fontId="3" fillId="0" borderId="39" xfId="0" applyFont="1" applyBorder="1" applyProtection="1"/>
    <xf numFmtId="0" fontId="3" fillId="0" borderId="40" xfId="0" applyFont="1" applyBorder="1" applyProtection="1"/>
    <xf numFmtId="0" fontId="3" fillId="0" borderId="41" xfId="0" applyFont="1" applyBorder="1" applyProtection="1"/>
    <xf numFmtId="166" fontId="4" fillId="0" borderId="13" xfId="0" applyNumberFormat="1" applyFont="1" applyBorder="1" applyProtection="1"/>
    <xf numFmtId="166" fontId="4" fillId="0" borderId="18" xfId="0" applyNumberFormat="1" applyFont="1" applyBorder="1" applyProtection="1"/>
    <xf numFmtId="0" fontId="0" fillId="0" borderId="41" xfId="0" applyBorder="1" applyProtection="1"/>
    <xf numFmtId="166" fontId="4" fillId="0" borderId="47" xfId="0" applyNumberFormat="1" applyFont="1" applyBorder="1" applyProtection="1"/>
    <xf numFmtId="166" fontId="4" fillId="0" borderId="44" xfId="0" applyNumberFormat="1" applyFont="1" applyBorder="1" applyProtection="1"/>
    <xf numFmtId="166" fontId="4" fillId="0" borderId="40" xfId="0" applyNumberFormat="1" applyFont="1" applyBorder="1" applyProtection="1"/>
    <xf numFmtId="0" fontId="3" fillId="0" borderId="0" xfId="0" applyFont="1" applyFill="1" applyBorder="1" applyProtection="1"/>
    <xf numFmtId="166" fontId="4" fillId="0" borderId="0" xfId="0" applyNumberFormat="1" applyFont="1" applyBorder="1" applyProtection="1"/>
    <xf numFmtId="0" fontId="0" fillId="0" borderId="0" xfId="0" applyProtection="1"/>
    <xf numFmtId="166" fontId="1" fillId="0" borderId="0" xfId="0" applyNumberFormat="1" applyFont="1" applyProtection="1"/>
    <xf numFmtId="166" fontId="5" fillId="0" borderId="0" xfId="0" applyNumberFormat="1" applyFont="1" applyProtection="1"/>
    <xf numFmtId="1" fontId="4" fillId="0" borderId="0" xfId="0" applyNumberFormat="1" applyFont="1" applyProtection="1"/>
    <xf numFmtId="165" fontId="4" fillId="0" borderId="0" xfId="0" applyNumberFormat="1" applyFont="1" applyProtection="1"/>
    <xf numFmtId="0" fontId="1" fillId="5" borderId="36" xfId="0" applyFont="1" applyFill="1" applyBorder="1" applyAlignment="1" applyProtection="1">
      <alignment horizontal="left"/>
    </xf>
    <xf numFmtId="1" fontId="1" fillId="5" borderId="45" xfId="0" applyNumberFormat="1" applyFont="1" applyFill="1" applyBorder="1" applyAlignment="1" applyProtection="1">
      <alignment horizontal="center"/>
    </xf>
    <xf numFmtId="0" fontId="0" fillId="0" borderId="45" xfId="0" applyBorder="1" applyProtection="1"/>
    <xf numFmtId="1" fontId="1" fillId="5" borderId="46" xfId="0" applyNumberFormat="1" applyFont="1" applyFill="1" applyBorder="1" applyAlignment="1" applyProtection="1">
      <alignment horizontal="center"/>
    </xf>
    <xf numFmtId="15" fontId="8" fillId="5" borderId="41" xfId="0" applyNumberFormat="1" applyFont="1" applyFill="1" applyBorder="1" applyAlignment="1" applyProtection="1"/>
    <xf numFmtId="165" fontId="3" fillId="5" borderId="0" xfId="0" applyNumberFormat="1" applyFont="1" applyFill="1" applyBorder="1" applyProtection="1"/>
    <xf numFmtId="0" fontId="0" fillId="0" borderId="0" xfId="0" applyBorder="1" applyProtection="1"/>
    <xf numFmtId="0" fontId="9" fillId="5" borderId="41" xfId="0" applyFont="1" applyFill="1" applyBorder="1" applyAlignment="1" applyProtection="1"/>
    <xf numFmtId="166" fontId="3" fillId="5" borderId="0" xfId="0" applyNumberFormat="1" applyFont="1" applyFill="1" applyBorder="1" applyProtection="1"/>
    <xf numFmtId="166" fontId="3" fillId="5" borderId="47" xfId="0" applyNumberFormat="1" applyFont="1" applyFill="1" applyBorder="1" applyProtection="1"/>
    <xf numFmtId="166" fontId="1" fillId="5" borderId="0" xfId="0" applyNumberFormat="1" applyFont="1" applyFill="1" applyBorder="1" applyAlignment="1" applyProtection="1">
      <alignment horizontal="left"/>
    </xf>
    <xf numFmtId="166" fontId="3" fillId="0" borderId="0" xfId="0" applyNumberFormat="1" applyFont="1" applyFill="1" applyBorder="1" applyProtection="1"/>
    <xf numFmtId="166" fontId="3" fillId="0" borderId="47" xfId="0" applyNumberFormat="1" applyFont="1" applyFill="1" applyBorder="1" applyProtection="1"/>
    <xf numFmtId="0" fontId="4" fillId="0" borderId="0" xfId="0" applyFont="1" applyBorder="1" applyProtection="1"/>
    <xf numFmtId="0" fontId="4" fillId="0" borderId="47" xfId="0" applyFont="1" applyFill="1" applyBorder="1" applyProtection="1"/>
    <xf numFmtId="0" fontId="3" fillId="5" borderId="41" xfId="0" applyFont="1" applyFill="1" applyBorder="1" applyAlignment="1" applyProtection="1"/>
    <xf numFmtId="165" fontId="4" fillId="0" borderId="47" xfId="0" applyNumberFormat="1" applyFont="1" applyFill="1" applyBorder="1" applyProtection="1"/>
    <xf numFmtId="0" fontId="3" fillId="5" borderId="48" xfId="0" applyFont="1" applyFill="1" applyBorder="1" applyAlignment="1" applyProtection="1"/>
    <xf numFmtId="0" fontId="4" fillId="0" borderId="49" xfId="0" applyFont="1" applyBorder="1" applyProtection="1"/>
    <xf numFmtId="166" fontId="4" fillId="0" borderId="50" xfId="0" applyNumberFormat="1" applyFont="1" applyBorder="1" applyProtection="1"/>
    <xf numFmtId="10" fontId="4" fillId="0" borderId="0" xfId="0" applyNumberFormat="1" applyFont="1" applyFill="1" applyProtection="1"/>
    <xf numFmtId="166" fontId="4" fillId="3" borderId="0" xfId="0" applyNumberFormat="1" applyFont="1" applyFill="1" applyProtection="1"/>
    <xf numFmtId="0" fontId="4" fillId="0" borderId="0" xfId="0" applyFont="1" applyAlignment="1" applyProtection="1">
      <alignment horizontal="right"/>
    </xf>
    <xf numFmtId="167" fontId="5" fillId="6" borderId="0" xfId="0" applyNumberFormat="1" applyFont="1" applyFill="1" applyProtection="1"/>
    <xf numFmtId="167" fontId="4" fillId="0" borderId="0" xfId="0" applyNumberFormat="1" applyFont="1" applyProtection="1"/>
    <xf numFmtId="0" fontId="3" fillId="0" borderId="0" xfId="0" applyFont="1" applyAlignment="1" applyProtection="1">
      <alignment horizontal="right"/>
    </xf>
    <xf numFmtId="6" fontId="4" fillId="0" borderId="0" xfId="0" applyNumberFormat="1" applyFont="1" applyProtection="1"/>
    <xf numFmtId="168" fontId="4" fillId="0" borderId="0" xfId="0" applyNumberFormat="1" applyFont="1" applyProtection="1"/>
    <xf numFmtId="0" fontId="16" fillId="0" borderId="0" xfId="0" applyFont="1" applyProtection="1"/>
    <xf numFmtId="168" fontId="16" fillId="0" borderId="0" xfId="0" applyNumberFormat="1" applyFont="1" applyProtection="1"/>
    <xf numFmtId="165" fontId="16" fillId="0" borderId="0" xfId="0" applyNumberFormat="1" applyFont="1" applyProtection="1"/>
    <xf numFmtId="165" fontId="0" fillId="0" borderId="0" xfId="0" applyNumberFormat="1" applyProtection="1"/>
    <xf numFmtId="0" fontId="0" fillId="0" borderId="0" xfId="0" applyAlignment="1" applyProtection="1">
      <alignment horizontal="right"/>
    </xf>
    <xf numFmtId="6" fontId="0" fillId="0" borderId="0" xfId="0" applyNumberFormat="1" applyProtection="1"/>
    <xf numFmtId="168" fontId="0" fillId="0" borderId="0" xfId="0" applyNumberFormat="1" applyProtection="1"/>
    <xf numFmtId="0" fontId="0" fillId="0" borderId="0" xfId="0" applyAlignment="1">
      <alignment horizontal="center"/>
    </xf>
    <xf numFmtId="166" fontId="4" fillId="0" borderId="36" xfId="0" applyNumberFormat="1" applyFont="1" applyBorder="1" applyProtection="1"/>
    <xf numFmtId="0" fontId="1" fillId="0" borderId="0" xfId="0" applyFont="1"/>
    <xf numFmtId="169" fontId="0" fillId="0" borderId="0" xfId="0" applyNumberFormat="1"/>
    <xf numFmtId="9" fontId="0" fillId="0" borderId="0" xfId="0" applyNumberFormat="1"/>
    <xf numFmtId="4" fontId="0" fillId="0" borderId="0" xfId="0" applyNumberFormat="1"/>
    <xf numFmtId="171" fontId="0" fillId="0" borderId="0" xfId="0" applyNumberFormat="1"/>
    <xf numFmtId="171" fontId="0" fillId="4" borderId="0" xfId="0" applyNumberFormat="1" applyFill="1"/>
    <xf numFmtId="172" fontId="0" fillId="4" borderId="0" xfId="0" applyNumberFormat="1" applyFill="1"/>
    <xf numFmtId="164" fontId="0" fillId="2" borderId="0" xfId="0" applyNumberFormat="1" applyFill="1"/>
    <xf numFmtId="0" fontId="0" fillId="2" borderId="0" xfId="0" applyFill="1"/>
    <xf numFmtId="165" fontId="16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3" fillId="0" borderId="38" xfId="0" applyFon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Comparaison</a:t>
            </a:r>
            <a:r>
              <a:rPr lang="fr-CA" baseline="0"/>
              <a:t> CELI VS RVER :</a:t>
            </a:r>
          </a:p>
          <a:p>
            <a:pPr>
              <a:defRPr/>
            </a:pPr>
            <a:r>
              <a:rPr lang="fr-CA" baseline="0"/>
              <a:t>Selon votre réalité financière et fiscale de 2018 !</a:t>
            </a:r>
          </a:p>
        </c:rich>
      </c:tx>
      <c:layout>
        <c:manualLayout>
          <c:xMode val="edge"/>
          <c:yMode val="edge"/>
          <c:x val="0.14154108508507671"/>
          <c:y val="2.5936026389426835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72120494096179"/>
          <c:y val="0.24350039747132576"/>
          <c:w val="0.83197207602110201"/>
          <c:h val="0.67776147935041975"/>
        </c:manualLayout>
      </c:layout>
      <c:lineChart>
        <c:grouping val="standard"/>
        <c:varyColors val="0"/>
        <c:ser>
          <c:idx val="1"/>
          <c:order val="0"/>
          <c:tx>
            <c:strRef>
              <c:f>Données!$H$69</c:f>
              <c:strCache>
                <c:ptCount val="1"/>
                <c:pt idx="0">
                  <c:v>CELI</c:v>
                </c:pt>
              </c:strCache>
            </c:strRef>
          </c:tx>
          <c:marker>
            <c:symbol val="none"/>
          </c:marker>
          <c:cat>
            <c:numRef>
              <c:f>Données!$G$70:$G$101</c:f>
              <c:numCache>
                <c:formatCode>General</c:formatCode>
                <c:ptCount val="31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</c:numCache>
            </c:numRef>
          </c:cat>
          <c:val>
            <c:numRef>
              <c:f>Données!$H$70:$H$101</c:f>
              <c:numCache>
                <c:formatCode>#\ ##0\ "$"</c:formatCode>
                <c:ptCount val="31"/>
                <c:pt idx="0" formatCode="&quot;$&quot;#,##0_);[Red]\(&quot;$&quot;#,##0\)">
                  <c:v>202612.81910669792</c:v>
                </c:pt>
                <c:pt idx="1">
                  <c:v>197533.68938674164</c:v>
                </c:pt>
                <c:pt idx="2">
                  <c:v>192305.41102255881</c:v>
                </c:pt>
                <c:pt idx="3">
                  <c:v>186923.60426421178</c:v>
                </c:pt>
                <c:pt idx="4">
                  <c:v>181383.7607504059</c:v>
                </c:pt>
                <c:pt idx="5">
                  <c:v>175681.2397318171</c:v>
                </c:pt>
                <c:pt idx="6">
                  <c:v>169811.26418351743</c:v>
                </c:pt>
                <c:pt idx="7">
                  <c:v>163768.91680324194</c:v>
                </c:pt>
                <c:pt idx="8">
                  <c:v>157549.13589214467</c:v>
                </c:pt>
                <c:pt idx="9">
                  <c:v>151146.711114593</c:v>
                </c:pt>
                <c:pt idx="10">
                  <c:v>144556.27913344852</c:v>
                </c:pt>
                <c:pt idx="11">
                  <c:v>137772.31911717774</c:v>
                </c:pt>
                <c:pt idx="12">
                  <c:v>130789.14811502918</c:v>
                </c:pt>
                <c:pt idx="13">
                  <c:v>123600.91629640253</c:v>
                </c:pt>
                <c:pt idx="14">
                  <c:v>116201.60205042191</c:v>
                </c:pt>
                <c:pt idx="15">
                  <c:v>108585.00694160807</c:v>
                </c:pt>
                <c:pt idx="16">
                  <c:v>100744.7505174239</c:v>
                </c:pt>
                <c:pt idx="17">
                  <c:v>92674.264963343565</c:v>
                </c:pt>
                <c:pt idx="18">
                  <c:v>84366.789600967662</c:v>
                </c:pt>
                <c:pt idx="19">
                  <c:v>75815.365224575595</c:v>
                </c:pt>
                <c:pt idx="20">
                  <c:v>67012.828271370774</c:v>
                </c:pt>
                <c:pt idx="21">
                  <c:v>57951.804820535086</c:v>
                </c:pt>
                <c:pt idx="22">
                  <c:v>48624.704416065608</c:v>
                </c:pt>
                <c:pt idx="23">
                  <c:v>39023.713708218886</c:v>
                </c:pt>
                <c:pt idx="24">
                  <c:v>29140.789908236242</c:v>
                </c:pt>
                <c:pt idx="25">
                  <c:v>18967.654050867106</c:v>
                </c:pt>
                <c:pt idx="26">
                  <c:v>8495.7840590463256</c:v>
                </c:pt>
                <c:pt idx="27">
                  <c:v>-2283.5923950842734</c:v>
                </c:pt>
                <c:pt idx="28">
                  <c:v>-13379.505238790418</c:v>
                </c:pt>
                <c:pt idx="29">
                  <c:v>-24801.249563151996</c:v>
                </c:pt>
                <c:pt idx="30">
                  <c:v>-36558.393409598459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3-4B3E-883F-84CAEA51B736}"/>
            </c:ext>
          </c:extLst>
        </c:ser>
        <c:ser>
          <c:idx val="2"/>
          <c:order val="1"/>
          <c:tx>
            <c:strRef>
              <c:f>Données!$I$69</c:f>
              <c:strCache>
                <c:ptCount val="1"/>
                <c:pt idx="0">
                  <c:v>FERR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ymbol val="none"/>
          </c:marker>
          <c:cat>
            <c:numRef>
              <c:f>Données!$G$70:$G$101</c:f>
              <c:numCache>
                <c:formatCode>General</c:formatCode>
                <c:ptCount val="31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</c:numCache>
            </c:numRef>
          </c:cat>
          <c:val>
            <c:numRef>
              <c:f>Données!$I$70:$I$101</c:f>
              <c:numCache>
                <c:formatCode>#\ ##0\ "$"</c:formatCode>
                <c:ptCount val="31"/>
                <c:pt idx="0" formatCode="&quot;$&quot;#,##0_);[Red]\(&quot;$&quot;#,##0\)">
                  <c:v>322118.94929522724</c:v>
                </c:pt>
                <c:pt idx="1">
                  <c:v>312028.20010573161</c:v>
                </c:pt>
                <c:pt idx="2">
                  <c:v>301641.13606628642</c:v>
                </c:pt>
                <c:pt idx="3">
                  <c:v>290949.05589132296</c:v>
                </c:pt>
                <c:pt idx="4">
                  <c:v>279943.00278202165</c:v>
                </c:pt>
                <c:pt idx="5">
                  <c:v>268613.75692316575</c:v>
                </c:pt>
                <c:pt idx="6">
                  <c:v>256951.82775966453</c:v>
                </c:pt>
                <c:pt idx="7">
                  <c:v>244947.44604627709</c:v>
                </c:pt>
                <c:pt idx="8">
                  <c:v>232590.55566387603</c:v>
                </c:pt>
                <c:pt idx="9">
                  <c:v>219870.80519539578</c:v>
                </c:pt>
                <c:pt idx="10">
                  <c:v>206777.53925440859</c:v>
                </c:pt>
                <c:pt idx="11">
                  <c:v>193299.78955906432</c:v>
                </c:pt>
                <c:pt idx="12">
                  <c:v>179426.26574391624</c:v>
                </c:pt>
                <c:pt idx="13">
                  <c:v>165145.34590193635</c:v>
                </c:pt>
                <c:pt idx="14">
                  <c:v>150445.06684879671</c:v>
                </c:pt>
                <c:pt idx="15">
                  <c:v>135313.11410126163</c:v>
                </c:pt>
                <c:pt idx="16">
                  <c:v>119736.81156129518</c:v>
                </c:pt>
                <c:pt idx="17">
                  <c:v>103703.11089724262</c:v>
                </c:pt>
                <c:pt idx="18">
                  <c:v>87198.580613190148</c:v>
                </c:pt>
                <c:pt idx="19">
                  <c:v>70209.394797346496</c:v>
                </c:pt>
                <c:pt idx="20">
                  <c:v>52721.321540020581</c:v>
                </c:pt>
                <c:pt idx="21">
                  <c:v>34719.711011493288</c:v>
                </c:pt>
                <c:pt idx="22">
                  <c:v>16189.48318979579</c:v>
                </c:pt>
                <c:pt idx="23">
                  <c:v>-2884.8847718858565</c:v>
                </c:pt>
                <c:pt idx="24">
                  <c:v>-22519.371548762287</c:v>
                </c:pt>
                <c:pt idx="25">
                  <c:v>-42730.425029841696</c:v>
                </c:pt>
                <c:pt idx="26">
                  <c:v>-63534.976096393002</c:v>
                </c:pt>
                <c:pt idx="27">
                  <c:v>-84950.452805013585</c:v>
                </c:pt>
                <c:pt idx="28">
                  <c:v>-106994.79498718282</c:v>
                </c:pt>
                <c:pt idx="29">
                  <c:v>-129686.46927753145</c:v>
                </c:pt>
                <c:pt idx="30">
                  <c:v>-153044.48458341617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3-4B3E-883F-84CAEA51B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50816"/>
        <c:axId val="74384896"/>
      </c:lineChart>
      <c:catAx>
        <c:axId val="4725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74384896"/>
        <c:crosses val="autoZero"/>
        <c:auto val="1"/>
        <c:lblAlgn val="ctr"/>
        <c:lblOffset val="100"/>
        <c:noMultiLvlLbl val="0"/>
      </c:catAx>
      <c:valAx>
        <c:axId val="74384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A"/>
                  <a:t>Valeur du portefeuille</a:t>
                </a:r>
              </a:p>
            </c:rich>
          </c:tx>
          <c:overlay val="0"/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fr-FR"/>
          </a:p>
        </c:txPr>
        <c:crossAx val="47250816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3053040976622075"/>
          <c:y val="0.43671239164174636"/>
          <c:w val="0.15268501675157706"/>
          <c:h val="0.15789323231660093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000000000000089" l="0.70000000000000062" r="0.70000000000000062" t="0.75000000000000089" header="0.30000000000000032" footer="0.30000000000000032"/>
    <c:pageSetup paperSize="173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49290</xdr:colOff>
      <xdr:row>12</xdr:row>
      <xdr:rowOff>15478</xdr:rowOff>
    </xdr:from>
    <xdr:to>
      <xdr:col>13</xdr:col>
      <xdr:colOff>419099</xdr:colOff>
      <xdr:row>37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102"/>
  <sheetViews>
    <sheetView tabSelected="1" zoomScaleNormal="100" workbookViewId="0">
      <selection activeCell="B4" sqref="B4"/>
    </sheetView>
  </sheetViews>
  <sheetFormatPr baseColWidth="10" defaultRowHeight="14.4" x14ac:dyDescent="0.3"/>
  <cols>
    <col min="1" max="1" width="38.6640625" customWidth="1"/>
    <col min="2" max="2" width="13.33203125" customWidth="1"/>
    <col min="3" max="3" width="11.88671875" customWidth="1"/>
    <col min="4" max="4" width="13" customWidth="1"/>
    <col min="5" max="5" width="12.33203125" customWidth="1"/>
    <col min="9" max="9" width="12.88671875" customWidth="1"/>
  </cols>
  <sheetData>
    <row r="1" spans="1:13" ht="21" x14ac:dyDescent="0.4">
      <c r="A1" s="207" t="s">
        <v>155</v>
      </c>
      <c r="B1" s="208"/>
      <c r="C1" s="208"/>
      <c r="D1" s="208"/>
      <c r="E1" s="208"/>
    </row>
    <row r="2" spans="1:13" ht="6" customHeight="1" x14ac:dyDescent="0.4">
      <c r="A2" s="76"/>
    </row>
    <row r="3" spans="1:13" ht="12" customHeight="1" x14ac:dyDescent="0.3">
      <c r="B3" t="s">
        <v>79</v>
      </c>
      <c r="C3" t="s">
        <v>80</v>
      </c>
      <c r="D3" t="s">
        <v>81</v>
      </c>
      <c r="F3" s="155" t="s">
        <v>118</v>
      </c>
      <c r="G3" s="155"/>
    </row>
    <row r="4" spans="1:13" ht="14.4" customHeight="1" x14ac:dyDescent="0.3">
      <c r="A4" s="7" t="s">
        <v>78</v>
      </c>
      <c r="B4" s="106">
        <v>1</v>
      </c>
      <c r="C4" s="119"/>
      <c r="F4" s="155" t="s">
        <v>79</v>
      </c>
      <c r="G4" s="155" t="s">
        <v>119</v>
      </c>
    </row>
    <row r="5" spans="1:13" ht="14.4" hidden="1" customHeight="1" x14ac:dyDescent="0.3">
      <c r="A5" s="7"/>
      <c r="B5" s="120" t="s">
        <v>79</v>
      </c>
      <c r="C5" s="120" t="s">
        <v>80</v>
      </c>
      <c r="D5" t="s">
        <v>81</v>
      </c>
      <c r="F5" s="155"/>
      <c r="G5" s="155"/>
    </row>
    <row r="6" spans="1:13" ht="14.4" customHeight="1" thickBot="1" x14ac:dyDescent="0.35">
      <c r="A6" s="74" t="s">
        <v>90</v>
      </c>
      <c r="B6" s="107">
        <v>60000</v>
      </c>
      <c r="C6" s="107">
        <v>0</v>
      </c>
      <c r="D6" s="122">
        <f>SUM(B6:C6)</f>
        <v>60000</v>
      </c>
      <c r="E6" s="7"/>
      <c r="F6" s="191">
        <f>IF(AND(B6=6,B7&gt;0),F7/(F7+G7),B6/(B6+C6))</f>
        <v>1</v>
      </c>
      <c r="G6" s="191">
        <f>100%-F6</f>
        <v>0</v>
      </c>
    </row>
    <row r="7" spans="1:13" ht="14.4" customHeight="1" thickBot="1" x14ac:dyDescent="0.35">
      <c r="A7" s="7" t="s">
        <v>117</v>
      </c>
      <c r="B7" s="107">
        <f>IF(B6&gt;55900/80%,55900*25%*97.3885%,B6*55900*25%*97.3885%/(55900/80%))</f>
        <v>11686.619999999999</v>
      </c>
      <c r="C7" s="107">
        <f>IF(C6&gt;55900/80%,55900*25%*97.3885%,C6*55900*25%*97.3885%/(55900/80%))</f>
        <v>0</v>
      </c>
      <c r="D7" s="196">
        <f>SUM(B7:C7)</f>
        <v>11686.619999999999</v>
      </c>
      <c r="E7" s="7"/>
      <c r="F7">
        <f>(B7*55900/80%)/(55900*25%*97.3885%)</f>
        <v>60000</v>
      </c>
      <c r="G7">
        <f>(C7*55900/80%)/(55900*25%*97.3885%)</f>
        <v>0</v>
      </c>
    </row>
    <row r="8" spans="1:13" ht="14.4" customHeight="1" x14ac:dyDescent="0.35">
      <c r="A8" s="74" t="s">
        <v>82</v>
      </c>
      <c r="B8" s="107">
        <v>1000</v>
      </c>
      <c r="C8" s="107">
        <v>0</v>
      </c>
      <c r="D8" s="122">
        <f>SUM(B8:C8)</f>
        <v>1000</v>
      </c>
      <c r="E8" s="7" t="s">
        <v>122</v>
      </c>
      <c r="H8" s="188" t="s">
        <v>126</v>
      </c>
      <c r="I8" s="155"/>
      <c r="J8" s="155"/>
      <c r="K8" s="155"/>
      <c r="L8" s="189">
        <f>IF(AND(B4=1,B6&gt;Seuils!E33/80%),Seuils!E33,IF(AND(B4=1,B7&lt;Seuils!E33/80%,B7&lt;=55300*25%*96.7092%),Seuils!D51,IF(AND(B4=1,B7&lt;Seuils!E33/80%,B7&gt;55300*25%*96.7092%),Seuils!J51,IF(D7&lt;16000,Seuils!C16,Seuils!J7))))</f>
        <v>37789</v>
      </c>
      <c r="M8" s="190">
        <f>IF(D6=0,L8/(F7+G7),L8/D6)</f>
        <v>0.62981666666666669</v>
      </c>
    </row>
    <row r="9" spans="1:13" ht="14.4" customHeight="1" x14ac:dyDescent="0.3">
      <c r="A9" s="7" t="s">
        <v>142</v>
      </c>
      <c r="B9" s="118">
        <v>663.5</v>
      </c>
      <c r="C9" s="107">
        <f>IF(B4=1,0,663.5)</f>
        <v>0</v>
      </c>
      <c r="D9" s="122">
        <f>SUM(B9:C9)</f>
        <v>663.5</v>
      </c>
      <c r="E9" s="116" t="s">
        <v>124</v>
      </c>
      <c r="F9" s="116" t="s">
        <v>125</v>
      </c>
      <c r="H9" s="155"/>
      <c r="I9" s="155"/>
      <c r="J9" s="155"/>
      <c r="K9" s="155"/>
      <c r="L9" s="155"/>
      <c r="M9" s="155"/>
    </row>
    <row r="10" spans="1:13" ht="14.4" customHeight="1" x14ac:dyDescent="0.35">
      <c r="A10" s="74" t="s">
        <v>95</v>
      </c>
      <c r="B10" s="122">
        <f>IF(B6=0,(F7+G7)*E10,(B6+C6)*E10)</f>
        <v>37800</v>
      </c>
      <c r="C10" s="122"/>
      <c r="D10" s="122">
        <f>SUM(B10:C10)</f>
        <v>37800</v>
      </c>
      <c r="E10" s="115">
        <v>0.63</v>
      </c>
      <c r="F10" s="121">
        <f>M8</f>
        <v>0.62981666666666669</v>
      </c>
      <c r="H10" s="188" t="s">
        <v>123</v>
      </c>
      <c r="I10" s="188"/>
      <c r="J10" s="190">
        <f>D57</f>
        <v>0.371</v>
      </c>
      <c r="K10" s="209" t="str">
        <f>IF(J10&lt;J12-0.5%,"Maximiser d'abord votre CELI !",IF(J10&gt;J12+0.5%,"Privillégiez le REER OPTIMAL", "Indifférent entre REER et CELI"))</f>
        <v>Maximiser d'abord votre CELI !</v>
      </c>
      <c r="L10" s="210"/>
      <c r="M10" s="210"/>
    </row>
    <row r="11" spans="1:13" ht="14.4" customHeight="1" x14ac:dyDescent="0.35">
      <c r="A11" s="74" t="s">
        <v>143</v>
      </c>
      <c r="B11" s="107">
        <f>IF(AND(B4=2,C6&gt;15000),(B10-D7-B14-C14)*F6,B10-D7-B14-C14)</f>
        <v>18992.07</v>
      </c>
      <c r="C11" s="123">
        <f>IF(AND(B4=2,C6&gt;15000),(B10-D7-B14-C14)*(1-F6),0)</f>
        <v>0</v>
      </c>
      <c r="D11" s="122">
        <f t="shared" ref="D11" si="0">SUM(B11:C11)</f>
        <v>18992.07</v>
      </c>
      <c r="E11" s="7"/>
      <c r="H11" s="188" t="s">
        <v>150</v>
      </c>
      <c r="I11" s="155"/>
      <c r="J11" s="190">
        <f>C46</f>
        <v>0.42727703188751931</v>
      </c>
      <c r="K11" s="155"/>
      <c r="L11" s="155"/>
      <c r="M11" s="155"/>
    </row>
    <row r="12" spans="1:13" ht="17.399999999999999" customHeight="1" thickBot="1" x14ac:dyDescent="0.4">
      <c r="B12" s="7"/>
      <c r="C12" s="7"/>
      <c r="D12" s="7"/>
      <c r="E12" s="7"/>
      <c r="H12" s="188" t="s">
        <v>149</v>
      </c>
      <c r="J12" s="206">
        <f>C53</f>
        <v>0.43780774286320556</v>
      </c>
    </row>
    <row r="13" spans="1:13" ht="14.4" customHeight="1" thickBot="1" x14ac:dyDescent="0.35">
      <c r="A13" s="124" t="s">
        <v>144</v>
      </c>
      <c r="B13" s="213" t="s">
        <v>47</v>
      </c>
      <c r="C13" s="214"/>
      <c r="D13" s="213" t="s">
        <v>48</v>
      </c>
      <c r="E13" s="214"/>
    </row>
    <row r="14" spans="1:13" ht="14.4" customHeight="1" x14ac:dyDescent="0.3">
      <c r="A14" s="125" t="s">
        <v>49</v>
      </c>
      <c r="B14" s="126">
        <v>7121.31</v>
      </c>
      <c r="C14" s="127">
        <f>IF(B4=2,Seuils!E32,0)</f>
        <v>0</v>
      </c>
      <c r="D14" s="126">
        <f>B14</f>
        <v>7121.31</v>
      </c>
      <c r="E14" s="127">
        <f>C14</f>
        <v>0</v>
      </c>
    </row>
    <row r="15" spans="1:13" ht="14.4" customHeight="1" x14ac:dyDescent="0.3">
      <c r="A15" s="125" t="s">
        <v>50</v>
      </c>
      <c r="B15" s="128">
        <f>B7</f>
        <v>11686.619999999999</v>
      </c>
      <c r="C15" s="129">
        <f>C7</f>
        <v>0</v>
      </c>
      <c r="D15" s="128">
        <f>B15</f>
        <v>11686.619999999999</v>
      </c>
      <c r="E15" s="129">
        <f>C15</f>
        <v>0</v>
      </c>
    </row>
    <row r="16" spans="1:13" ht="14.4" customHeight="1" x14ac:dyDescent="0.3">
      <c r="A16" s="125" t="s">
        <v>34</v>
      </c>
      <c r="B16" s="128">
        <f>IF(B4=2,0,IF(D7&gt;Seuils!D31,0,Seuils!D30-D7*50%))</f>
        <v>3264.6900000000005</v>
      </c>
      <c r="C16" s="129">
        <f>IF(B4=1,0,IF(D7&gt;Seuils!D31,0,Seuils!D30-(Données!D7*50%)))</f>
        <v>0</v>
      </c>
      <c r="D16" s="128">
        <f>IF(B4=2,0,IF(Données!D15+Données!D17&gt;Seuils!E31,0,Seuils!D30-(D15+D17)*50%))</f>
        <v>0</v>
      </c>
      <c r="E16" s="129">
        <f>IF(B4=1,0,IF(D7+D11&gt;Seuils!D31,0,Seuils!D30-D7*50%-D11*50%))</f>
        <v>0</v>
      </c>
    </row>
    <row r="17" spans="1:5" ht="14.4" customHeight="1" thickBot="1" x14ac:dyDescent="0.35">
      <c r="A17" s="125" t="s">
        <v>51</v>
      </c>
      <c r="B17" s="130"/>
      <c r="C17" s="131"/>
      <c r="D17" s="130">
        <f>B11</f>
        <v>18992.07</v>
      </c>
      <c r="E17" s="131">
        <f>C11</f>
        <v>0</v>
      </c>
    </row>
    <row r="18" spans="1:5" ht="14.4" customHeight="1" thickBot="1" x14ac:dyDescent="0.35">
      <c r="A18" s="132" t="s">
        <v>88</v>
      </c>
      <c r="B18" s="133">
        <f>SUM(B14:B17)-B16</f>
        <v>18807.93</v>
      </c>
      <c r="C18" s="134">
        <f>SUM(C14:C17)-C16</f>
        <v>0</v>
      </c>
      <c r="D18" s="133">
        <f>SUM(D14:D17)-D16</f>
        <v>37800</v>
      </c>
      <c r="E18" s="134">
        <f>SUM(E14:E17)-E16</f>
        <v>0</v>
      </c>
    </row>
    <row r="19" spans="1:5" ht="14.4" customHeight="1" thickBot="1" x14ac:dyDescent="0.35">
      <c r="A19" s="135" t="s">
        <v>89</v>
      </c>
      <c r="B19" s="136"/>
      <c r="C19" s="136">
        <f>B18+C18</f>
        <v>18807.93</v>
      </c>
      <c r="D19" s="136"/>
      <c r="E19" s="137">
        <f>D18+E18</f>
        <v>37800</v>
      </c>
    </row>
    <row r="20" spans="1:5" ht="6" customHeight="1" thickBot="1" x14ac:dyDescent="0.35">
      <c r="A20" s="138"/>
      <c r="B20" s="139"/>
      <c r="C20" s="139"/>
      <c r="D20" s="139"/>
      <c r="E20" s="140"/>
    </row>
    <row r="21" spans="1:5" ht="14.4" customHeight="1" thickBot="1" x14ac:dyDescent="0.35">
      <c r="A21" s="141" t="s">
        <v>94</v>
      </c>
      <c r="B21" s="211" t="s">
        <v>52</v>
      </c>
      <c r="C21" s="212"/>
      <c r="D21" s="211" t="s">
        <v>53</v>
      </c>
      <c r="E21" s="212"/>
    </row>
    <row r="22" spans="1:5" ht="14.4" customHeight="1" thickBot="1" x14ac:dyDescent="0.35">
      <c r="A22" s="142"/>
      <c r="B22" s="143" t="s">
        <v>54</v>
      </c>
      <c r="C22" s="144" t="s">
        <v>55</v>
      </c>
      <c r="D22" s="145" t="s">
        <v>54</v>
      </c>
      <c r="E22" s="144" t="s">
        <v>55</v>
      </c>
    </row>
    <row r="23" spans="1:5" ht="14.4" customHeight="1" x14ac:dyDescent="0.3">
      <c r="A23" s="146" t="s">
        <v>91</v>
      </c>
      <c r="B23" s="126">
        <f>IF(B4=2,Seuils!D12*2,Seuils!D12)</f>
        <v>11809</v>
      </c>
      <c r="C23" s="127">
        <f>IF(B4=2,Seuils!J12*2,Seuils!J12)</f>
        <v>15012</v>
      </c>
      <c r="D23" s="147">
        <f>B23</f>
        <v>11809</v>
      </c>
      <c r="E23" s="127">
        <f>C23</f>
        <v>15012</v>
      </c>
    </row>
    <row r="24" spans="1:5" ht="14.4" customHeight="1" x14ac:dyDescent="0.3">
      <c r="A24" s="146" t="s">
        <v>92</v>
      </c>
      <c r="B24" s="128">
        <f>IF(B4=2,Seuils!D15*2,Seuils!D15)</f>
        <v>7333</v>
      </c>
      <c r="C24" s="129">
        <f>Seuils!K18</f>
        <v>4879</v>
      </c>
      <c r="D24" s="148">
        <f>IF(AND(B4=2,E19/2&lt;Seuils!D16),Seuils!D15*2,IF(B4=2,Seuils!D15+Seuils!D15-(E19-Seuils!E25-Seuils!D16)*15%,IF(AND(Données!B4=1,E19&gt;Seuils!D17),0,IF(E19&lt;Seuils!D16*B4,Seuils!D15*B4,Seuils!D15-(E19-Seuils!D16)*15%))))</f>
        <v>7209.4</v>
      </c>
      <c r="E24" s="129">
        <f>IF(E19&lt;Seuils!$J$16,Seuils!$J$15,IF(E19&gt;Seuils!$J$17,0,Seuils!$J$15-(E19-Seuils!$J$16)*18.75%))</f>
        <v>6977.125</v>
      </c>
    </row>
    <row r="25" spans="1:5" ht="14.4" customHeight="1" x14ac:dyDescent="0.3">
      <c r="A25" s="146" t="s">
        <v>93</v>
      </c>
      <c r="B25" s="128"/>
      <c r="C25" s="129"/>
      <c r="D25" s="148">
        <f>IF(B4=2,Seuils!D19*2,Seuils!D19)</f>
        <v>2000</v>
      </c>
      <c r="E25" s="129"/>
    </row>
    <row r="26" spans="1:5" ht="14.4" customHeight="1" x14ac:dyDescent="0.3">
      <c r="A26" s="146" t="s">
        <v>18</v>
      </c>
      <c r="B26" s="128">
        <f>Seuils!D24</f>
        <v>1001.3213999999999</v>
      </c>
      <c r="C26" s="129">
        <f>Seuils!K24</f>
        <v>765.39287600000023</v>
      </c>
      <c r="D26" s="148">
        <f>Seuils!E24</f>
        <v>529.5</v>
      </c>
      <c r="E26" s="129">
        <f>Seuils!L24</f>
        <v>507.5</v>
      </c>
    </row>
    <row r="27" spans="1:5" ht="14.4" customHeight="1" x14ac:dyDescent="0.3">
      <c r="A27" s="146" t="s">
        <v>56</v>
      </c>
      <c r="B27" s="128">
        <f>SUM(B23:B26)</f>
        <v>20143.321400000001</v>
      </c>
      <c r="C27" s="129">
        <f>SUM(C23:C26)</f>
        <v>20656.392876000002</v>
      </c>
      <c r="D27" s="148">
        <f>SUM(D23:D26)</f>
        <v>21547.9</v>
      </c>
      <c r="E27" s="129">
        <f>SUM(E23:E26)</f>
        <v>22496.625</v>
      </c>
    </row>
    <row r="28" spans="1:5" ht="6" customHeight="1" x14ac:dyDescent="0.3">
      <c r="A28" s="149"/>
      <c r="B28" s="128"/>
      <c r="C28" s="129"/>
      <c r="D28" s="148"/>
      <c r="E28" s="129"/>
    </row>
    <row r="29" spans="1:5" ht="14.4" customHeight="1" x14ac:dyDescent="0.3">
      <c r="A29" s="146" t="s">
        <v>57</v>
      </c>
      <c r="B29" s="128">
        <f>C19*15%</f>
        <v>2821.1895</v>
      </c>
      <c r="C29" s="129">
        <f>C19*Seuils!K6</f>
        <v>2821.1895</v>
      </c>
      <c r="D29" s="148">
        <f>IF(AND(B4=2,E19&lt;Seuils!B6*2),E19*15%,IF(AND(B4=2,E19&gt;Seuils!E33*2),(Seuils!L30-Seuils!A7)*Seuils!C7+Seuils!D7+Seuils!L30-Seuils!A7*Seuils!C7+Seuils!D7,IF(AND(B4=2,E19&gt;Seuils!E33+Seuils!A7),(Seuils!L30-Seuils!A7)*Seuils!C7+Seuils!D7+Seuils!L30*Seuils!C6,IF(E19&gt;Seuils!A8,(E19-D36-Seuils!A8)*Seuils!C8+Seuils!D8,IF(E19&gt;Seuils!E33,(E19-D36-Seuils!A7)*Seuils!C7+Seuils!D7,IF(E19&gt;Seuils!A7,(E19-Seuils!A7)*Seuils!C7+Seuils!D7,E19*Seuils!C6))))))</f>
        <v>5670</v>
      </c>
      <c r="E29" s="150">
        <f>IF(AND(B4=2,E19&lt;Seuils!J6*2),Données!E19*Seuils!K6,IF(AND(B4=2,E19&gt;Seuils!I8*2),(Seuils!L30-Seuils!I7)*Seuils!K7+Seuils!L7+Seuils!L30*Seuils!K6,IF(AND(B4=2,E19&gt;Seuils!I7*2),(Seuils!L30-Seuils!I7)*Seuils!K7+Seuils!L7+Seuils!L30*Seuils!K6,IF(E19&gt;Seuils!I9,(E19-D36-Seuils!I9)*Seuils!K9+Seuils!L9,IF(E19&gt;Seuils!I8,(E19-D36-Seuils!I8)*Seuils!K8+Seuils!L8,IF(E19&gt;Seuils!E33,(E19-D36-Seuils!I7)*Seuils!K7+Seuils!L7,IF(E19&gt;Seuils!I7,(E19-Seuils!I7)*Seuils!K7+Seuils!L7,E19*Seuils!K6)))))))</f>
        <v>5670</v>
      </c>
    </row>
    <row r="30" spans="1:5" ht="14.4" customHeight="1" x14ac:dyDescent="0.3">
      <c r="A30" s="146" t="s">
        <v>58</v>
      </c>
      <c r="B30" s="128">
        <f>B27*15%</f>
        <v>3021.4982100000002</v>
      </c>
      <c r="C30" s="129">
        <f>(C23+C24)*Seuils!K6+C26*20%</f>
        <v>3136.7285752000003</v>
      </c>
      <c r="D30" s="148">
        <f>D27*15%</f>
        <v>3232.1849999999999</v>
      </c>
      <c r="E30" s="129">
        <f>(E23+E24)*Seuils!K6+E26*20%</f>
        <v>3399.8687500000001</v>
      </c>
    </row>
    <row r="31" spans="1:5" ht="14.4" customHeight="1" x14ac:dyDescent="0.3">
      <c r="A31" s="146" t="s">
        <v>59</v>
      </c>
      <c r="B31" s="128">
        <f>IF(B29&gt;B30,(B29-B30)*16.5%,0)</f>
        <v>0</v>
      </c>
      <c r="C31" s="129"/>
      <c r="D31" s="148">
        <f>IF(D29&gt;D30,(D29-D30)*16.5%,0)</f>
        <v>402.23947500000003</v>
      </c>
      <c r="E31" s="129"/>
    </row>
    <row r="32" spans="1:5" ht="14.4" customHeight="1" x14ac:dyDescent="0.3">
      <c r="A32" s="146" t="s">
        <v>39</v>
      </c>
      <c r="B32" s="128"/>
      <c r="C32" s="129">
        <f>Seuils!K38</f>
        <v>0</v>
      </c>
      <c r="D32" s="148"/>
      <c r="E32" s="129">
        <f>Seuils!L38</f>
        <v>150</v>
      </c>
    </row>
    <row r="33" spans="1:7" ht="14.4" customHeight="1" x14ac:dyDescent="0.3">
      <c r="A33" s="146" t="s">
        <v>21</v>
      </c>
      <c r="B33" s="128"/>
      <c r="C33" s="129">
        <f>Seuils!K28</f>
        <v>427.57147600000025</v>
      </c>
      <c r="D33" s="148"/>
      <c r="E33" s="129">
        <f>Seuils!L28</f>
        <v>641.5</v>
      </c>
    </row>
    <row r="34" spans="1:7" ht="14.4" customHeight="1" thickBot="1" x14ac:dyDescent="0.35">
      <c r="A34" s="146" t="s">
        <v>60</v>
      </c>
      <c r="B34" s="130"/>
      <c r="C34" s="131">
        <f>Seuils!D38</f>
        <v>0</v>
      </c>
      <c r="D34" s="151"/>
      <c r="E34" s="131">
        <f>Seuils!E38</f>
        <v>0</v>
      </c>
    </row>
    <row r="35" spans="1:7" ht="14.4" customHeight="1" thickBot="1" x14ac:dyDescent="0.35">
      <c r="A35" s="132" t="s">
        <v>61</v>
      </c>
      <c r="B35" s="133">
        <f>IF(B30&gt;B29-B31+B32+B33+B34,0,B29+B32+B33+B34-B30-B31)</f>
        <v>0</v>
      </c>
      <c r="C35" s="134">
        <f>IF(C30&gt;C29,C32+C33+C34,C29+C32+C33+C34-C30)</f>
        <v>427.57147600000025</v>
      </c>
      <c r="D35" s="152">
        <f>IF(D30&gt;D29-D31+D32+D33+D34,0,D29-D31+D32+D33+D34-D30)</f>
        <v>2035.5755249999997</v>
      </c>
      <c r="E35" s="134">
        <f>IF(E30&gt;E29,E32+E33+E34,E29+E32+E33+E34-E30)</f>
        <v>3061.6312499999999</v>
      </c>
    </row>
    <row r="36" spans="1:7" ht="14.4" customHeight="1" x14ac:dyDescent="0.3">
      <c r="A36" s="153" t="s">
        <v>62</v>
      </c>
      <c r="B36" s="154"/>
      <c r="C36" s="154"/>
      <c r="D36" s="154"/>
      <c r="E36" s="154">
        <f>E35+D35-(B35+C35)</f>
        <v>4669.6352989999996</v>
      </c>
      <c r="F36" s="79">
        <f>E36/$D$11</f>
        <v>0.24587289847815427</v>
      </c>
    </row>
    <row r="37" spans="1:7" ht="6" customHeight="1" x14ac:dyDescent="0.3">
      <c r="A37" s="155"/>
      <c r="B37" s="155"/>
      <c r="C37" s="155"/>
      <c r="D37" s="155"/>
      <c r="E37" s="155"/>
    </row>
    <row r="38" spans="1:7" ht="14.4" customHeight="1" x14ac:dyDescent="0.3">
      <c r="A38" s="140" t="s">
        <v>63</v>
      </c>
      <c r="B38" s="155"/>
      <c r="C38" s="155"/>
      <c r="D38" s="155"/>
      <c r="E38" s="139" t="s">
        <v>98</v>
      </c>
    </row>
    <row r="39" spans="1:7" ht="14.4" customHeight="1" x14ac:dyDescent="0.3">
      <c r="A39" s="138" t="s">
        <v>64</v>
      </c>
      <c r="B39" s="122">
        <f>C19-B35-C35</f>
        <v>18380.358523999999</v>
      </c>
      <c r="C39" s="122"/>
      <c r="D39" s="122">
        <f>E19-D35-E35-D36</f>
        <v>32702.793225000001</v>
      </c>
      <c r="E39" s="122">
        <f>D39-B39</f>
        <v>14322.434701000002</v>
      </c>
      <c r="F39" s="191"/>
    </row>
    <row r="40" spans="1:7" ht="14.4" customHeight="1" x14ac:dyDescent="0.3">
      <c r="A40" s="138" t="s">
        <v>96</v>
      </c>
      <c r="B40" s="122">
        <f>B16+C16</f>
        <v>3264.6900000000005</v>
      </c>
      <c r="C40" s="122"/>
      <c r="D40" s="122">
        <f>D16+E16</f>
        <v>0</v>
      </c>
      <c r="E40" s="122">
        <f t="shared" ref="E40:E43" si="1">D40-B40</f>
        <v>-3264.6900000000005</v>
      </c>
      <c r="F40" s="191">
        <f>-E40/$D$11</f>
        <v>0.1718975340760644</v>
      </c>
    </row>
    <row r="41" spans="1:7" ht="14.4" customHeight="1" x14ac:dyDescent="0.3">
      <c r="A41" s="138" t="s">
        <v>145</v>
      </c>
      <c r="B41" s="122">
        <f>Seuils!D55</f>
        <v>443</v>
      </c>
      <c r="C41" s="122"/>
      <c r="D41" s="122">
        <f>Seuils!E55</f>
        <v>442.45</v>
      </c>
      <c r="E41" s="122">
        <f t="shared" si="1"/>
        <v>-0.55000000000001137</v>
      </c>
      <c r="F41" s="191">
        <f>-E41/$D$11</f>
        <v>2.8959455183137562E-5</v>
      </c>
    </row>
    <row r="42" spans="1:7" ht="14.4" customHeight="1" x14ac:dyDescent="0.3">
      <c r="A42" s="138" t="s">
        <v>146</v>
      </c>
      <c r="B42" s="122">
        <f>Seuils!J55</f>
        <v>998</v>
      </c>
      <c r="C42" s="122"/>
      <c r="D42" s="122">
        <f>Seuils!K55</f>
        <v>818</v>
      </c>
      <c r="E42" s="122">
        <f t="shared" si="1"/>
        <v>-180</v>
      </c>
      <c r="F42" s="191">
        <f>-E42/$D$11</f>
        <v>9.4776398781175521E-3</v>
      </c>
    </row>
    <row r="43" spans="1:7" ht="14.4" customHeight="1" x14ac:dyDescent="0.3">
      <c r="A43" s="138" t="s">
        <v>65</v>
      </c>
      <c r="B43" s="122">
        <f>SUM(B39:B42)</f>
        <v>23086.048523999998</v>
      </c>
      <c r="C43" s="122"/>
      <c r="D43" s="156">
        <f>SUM(D39:D42)</f>
        <v>33963.243224999998</v>
      </c>
      <c r="E43" s="157">
        <f t="shared" si="1"/>
        <v>10877.194701</v>
      </c>
      <c r="F43" s="191">
        <f>SUM(F36:F42)</f>
        <v>0.42727703188751937</v>
      </c>
      <c r="G43" s="79"/>
    </row>
    <row r="44" spans="1:7" ht="14.4" hidden="1" customHeight="1" x14ac:dyDescent="0.3">
      <c r="A44" s="138"/>
      <c r="B44" s="158"/>
      <c r="C44" s="139"/>
      <c r="D44" s="139"/>
      <c r="E44" s="158"/>
      <c r="F44" s="75"/>
    </row>
    <row r="45" spans="1:7" ht="14.4" hidden="1" customHeight="1" x14ac:dyDescent="0.3">
      <c r="A45" s="138" t="s">
        <v>66</v>
      </c>
      <c r="B45" s="156">
        <f>D43</f>
        <v>33963.243224999998</v>
      </c>
      <c r="C45" s="138" t="s">
        <v>67</v>
      </c>
      <c r="D45" s="139"/>
      <c r="E45" s="155"/>
    </row>
    <row r="46" spans="1:7" ht="14.4" customHeight="1" x14ac:dyDescent="0.3">
      <c r="A46" s="138" t="s">
        <v>102</v>
      </c>
      <c r="B46" s="157">
        <f>B45-B43</f>
        <v>10877.194701</v>
      </c>
      <c r="C46" s="159">
        <f>1-B46/D46</f>
        <v>0.42727703188751931</v>
      </c>
      <c r="D46" s="157">
        <f>D17+E17</f>
        <v>18992.07</v>
      </c>
      <c r="E46" s="155"/>
    </row>
    <row r="47" spans="1:7" ht="14.4" customHeight="1" x14ac:dyDescent="0.3">
      <c r="A47" s="155"/>
      <c r="B47" s="155"/>
      <c r="C47" s="155"/>
      <c r="D47" s="155"/>
      <c r="E47" s="155"/>
    </row>
    <row r="48" spans="1:7" ht="14.4" customHeight="1" x14ac:dyDescent="0.3">
      <c r="A48" s="138" t="s">
        <v>151</v>
      </c>
      <c r="B48" s="155"/>
      <c r="C48" s="155"/>
      <c r="D48" s="155"/>
      <c r="E48" s="155"/>
    </row>
    <row r="49" spans="1:5" ht="14.4" customHeight="1" x14ac:dyDescent="0.3">
      <c r="A49" s="138" t="s">
        <v>154</v>
      </c>
      <c r="B49" s="122">
        <f>B43</f>
        <v>23086.048523999998</v>
      </c>
      <c r="C49" s="139"/>
      <c r="D49" s="122">
        <f>D43</f>
        <v>33963.243224999998</v>
      </c>
      <c r="E49" s="155"/>
    </row>
    <row r="50" spans="1:5" ht="14.4" customHeight="1" x14ac:dyDescent="0.3">
      <c r="A50" s="138" t="s">
        <v>152</v>
      </c>
      <c r="B50" s="139">
        <f>Seuils!J56</f>
        <v>200</v>
      </c>
      <c r="C50" s="139"/>
      <c r="D50" s="139">
        <f>Seuils!K56</f>
        <v>0</v>
      </c>
      <c r="E50" s="155"/>
    </row>
    <row r="51" spans="1:5" ht="14.4" customHeight="1" x14ac:dyDescent="0.3">
      <c r="A51" s="138" t="s">
        <v>151</v>
      </c>
      <c r="B51" s="122">
        <f>B49+B50</f>
        <v>23286.048523999998</v>
      </c>
      <c r="C51" s="139"/>
      <c r="D51" s="122">
        <f>D49+D50</f>
        <v>33963.243224999998</v>
      </c>
      <c r="E51" s="155"/>
    </row>
    <row r="52" spans="1:5" ht="14.4" customHeight="1" x14ac:dyDescent="0.3">
      <c r="A52" s="155"/>
      <c r="B52" s="139"/>
      <c r="C52" s="139"/>
      <c r="D52" s="139"/>
      <c r="E52" s="155"/>
    </row>
    <row r="53" spans="1:5" ht="14.4" customHeight="1" x14ac:dyDescent="0.3">
      <c r="A53" s="138" t="s">
        <v>153</v>
      </c>
      <c r="B53" s="122">
        <f>D51-B51</f>
        <v>10677.194701</v>
      </c>
      <c r="C53" s="159">
        <f>1-B53/D53</f>
        <v>0.43780774286320556</v>
      </c>
      <c r="D53" s="122">
        <f>D46</f>
        <v>18992.07</v>
      </c>
      <c r="E53" s="155"/>
    </row>
    <row r="54" spans="1:5" ht="14.4" customHeight="1" x14ac:dyDescent="0.3">
      <c r="A54" s="155"/>
      <c r="B54" s="155"/>
      <c r="C54" s="155"/>
      <c r="D54" s="155"/>
      <c r="E54" s="155"/>
    </row>
    <row r="55" spans="1:5" ht="14.4" customHeight="1" thickBot="1" x14ac:dyDescent="0.35">
      <c r="A55" s="155"/>
      <c r="B55" s="155"/>
      <c r="C55" s="155"/>
      <c r="D55" s="155"/>
      <c r="E55" s="155"/>
    </row>
    <row r="56" spans="1:5" ht="14.4" customHeight="1" thickBot="1" x14ac:dyDescent="0.35">
      <c r="A56" s="160" t="s">
        <v>68</v>
      </c>
      <c r="B56" s="161" t="s">
        <v>69</v>
      </c>
      <c r="C56" s="162"/>
      <c r="D56" s="163" t="s">
        <v>48</v>
      </c>
      <c r="E56" s="155"/>
    </row>
    <row r="57" spans="1:5" ht="14.4" customHeight="1" x14ac:dyDescent="0.3">
      <c r="A57" s="164" t="s">
        <v>103</v>
      </c>
      <c r="B57" s="165">
        <f>D57</f>
        <v>0.371</v>
      </c>
      <c r="C57" s="166"/>
      <c r="D57" s="111">
        <f>IF(B6&gt;Seuils!A9,Seuils!E9+Seuils!K9,IF(B6&gt;Seuils!I9,Seuils!E8+Seuils!K9,IF(B6&gt;Seuils!A8,Seuils!E8+Seuils!K8,IF(AND(D6&gt;Seuils!J52/90%,B6&gt;Seuils!A7),37.1%,IF(AND(B4=2,D6&gt;Seuils!J52/90%,B6&lt;Seuils!I7),28.5%,IF(AND(B4=2,D6&gt;Seuils!J52/90%,B6&lt;Seuils!A7),Seuils!K7+Seuils!E6+1%,IF(AND(B4=2,D6&gt;Seuils!D52/90%,B6&lt;Seuils!A7),35%,IF(AND(B4=2,D6&lt;27000),35%,IF(AND(B4=2,D6&lt;32500),45%,IF(AND(B4=2,D6&lt;36000),38%,IF(AND(B4=2,D6&lt;41500),52%,IF(AND(B4=2,D6&lt;47000),45%,IF(AND(B4=1,B6&gt;Seuils!J52/90%),Seuils!E7+Seuils!K7,IF(AND(B4=1,B6&gt;Seuils!D52/90%),44%,IF(AND(B4=1,B6&gt;41500),46%,IF(AND(B4=1,B6&gt;Seuils!D51/90%),42.5%,IF(AND(B4=1,B6&gt;Seuils!J51/90%),38.4%,IF(AND(B4=1,B6&lt;Seuils!D12+Seuils!D19),30%,IF(AND(B4=1,B6&lt;16500),44%,IF(AND(B4=1,B6&lt;20131),58%,IF(AND(B4=1,B6&lt;20131/90%),54%,IF(AND(B4=1,B6&lt;22500),50%,IF(AND(B4=1,B6&lt;22660/90%),42%,IF(AND(B4=1,B6&lt;Seuils!J16/90%),29.5%,IF(AND(B4=2,D6&gt;Seuils!J51),39.4%,28.5%+10%)))))))))))))))))))))))))</f>
        <v>0.371</v>
      </c>
      <c r="E57" s="155"/>
    </row>
    <row r="58" spans="1:5" ht="14.4" customHeight="1" x14ac:dyDescent="0.3">
      <c r="A58" s="167" t="s">
        <v>70</v>
      </c>
      <c r="B58" s="168">
        <f>B60</f>
        <v>6127.5358477860791</v>
      </c>
      <c r="C58" s="166"/>
      <c r="D58" s="169">
        <f>+D60/(1-D57)</f>
        <v>9741.7104098347845</v>
      </c>
      <c r="E58" s="155"/>
    </row>
    <row r="59" spans="1:5" ht="14.4" customHeight="1" x14ac:dyDescent="0.3">
      <c r="A59" s="167" t="s">
        <v>97</v>
      </c>
      <c r="B59" s="170"/>
      <c r="C59" s="166"/>
      <c r="D59" s="169">
        <f>+D58*D57</f>
        <v>3614.174562048705</v>
      </c>
      <c r="E59" s="155"/>
    </row>
    <row r="60" spans="1:5" ht="14.4" customHeight="1" x14ac:dyDescent="0.3">
      <c r="A60" s="167" t="s">
        <v>71</v>
      </c>
      <c r="B60" s="171">
        <f>PMT(D62,D61,,-Seuils!I88)</f>
        <v>6127.5358477860791</v>
      </c>
      <c r="C60" s="166"/>
      <c r="D60" s="172">
        <f>B60</f>
        <v>6127.5358477860791</v>
      </c>
      <c r="E60" s="155"/>
    </row>
    <row r="61" spans="1:5" ht="14.4" customHeight="1" x14ac:dyDescent="0.3">
      <c r="A61" s="167" t="s">
        <v>99</v>
      </c>
      <c r="B61" s="108">
        <v>20</v>
      </c>
      <c r="C61" s="173"/>
      <c r="D61" s="174">
        <f>B61</f>
        <v>20</v>
      </c>
      <c r="E61" s="155"/>
    </row>
    <row r="62" spans="1:5" ht="14.4" customHeight="1" x14ac:dyDescent="0.3">
      <c r="A62" s="175" t="s">
        <v>100</v>
      </c>
      <c r="B62" s="109">
        <v>0.05</v>
      </c>
      <c r="C62" s="173"/>
      <c r="D62" s="176">
        <f>B62</f>
        <v>0.05</v>
      </c>
      <c r="E62" s="155"/>
    </row>
    <row r="63" spans="1:5" ht="14.4" customHeight="1" thickBot="1" x14ac:dyDescent="0.35">
      <c r="A63" s="177" t="s">
        <v>72</v>
      </c>
      <c r="B63" s="136">
        <f>FV(B62,B61,-B58)</f>
        <v>202612.81910669792</v>
      </c>
      <c r="C63" s="178"/>
      <c r="D63" s="179">
        <f>FV(D62,D61,-D58)</f>
        <v>322118.94929522724</v>
      </c>
      <c r="E63" s="155"/>
    </row>
    <row r="64" spans="1:5" ht="15.6" customHeight="1" x14ac:dyDescent="0.3">
      <c r="A64" s="155"/>
      <c r="B64" s="155"/>
      <c r="C64" s="155"/>
      <c r="D64" s="155"/>
      <c r="E64" s="155"/>
    </row>
    <row r="65" spans="1:9" ht="16.8" customHeight="1" x14ac:dyDescent="0.3">
      <c r="A65" s="155"/>
      <c r="B65" s="155"/>
      <c r="C65" s="155"/>
      <c r="D65" s="155"/>
      <c r="E65" s="155"/>
    </row>
    <row r="66" spans="1:9" ht="14.4" customHeight="1" x14ac:dyDescent="0.3">
      <c r="A66" s="140" t="s">
        <v>73</v>
      </c>
      <c r="B66" s="123">
        <f>B63</f>
        <v>202612.81910669792</v>
      </c>
      <c r="C66" s="139"/>
      <c r="D66" s="123">
        <f>D63</f>
        <v>322118.94929522724</v>
      </c>
      <c r="E66" s="155"/>
    </row>
    <row r="67" spans="1:9" ht="14.4" customHeight="1" x14ac:dyDescent="0.3">
      <c r="A67" s="138" t="s">
        <v>101</v>
      </c>
      <c r="B67" s="110">
        <v>2.9364999999999999E-2</v>
      </c>
      <c r="C67" s="139"/>
      <c r="D67" s="180">
        <f>B67</f>
        <v>2.9364999999999999E-2</v>
      </c>
      <c r="E67" s="155"/>
    </row>
    <row r="68" spans="1:9" ht="14.4" customHeight="1" x14ac:dyDescent="0.3">
      <c r="A68" s="139" t="s">
        <v>75</v>
      </c>
      <c r="B68" s="181">
        <f>Seuils!I87</f>
        <v>10714.231738037037</v>
      </c>
      <c r="C68" s="182" t="s">
        <v>116</v>
      </c>
      <c r="D68" s="181">
        <f>D17+E17</f>
        <v>18992.07</v>
      </c>
      <c r="E68" s="182" t="s">
        <v>116</v>
      </c>
    </row>
    <row r="69" spans="1:9" ht="14.4" customHeight="1" x14ac:dyDescent="0.3">
      <c r="A69" s="138" t="s">
        <v>74</v>
      </c>
      <c r="B69" s="183">
        <f>NPER(B67,B68,-B66,,1)</f>
        <v>26.790554494832225</v>
      </c>
      <c r="C69" s="184">
        <f>64+B69</f>
        <v>90.790554494832222</v>
      </c>
      <c r="D69" s="183">
        <f>NPER(D67,D68,-D66,,1)</f>
        <v>22.850601112861078</v>
      </c>
      <c r="E69" s="184">
        <f>64+D69</f>
        <v>86.850601112861085</v>
      </c>
      <c r="G69" s="192" t="s">
        <v>77</v>
      </c>
      <c r="H69" s="192" t="s">
        <v>69</v>
      </c>
      <c r="I69" s="192" t="s">
        <v>51</v>
      </c>
    </row>
    <row r="70" spans="1:9" ht="15" hidden="1" customHeight="1" x14ac:dyDescent="0.3">
      <c r="A70" s="138" t="s">
        <v>76</v>
      </c>
      <c r="B70" s="181">
        <f>C99</f>
        <v>-13379.505238790418</v>
      </c>
      <c r="C70" s="139"/>
      <c r="D70" s="181">
        <f>E99</f>
        <v>-106994.79498718282</v>
      </c>
      <c r="E70" s="155"/>
      <c r="G70" s="155"/>
      <c r="H70" s="155"/>
      <c r="I70" s="155"/>
    </row>
    <row r="71" spans="1:9" ht="15.6" x14ac:dyDescent="0.3">
      <c r="A71" s="185" t="s">
        <v>77</v>
      </c>
      <c r="B71" s="139"/>
      <c r="C71" s="186">
        <f>B63</f>
        <v>202612.81910669792</v>
      </c>
      <c r="D71" s="139"/>
      <c r="E71" s="186">
        <f>D63</f>
        <v>322118.94929522724</v>
      </c>
      <c r="F71" s="7"/>
      <c r="G71" s="155">
        <v>64</v>
      </c>
      <c r="H71" s="193">
        <f>C71</f>
        <v>202612.81910669792</v>
      </c>
      <c r="I71" s="193">
        <f>E71</f>
        <v>322118.94929522724</v>
      </c>
    </row>
    <row r="72" spans="1:9" ht="15.6" x14ac:dyDescent="0.3">
      <c r="A72" s="139">
        <v>65</v>
      </c>
      <c r="B72" s="186">
        <f t="shared" ref="B72:B101" si="2">$B$68</f>
        <v>10714.231738037037</v>
      </c>
      <c r="C72" s="187">
        <f>(C71-B72)*(1+$B$67)</f>
        <v>197533.68938674164</v>
      </c>
      <c r="D72" s="186">
        <f t="shared" ref="D72:D101" si="3">$D$68</f>
        <v>18992.07</v>
      </c>
      <c r="E72" s="187">
        <f>(E71-D72)*(1+$B$67)</f>
        <v>312028.20010573161</v>
      </c>
      <c r="F72" s="7"/>
      <c r="G72" s="155">
        <f>A72</f>
        <v>65</v>
      </c>
      <c r="H72" s="194">
        <f>C72</f>
        <v>197533.68938674164</v>
      </c>
      <c r="I72" s="194">
        <f>E72</f>
        <v>312028.20010573161</v>
      </c>
    </row>
    <row r="73" spans="1:9" ht="15.6" x14ac:dyDescent="0.3">
      <c r="A73" s="139">
        <f>A72+1</f>
        <v>66</v>
      </c>
      <c r="B73" s="186">
        <f t="shared" si="2"/>
        <v>10714.231738037037</v>
      </c>
      <c r="C73" s="187">
        <f t="shared" ref="C73:C101" si="4">(C72-B73)*(1+$B$67)</f>
        <v>192305.41102255881</v>
      </c>
      <c r="D73" s="186">
        <f t="shared" si="3"/>
        <v>18992.07</v>
      </c>
      <c r="E73" s="187">
        <f t="shared" ref="E73:E101" si="5">(E72-D73)*(1+$B$67)</f>
        <v>301641.13606628642</v>
      </c>
      <c r="F73" s="7"/>
      <c r="G73" s="155">
        <f t="shared" ref="G73:G101" si="6">A73</f>
        <v>66</v>
      </c>
      <c r="H73" s="194">
        <f t="shared" ref="H73:H101" si="7">C73</f>
        <v>192305.41102255881</v>
      </c>
      <c r="I73" s="194">
        <f t="shared" ref="I73:I101" si="8">E73</f>
        <v>301641.13606628642</v>
      </c>
    </row>
    <row r="74" spans="1:9" ht="15.6" x14ac:dyDescent="0.3">
      <c r="A74" s="139">
        <f t="shared" ref="A74:A101" si="9">A73+1</f>
        <v>67</v>
      </c>
      <c r="B74" s="186">
        <f t="shared" si="2"/>
        <v>10714.231738037037</v>
      </c>
      <c r="C74" s="187">
        <f t="shared" si="4"/>
        <v>186923.60426421178</v>
      </c>
      <c r="D74" s="186">
        <f t="shared" si="3"/>
        <v>18992.07</v>
      </c>
      <c r="E74" s="187">
        <f t="shared" si="5"/>
        <v>290949.05589132296</v>
      </c>
      <c r="F74" s="7"/>
      <c r="G74" s="155">
        <f t="shared" si="6"/>
        <v>67</v>
      </c>
      <c r="H74" s="194">
        <f t="shared" si="7"/>
        <v>186923.60426421178</v>
      </c>
      <c r="I74" s="194">
        <f t="shared" si="8"/>
        <v>290949.05589132296</v>
      </c>
    </row>
    <row r="75" spans="1:9" ht="15.6" x14ac:dyDescent="0.3">
      <c r="A75" s="139">
        <f t="shared" si="9"/>
        <v>68</v>
      </c>
      <c r="B75" s="186">
        <f t="shared" si="2"/>
        <v>10714.231738037037</v>
      </c>
      <c r="C75" s="187">
        <f t="shared" si="4"/>
        <v>181383.7607504059</v>
      </c>
      <c r="D75" s="186">
        <f t="shared" si="3"/>
        <v>18992.07</v>
      </c>
      <c r="E75" s="187">
        <f t="shared" si="5"/>
        <v>279943.00278202165</v>
      </c>
      <c r="F75" s="7"/>
      <c r="G75" s="155">
        <f t="shared" si="6"/>
        <v>68</v>
      </c>
      <c r="H75" s="194">
        <f t="shared" si="7"/>
        <v>181383.7607504059</v>
      </c>
      <c r="I75" s="194">
        <f t="shared" si="8"/>
        <v>279943.00278202165</v>
      </c>
    </row>
    <row r="76" spans="1:9" ht="15.6" x14ac:dyDescent="0.3">
      <c r="A76" s="139">
        <f t="shared" si="9"/>
        <v>69</v>
      </c>
      <c r="B76" s="186">
        <f t="shared" si="2"/>
        <v>10714.231738037037</v>
      </c>
      <c r="C76" s="187">
        <f t="shared" si="4"/>
        <v>175681.2397318171</v>
      </c>
      <c r="D76" s="186">
        <f t="shared" si="3"/>
        <v>18992.07</v>
      </c>
      <c r="E76" s="187">
        <f t="shared" si="5"/>
        <v>268613.75692316575</v>
      </c>
      <c r="F76" s="7"/>
      <c r="G76" s="155">
        <f t="shared" si="6"/>
        <v>69</v>
      </c>
      <c r="H76" s="194">
        <f t="shared" si="7"/>
        <v>175681.2397318171</v>
      </c>
      <c r="I76" s="194">
        <f t="shared" si="8"/>
        <v>268613.75692316575</v>
      </c>
    </row>
    <row r="77" spans="1:9" ht="15.6" x14ac:dyDescent="0.3">
      <c r="A77" s="139">
        <f t="shared" si="9"/>
        <v>70</v>
      </c>
      <c r="B77" s="186">
        <f t="shared" si="2"/>
        <v>10714.231738037037</v>
      </c>
      <c r="C77" s="187">
        <f t="shared" si="4"/>
        <v>169811.26418351743</v>
      </c>
      <c r="D77" s="186">
        <f t="shared" si="3"/>
        <v>18992.07</v>
      </c>
      <c r="E77" s="187">
        <f t="shared" si="5"/>
        <v>256951.82775966453</v>
      </c>
      <c r="F77" s="7"/>
      <c r="G77" s="155">
        <f t="shared" si="6"/>
        <v>70</v>
      </c>
      <c r="H77" s="194">
        <f t="shared" si="7"/>
        <v>169811.26418351743</v>
      </c>
      <c r="I77" s="194">
        <f t="shared" si="8"/>
        <v>256951.82775966453</v>
      </c>
    </row>
    <row r="78" spans="1:9" ht="15.6" x14ac:dyDescent="0.3">
      <c r="A78" s="139">
        <f t="shared" si="9"/>
        <v>71</v>
      </c>
      <c r="B78" s="186">
        <f t="shared" si="2"/>
        <v>10714.231738037037</v>
      </c>
      <c r="C78" s="187">
        <f t="shared" si="4"/>
        <v>163768.91680324194</v>
      </c>
      <c r="D78" s="186">
        <f t="shared" si="3"/>
        <v>18992.07</v>
      </c>
      <c r="E78" s="187">
        <f t="shared" si="5"/>
        <v>244947.44604627709</v>
      </c>
      <c r="F78" s="7"/>
      <c r="G78" s="155">
        <f t="shared" si="6"/>
        <v>71</v>
      </c>
      <c r="H78" s="194">
        <f t="shared" si="7"/>
        <v>163768.91680324194</v>
      </c>
      <c r="I78" s="194">
        <f t="shared" si="8"/>
        <v>244947.44604627709</v>
      </c>
    </row>
    <row r="79" spans="1:9" ht="15.6" x14ac:dyDescent="0.3">
      <c r="A79" s="139">
        <f t="shared" si="9"/>
        <v>72</v>
      </c>
      <c r="B79" s="186">
        <f t="shared" si="2"/>
        <v>10714.231738037037</v>
      </c>
      <c r="C79" s="187">
        <f t="shared" si="4"/>
        <v>157549.13589214467</v>
      </c>
      <c r="D79" s="186">
        <f t="shared" si="3"/>
        <v>18992.07</v>
      </c>
      <c r="E79" s="187">
        <f t="shared" si="5"/>
        <v>232590.55566387603</v>
      </c>
      <c r="F79" s="7"/>
      <c r="G79" s="155">
        <f t="shared" si="6"/>
        <v>72</v>
      </c>
      <c r="H79" s="194">
        <f t="shared" si="7"/>
        <v>157549.13589214467</v>
      </c>
      <c r="I79" s="194">
        <f t="shared" si="8"/>
        <v>232590.55566387603</v>
      </c>
    </row>
    <row r="80" spans="1:9" ht="15.6" x14ac:dyDescent="0.3">
      <c r="A80" s="139">
        <f t="shared" si="9"/>
        <v>73</v>
      </c>
      <c r="B80" s="186">
        <f t="shared" si="2"/>
        <v>10714.231738037037</v>
      </c>
      <c r="C80" s="187">
        <f t="shared" si="4"/>
        <v>151146.711114593</v>
      </c>
      <c r="D80" s="186">
        <f t="shared" si="3"/>
        <v>18992.07</v>
      </c>
      <c r="E80" s="187">
        <f t="shared" si="5"/>
        <v>219870.80519539578</v>
      </c>
      <c r="F80" s="7"/>
      <c r="G80" s="155">
        <f t="shared" si="6"/>
        <v>73</v>
      </c>
      <c r="H80" s="194">
        <f t="shared" si="7"/>
        <v>151146.711114593</v>
      </c>
      <c r="I80" s="194">
        <f t="shared" si="8"/>
        <v>219870.80519539578</v>
      </c>
    </row>
    <row r="81" spans="1:9" ht="15.6" x14ac:dyDescent="0.3">
      <c r="A81" s="139">
        <f t="shared" si="9"/>
        <v>74</v>
      </c>
      <c r="B81" s="186">
        <f t="shared" si="2"/>
        <v>10714.231738037037</v>
      </c>
      <c r="C81" s="187">
        <f t="shared" si="4"/>
        <v>144556.27913344852</v>
      </c>
      <c r="D81" s="186">
        <f t="shared" si="3"/>
        <v>18992.07</v>
      </c>
      <c r="E81" s="187">
        <f t="shared" si="5"/>
        <v>206777.53925440859</v>
      </c>
      <c r="F81" s="7"/>
      <c r="G81" s="155">
        <f t="shared" si="6"/>
        <v>74</v>
      </c>
      <c r="H81" s="194">
        <f t="shared" si="7"/>
        <v>144556.27913344852</v>
      </c>
      <c r="I81" s="194">
        <f t="shared" si="8"/>
        <v>206777.53925440859</v>
      </c>
    </row>
    <row r="82" spans="1:9" ht="15.6" x14ac:dyDescent="0.3">
      <c r="A82" s="139">
        <f t="shared" si="9"/>
        <v>75</v>
      </c>
      <c r="B82" s="186">
        <f t="shared" si="2"/>
        <v>10714.231738037037</v>
      </c>
      <c r="C82" s="187">
        <f t="shared" si="4"/>
        <v>137772.31911717774</v>
      </c>
      <c r="D82" s="186">
        <f t="shared" si="3"/>
        <v>18992.07</v>
      </c>
      <c r="E82" s="187">
        <f t="shared" si="5"/>
        <v>193299.78955906432</v>
      </c>
      <c r="F82" s="7"/>
      <c r="G82" s="155">
        <f t="shared" si="6"/>
        <v>75</v>
      </c>
      <c r="H82" s="194">
        <f t="shared" si="7"/>
        <v>137772.31911717774</v>
      </c>
      <c r="I82" s="194">
        <f t="shared" si="8"/>
        <v>193299.78955906432</v>
      </c>
    </row>
    <row r="83" spans="1:9" ht="15.6" x14ac:dyDescent="0.3">
      <c r="A83" s="139">
        <f t="shared" si="9"/>
        <v>76</v>
      </c>
      <c r="B83" s="186">
        <f t="shared" si="2"/>
        <v>10714.231738037037</v>
      </c>
      <c r="C83" s="187">
        <f t="shared" si="4"/>
        <v>130789.14811502918</v>
      </c>
      <c r="D83" s="186">
        <f t="shared" si="3"/>
        <v>18992.07</v>
      </c>
      <c r="E83" s="187">
        <f t="shared" si="5"/>
        <v>179426.26574391624</v>
      </c>
      <c r="F83" s="7"/>
      <c r="G83" s="155">
        <f t="shared" si="6"/>
        <v>76</v>
      </c>
      <c r="H83" s="194">
        <f t="shared" si="7"/>
        <v>130789.14811502918</v>
      </c>
      <c r="I83" s="194">
        <f t="shared" si="8"/>
        <v>179426.26574391624</v>
      </c>
    </row>
    <row r="84" spans="1:9" ht="15.6" x14ac:dyDescent="0.3">
      <c r="A84" s="139">
        <f t="shared" si="9"/>
        <v>77</v>
      </c>
      <c r="B84" s="186">
        <f t="shared" si="2"/>
        <v>10714.231738037037</v>
      </c>
      <c r="C84" s="187">
        <f t="shared" si="4"/>
        <v>123600.91629640253</v>
      </c>
      <c r="D84" s="186">
        <f t="shared" si="3"/>
        <v>18992.07</v>
      </c>
      <c r="E84" s="187">
        <f t="shared" si="5"/>
        <v>165145.34590193635</v>
      </c>
      <c r="F84" s="7"/>
      <c r="G84" s="155">
        <f t="shared" si="6"/>
        <v>77</v>
      </c>
      <c r="H84" s="194">
        <f t="shared" si="7"/>
        <v>123600.91629640253</v>
      </c>
      <c r="I84" s="194">
        <f t="shared" si="8"/>
        <v>165145.34590193635</v>
      </c>
    </row>
    <row r="85" spans="1:9" ht="15.6" x14ac:dyDescent="0.3">
      <c r="A85" s="139">
        <f t="shared" si="9"/>
        <v>78</v>
      </c>
      <c r="B85" s="186">
        <f t="shared" si="2"/>
        <v>10714.231738037037</v>
      </c>
      <c r="C85" s="187">
        <f t="shared" si="4"/>
        <v>116201.60205042191</v>
      </c>
      <c r="D85" s="186">
        <f t="shared" si="3"/>
        <v>18992.07</v>
      </c>
      <c r="E85" s="187">
        <f t="shared" si="5"/>
        <v>150445.06684879671</v>
      </c>
      <c r="F85" s="7"/>
      <c r="G85" s="155">
        <f t="shared" si="6"/>
        <v>78</v>
      </c>
      <c r="H85" s="194">
        <f t="shared" si="7"/>
        <v>116201.60205042191</v>
      </c>
      <c r="I85" s="194">
        <f t="shared" si="8"/>
        <v>150445.06684879671</v>
      </c>
    </row>
    <row r="86" spans="1:9" ht="15.6" x14ac:dyDescent="0.3">
      <c r="A86" s="139">
        <f t="shared" si="9"/>
        <v>79</v>
      </c>
      <c r="B86" s="186">
        <f t="shared" si="2"/>
        <v>10714.231738037037</v>
      </c>
      <c r="C86" s="187">
        <f t="shared" si="4"/>
        <v>108585.00694160807</v>
      </c>
      <c r="D86" s="186">
        <f t="shared" si="3"/>
        <v>18992.07</v>
      </c>
      <c r="E86" s="187">
        <f t="shared" si="5"/>
        <v>135313.11410126163</v>
      </c>
      <c r="F86" s="7"/>
      <c r="G86" s="155">
        <f t="shared" si="6"/>
        <v>79</v>
      </c>
      <c r="H86" s="194">
        <f t="shared" si="7"/>
        <v>108585.00694160807</v>
      </c>
      <c r="I86" s="194">
        <f t="shared" si="8"/>
        <v>135313.11410126163</v>
      </c>
    </row>
    <row r="87" spans="1:9" ht="15.6" x14ac:dyDescent="0.3">
      <c r="A87" s="139">
        <f t="shared" si="9"/>
        <v>80</v>
      </c>
      <c r="B87" s="186">
        <f t="shared" si="2"/>
        <v>10714.231738037037</v>
      </c>
      <c r="C87" s="187">
        <f t="shared" si="4"/>
        <v>100744.7505174239</v>
      </c>
      <c r="D87" s="186">
        <f t="shared" si="3"/>
        <v>18992.07</v>
      </c>
      <c r="E87" s="187">
        <f t="shared" si="5"/>
        <v>119736.81156129518</v>
      </c>
      <c r="F87" s="7"/>
      <c r="G87" s="155">
        <f t="shared" si="6"/>
        <v>80</v>
      </c>
      <c r="H87" s="194">
        <f t="shared" si="7"/>
        <v>100744.7505174239</v>
      </c>
      <c r="I87" s="194">
        <f t="shared" si="8"/>
        <v>119736.81156129518</v>
      </c>
    </row>
    <row r="88" spans="1:9" ht="15.6" x14ac:dyDescent="0.3">
      <c r="A88" s="139">
        <f t="shared" si="9"/>
        <v>81</v>
      </c>
      <c r="B88" s="186">
        <f t="shared" si="2"/>
        <v>10714.231738037037</v>
      </c>
      <c r="C88" s="187">
        <f t="shared" si="4"/>
        <v>92674.264963343565</v>
      </c>
      <c r="D88" s="186">
        <f t="shared" si="3"/>
        <v>18992.07</v>
      </c>
      <c r="E88" s="187">
        <f t="shared" si="5"/>
        <v>103703.11089724262</v>
      </c>
      <c r="F88" s="7"/>
      <c r="G88" s="155">
        <f t="shared" si="6"/>
        <v>81</v>
      </c>
      <c r="H88" s="194">
        <f t="shared" si="7"/>
        <v>92674.264963343565</v>
      </c>
      <c r="I88" s="194">
        <f t="shared" si="8"/>
        <v>103703.11089724262</v>
      </c>
    </row>
    <row r="89" spans="1:9" ht="15.6" x14ac:dyDescent="0.3">
      <c r="A89" s="139">
        <f t="shared" si="9"/>
        <v>82</v>
      </c>
      <c r="B89" s="186">
        <f t="shared" si="2"/>
        <v>10714.231738037037</v>
      </c>
      <c r="C89" s="187">
        <f t="shared" si="4"/>
        <v>84366.789600967662</v>
      </c>
      <c r="D89" s="186">
        <f t="shared" si="3"/>
        <v>18992.07</v>
      </c>
      <c r="E89" s="187">
        <f t="shared" si="5"/>
        <v>87198.580613190148</v>
      </c>
      <c r="F89" s="7"/>
      <c r="G89" s="155">
        <f t="shared" si="6"/>
        <v>82</v>
      </c>
      <c r="H89" s="194">
        <f t="shared" si="7"/>
        <v>84366.789600967662</v>
      </c>
      <c r="I89" s="194">
        <f t="shared" si="8"/>
        <v>87198.580613190148</v>
      </c>
    </row>
    <row r="90" spans="1:9" ht="15.6" x14ac:dyDescent="0.3">
      <c r="A90" s="139">
        <f t="shared" si="9"/>
        <v>83</v>
      </c>
      <c r="B90" s="186">
        <f t="shared" si="2"/>
        <v>10714.231738037037</v>
      </c>
      <c r="C90" s="187">
        <f t="shared" si="4"/>
        <v>75815.365224575595</v>
      </c>
      <c r="D90" s="186">
        <f t="shared" si="3"/>
        <v>18992.07</v>
      </c>
      <c r="E90" s="187">
        <f t="shared" si="5"/>
        <v>70209.394797346496</v>
      </c>
      <c r="F90" s="7"/>
      <c r="G90" s="155">
        <f t="shared" si="6"/>
        <v>83</v>
      </c>
      <c r="H90" s="194">
        <f t="shared" si="7"/>
        <v>75815.365224575595</v>
      </c>
      <c r="I90" s="194">
        <f t="shared" si="8"/>
        <v>70209.394797346496</v>
      </c>
    </row>
    <row r="91" spans="1:9" ht="15.6" x14ac:dyDescent="0.3">
      <c r="A91" s="139">
        <f t="shared" si="9"/>
        <v>84</v>
      </c>
      <c r="B91" s="186">
        <f t="shared" si="2"/>
        <v>10714.231738037037</v>
      </c>
      <c r="C91" s="187">
        <f t="shared" si="4"/>
        <v>67012.828271370774</v>
      </c>
      <c r="D91" s="186">
        <f t="shared" si="3"/>
        <v>18992.07</v>
      </c>
      <c r="E91" s="187">
        <f t="shared" si="5"/>
        <v>52721.321540020581</v>
      </c>
      <c r="F91" s="7"/>
      <c r="G91" s="155">
        <f t="shared" si="6"/>
        <v>84</v>
      </c>
      <c r="H91" s="194">
        <f t="shared" si="7"/>
        <v>67012.828271370774</v>
      </c>
      <c r="I91" s="194">
        <f t="shared" si="8"/>
        <v>52721.321540020581</v>
      </c>
    </row>
    <row r="92" spans="1:9" ht="15.6" x14ac:dyDescent="0.3">
      <c r="A92" s="139">
        <f t="shared" si="9"/>
        <v>85</v>
      </c>
      <c r="B92" s="186">
        <f t="shared" si="2"/>
        <v>10714.231738037037</v>
      </c>
      <c r="C92" s="187">
        <f t="shared" si="4"/>
        <v>57951.804820535086</v>
      </c>
      <c r="D92" s="186">
        <f t="shared" si="3"/>
        <v>18992.07</v>
      </c>
      <c r="E92" s="187">
        <f t="shared" si="5"/>
        <v>34719.711011493288</v>
      </c>
      <c r="F92" s="7"/>
      <c r="G92" s="155">
        <f t="shared" si="6"/>
        <v>85</v>
      </c>
      <c r="H92" s="194">
        <f t="shared" si="7"/>
        <v>57951.804820535086</v>
      </c>
      <c r="I92" s="194">
        <f t="shared" si="8"/>
        <v>34719.711011493288</v>
      </c>
    </row>
    <row r="93" spans="1:9" ht="15.6" x14ac:dyDescent="0.3">
      <c r="A93" s="139">
        <f t="shared" si="9"/>
        <v>86</v>
      </c>
      <c r="B93" s="186">
        <f t="shared" si="2"/>
        <v>10714.231738037037</v>
      </c>
      <c r="C93" s="187">
        <f t="shared" si="4"/>
        <v>48624.704416065608</v>
      </c>
      <c r="D93" s="186">
        <f t="shared" si="3"/>
        <v>18992.07</v>
      </c>
      <c r="E93" s="187">
        <f t="shared" si="5"/>
        <v>16189.48318979579</v>
      </c>
      <c r="F93" s="7"/>
      <c r="G93" s="155">
        <f t="shared" si="6"/>
        <v>86</v>
      </c>
      <c r="H93" s="194">
        <f t="shared" si="7"/>
        <v>48624.704416065608</v>
      </c>
      <c r="I93" s="194">
        <f t="shared" si="8"/>
        <v>16189.48318979579</v>
      </c>
    </row>
    <row r="94" spans="1:9" ht="15.6" x14ac:dyDescent="0.3">
      <c r="A94" s="139">
        <f t="shared" si="9"/>
        <v>87</v>
      </c>
      <c r="B94" s="186">
        <f t="shared" si="2"/>
        <v>10714.231738037037</v>
      </c>
      <c r="C94" s="187">
        <f t="shared" si="4"/>
        <v>39023.713708218886</v>
      </c>
      <c r="D94" s="186">
        <f t="shared" si="3"/>
        <v>18992.07</v>
      </c>
      <c r="E94" s="187">
        <f t="shared" si="5"/>
        <v>-2884.8847718858565</v>
      </c>
      <c r="F94" s="7"/>
      <c r="G94" s="155">
        <f t="shared" si="6"/>
        <v>87</v>
      </c>
      <c r="H94" s="194">
        <f t="shared" si="7"/>
        <v>39023.713708218886</v>
      </c>
      <c r="I94" s="194">
        <f t="shared" si="8"/>
        <v>-2884.8847718858565</v>
      </c>
    </row>
    <row r="95" spans="1:9" ht="15.6" x14ac:dyDescent="0.3">
      <c r="A95" s="139">
        <f t="shared" si="9"/>
        <v>88</v>
      </c>
      <c r="B95" s="186">
        <f t="shared" si="2"/>
        <v>10714.231738037037</v>
      </c>
      <c r="C95" s="187">
        <f t="shared" si="4"/>
        <v>29140.789908236242</v>
      </c>
      <c r="D95" s="186">
        <f t="shared" si="3"/>
        <v>18992.07</v>
      </c>
      <c r="E95" s="187">
        <f t="shared" si="5"/>
        <v>-22519.371548762287</v>
      </c>
      <c r="F95" s="7"/>
      <c r="G95" s="155">
        <f t="shared" si="6"/>
        <v>88</v>
      </c>
      <c r="H95" s="194">
        <f t="shared" si="7"/>
        <v>29140.789908236242</v>
      </c>
      <c r="I95" s="194">
        <f t="shared" si="8"/>
        <v>-22519.371548762287</v>
      </c>
    </row>
    <row r="96" spans="1:9" ht="15.6" x14ac:dyDescent="0.3">
      <c r="A96" s="139">
        <f t="shared" si="9"/>
        <v>89</v>
      </c>
      <c r="B96" s="186">
        <f t="shared" si="2"/>
        <v>10714.231738037037</v>
      </c>
      <c r="C96" s="187">
        <f t="shared" si="4"/>
        <v>18967.654050867106</v>
      </c>
      <c r="D96" s="186">
        <f t="shared" si="3"/>
        <v>18992.07</v>
      </c>
      <c r="E96" s="187">
        <f t="shared" si="5"/>
        <v>-42730.425029841696</v>
      </c>
      <c r="F96" s="7"/>
      <c r="G96" s="155">
        <f t="shared" si="6"/>
        <v>89</v>
      </c>
      <c r="H96" s="194">
        <f t="shared" si="7"/>
        <v>18967.654050867106</v>
      </c>
      <c r="I96" s="194">
        <f t="shared" si="8"/>
        <v>-42730.425029841696</v>
      </c>
    </row>
    <row r="97" spans="1:9" ht="15.6" x14ac:dyDescent="0.3">
      <c r="A97" s="139">
        <f t="shared" si="9"/>
        <v>90</v>
      </c>
      <c r="B97" s="186">
        <f t="shared" si="2"/>
        <v>10714.231738037037</v>
      </c>
      <c r="C97" s="187">
        <f t="shared" si="4"/>
        <v>8495.7840590463256</v>
      </c>
      <c r="D97" s="186">
        <f t="shared" si="3"/>
        <v>18992.07</v>
      </c>
      <c r="E97" s="187">
        <f t="shared" si="5"/>
        <v>-63534.976096393002</v>
      </c>
      <c r="F97" s="7"/>
      <c r="G97" s="155">
        <f t="shared" si="6"/>
        <v>90</v>
      </c>
      <c r="H97" s="194">
        <f t="shared" si="7"/>
        <v>8495.7840590463256</v>
      </c>
      <c r="I97" s="194">
        <f t="shared" si="8"/>
        <v>-63534.976096393002</v>
      </c>
    </row>
    <row r="98" spans="1:9" ht="15.6" x14ac:dyDescent="0.3">
      <c r="A98" s="139">
        <f t="shared" si="9"/>
        <v>91</v>
      </c>
      <c r="B98" s="186">
        <f t="shared" si="2"/>
        <v>10714.231738037037</v>
      </c>
      <c r="C98" s="187">
        <f t="shared" si="4"/>
        <v>-2283.5923950842734</v>
      </c>
      <c r="D98" s="186">
        <f t="shared" si="3"/>
        <v>18992.07</v>
      </c>
      <c r="E98" s="187">
        <f t="shared" si="5"/>
        <v>-84950.452805013585</v>
      </c>
      <c r="F98" s="7"/>
      <c r="G98" s="155">
        <f t="shared" si="6"/>
        <v>91</v>
      </c>
      <c r="H98" s="194">
        <f t="shared" si="7"/>
        <v>-2283.5923950842734</v>
      </c>
      <c r="I98" s="194">
        <f t="shared" si="8"/>
        <v>-84950.452805013585</v>
      </c>
    </row>
    <row r="99" spans="1:9" ht="15.6" x14ac:dyDescent="0.3">
      <c r="A99" s="139">
        <f t="shared" si="9"/>
        <v>92</v>
      </c>
      <c r="B99" s="186">
        <f t="shared" si="2"/>
        <v>10714.231738037037</v>
      </c>
      <c r="C99" s="187">
        <f t="shared" si="4"/>
        <v>-13379.505238790418</v>
      </c>
      <c r="D99" s="186">
        <f t="shared" si="3"/>
        <v>18992.07</v>
      </c>
      <c r="E99" s="187">
        <f t="shared" si="5"/>
        <v>-106994.79498718282</v>
      </c>
      <c r="F99" s="7"/>
      <c r="G99" s="155">
        <f t="shared" si="6"/>
        <v>92</v>
      </c>
      <c r="H99" s="194">
        <f t="shared" si="7"/>
        <v>-13379.505238790418</v>
      </c>
      <c r="I99" s="194">
        <f t="shared" si="8"/>
        <v>-106994.79498718282</v>
      </c>
    </row>
    <row r="100" spans="1:9" ht="15.6" x14ac:dyDescent="0.3">
      <c r="A100" s="139">
        <f t="shared" si="9"/>
        <v>93</v>
      </c>
      <c r="B100" s="186">
        <f t="shared" si="2"/>
        <v>10714.231738037037</v>
      </c>
      <c r="C100" s="187">
        <f t="shared" si="4"/>
        <v>-24801.249563151996</v>
      </c>
      <c r="D100" s="186">
        <f t="shared" si="3"/>
        <v>18992.07</v>
      </c>
      <c r="E100" s="187">
        <f t="shared" si="5"/>
        <v>-129686.46927753145</v>
      </c>
      <c r="F100" s="7"/>
      <c r="G100" s="155">
        <f t="shared" si="6"/>
        <v>93</v>
      </c>
      <c r="H100" s="194">
        <f t="shared" si="7"/>
        <v>-24801.249563151996</v>
      </c>
      <c r="I100" s="194">
        <f t="shared" si="8"/>
        <v>-129686.46927753145</v>
      </c>
    </row>
    <row r="101" spans="1:9" ht="15.6" x14ac:dyDescent="0.3">
      <c r="A101" s="139">
        <f t="shared" si="9"/>
        <v>94</v>
      </c>
      <c r="B101" s="186">
        <f t="shared" si="2"/>
        <v>10714.231738037037</v>
      </c>
      <c r="C101" s="187">
        <f t="shared" si="4"/>
        <v>-36558.393409598459</v>
      </c>
      <c r="D101" s="186">
        <f t="shared" si="3"/>
        <v>18992.07</v>
      </c>
      <c r="E101" s="187">
        <f t="shared" si="5"/>
        <v>-153044.48458341617</v>
      </c>
      <c r="F101" s="7"/>
      <c r="G101" s="155">
        <f t="shared" si="6"/>
        <v>94</v>
      </c>
      <c r="H101" s="194">
        <f t="shared" si="7"/>
        <v>-36558.393409598459</v>
      </c>
      <c r="I101" s="194">
        <f t="shared" si="8"/>
        <v>-153044.48458341617</v>
      </c>
    </row>
    <row r="102" spans="1:9" ht="15.6" x14ac:dyDescent="0.3">
      <c r="A102" s="7"/>
      <c r="B102" s="7"/>
      <c r="C102" s="7"/>
      <c r="D102" s="7"/>
      <c r="E102" s="7"/>
      <c r="F102" s="7"/>
    </row>
  </sheetData>
  <sheetProtection algorithmName="SHA-512" hashValue="hCCNgkWp7Z3CU3c7U9k+915XATzT3H7JF/23upDQqTJpmCEn2VKA8SdOz6ocREUI0CRBTkbtz39hXNVl7lBm6A==" saltValue="e7TDaKwYxk3wO8IhmF0k+A==" spinCount="100000" sheet="1" objects="1" scenarios="1"/>
  <mergeCells count="6">
    <mergeCell ref="A1:E1"/>
    <mergeCell ref="K10:M10"/>
    <mergeCell ref="B21:C21"/>
    <mergeCell ref="D21:E21"/>
    <mergeCell ref="B13:C13"/>
    <mergeCell ref="D13:E13"/>
  </mergeCells>
  <pageMargins left="0.51181102362204722" right="0.51181102362204722" top="0.47244094488188981" bottom="0.23622047244094491" header="0.31496062992125984" footer="0.31496062992125984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R132"/>
  <sheetViews>
    <sheetView topLeftCell="A10" workbookViewId="0">
      <selection activeCell="J17" sqref="J17"/>
    </sheetView>
  </sheetViews>
  <sheetFormatPr baseColWidth="10" defaultRowHeight="14.4" x14ac:dyDescent="0.3"/>
  <cols>
    <col min="1" max="1" width="21.77734375" customWidth="1"/>
    <col min="3" max="3" width="12.109375" bestFit="1" customWidth="1"/>
    <col min="7" max="7" width="12.44140625" bestFit="1" customWidth="1"/>
    <col min="9" max="9" width="15.33203125" bestFit="1" customWidth="1"/>
    <col min="11" max="11" width="12.6640625" bestFit="1" customWidth="1"/>
    <col min="13" max="13" width="42" customWidth="1"/>
    <col min="14" max="14" width="12.21875" customWidth="1"/>
    <col min="15" max="15" width="10.109375" customWidth="1"/>
    <col min="17" max="17" width="37.5546875" customWidth="1"/>
  </cols>
  <sheetData>
    <row r="3" spans="1:14" ht="16.2" thickBot="1" x14ac:dyDescent="0.35">
      <c r="A3" s="1" t="s">
        <v>0</v>
      </c>
      <c r="B3" s="1"/>
      <c r="C3" s="6"/>
      <c r="D3" s="6"/>
      <c r="E3" s="6"/>
      <c r="F3" s="6"/>
      <c r="G3" s="7"/>
      <c r="H3" s="7"/>
      <c r="I3" s="1" t="s">
        <v>8</v>
      </c>
      <c r="J3" s="6"/>
      <c r="K3" s="6"/>
      <c r="L3" s="6"/>
      <c r="M3" s="7"/>
      <c r="N3" s="7"/>
    </row>
    <row r="4" spans="1:14" ht="16.8" thickTop="1" thickBot="1" x14ac:dyDescent="0.35">
      <c r="A4" s="217" t="s">
        <v>1</v>
      </c>
      <c r="B4" s="218"/>
      <c r="C4" s="219" t="s">
        <v>2</v>
      </c>
      <c r="D4" s="220"/>
      <c r="E4" s="217" t="s">
        <v>3</v>
      </c>
      <c r="F4" s="220"/>
      <c r="G4" s="7"/>
      <c r="H4" s="7"/>
      <c r="I4" s="221" t="s">
        <v>1</v>
      </c>
      <c r="J4" s="222"/>
      <c r="K4" s="223" t="s">
        <v>2</v>
      </c>
      <c r="L4" s="224"/>
      <c r="M4" s="7"/>
      <c r="N4" s="7"/>
    </row>
    <row r="5" spans="1:14" ht="16.8" thickTop="1" thickBot="1" x14ac:dyDescent="0.35">
      <c r="A5" s="8" t="s">
        <v>4</v>
      </c>
      <c r="B5" s="9" t="s">
        <v>5</v>
      </c>
      <c r="C5" s="10" t="s">
        <v>6</v>
      </c>
      <c r="D5" s="9" t="s">
        <v>7</v>
      </c>
      <c r="E5" s="11" t="s">
        <v>6</v>
      </c>
      <c r="F5" s="12" t="s">
        <v>7</v>
      </c>
      <c r="G5" s="7" t="s">
        <v>87</v>
      </c>
      <c r="H5" s="7"/>
      <c r="I5" s="13" t="s">
        <v>4</v>
      </c>
      <c r="J5" s="14" t="s">
        <v>5</v>
      </c>
      <c r="K5" s="15" t="s">
        <v>9</v>
      </c>
      <c r="L5" s="14" t="s">
        <v>7</v>
      </c>
      <c r="M5" s="7"/>
      <c r="N5" s="7"/>
    </row>
    <row r="6" spans="1:14" ht="15.6" x14ac:dyDescent="0.3">
      <c r="A6" s="16">
        <v>0</v>
      </c>
      <c r="B6" s="17">
        <v>46605</v>
      </c>
      <c r="C6" s="18">
        <v>0.15</v>
      </c>
      <c r="D6" s="17"/>
      <c r="E6" s="19">
        <f>C6*83.5%</f>
        <v>0.12525</v>
      </c>
      <c r="F6" s="20"/>
      <c r="G6" s="7">
        <f>Données!B7/25%</f>
        <v>46746.479999999996</v>
      </c>
      <c r="H6" s="7"/>
      <c r="I6" s="21">
        <v>0</v>
      </c>
      <c r="J6" s="22">
        <v>43055</v>
      </c>
      <c r="K6" s="23">
        <v>0.15</v>
      </c>
      <c r="L6" s="22"/>
      <c r="M6" s="7"/>
      <c r="N6" s="7"/>
    </row>
    <row r="7" spans="1:14" ht="15.6" x14ac:dyDescent="0.3">
      <c r="A7" s="24">
        <f>+B6</f>
        <v>46605</v>
      </c>
      <c r="B7" s="22">
        <v>93208</v>
      </c>
      <c r="C7" s="25">
        <v>0.20499999999999999</v>
      </c>
      <c r="D7" s="22">
        <f>ROUND(B6*C6,0)</f>
        <v>6991</v>
      </c>
      <c r="E7" s="26">
        <f>C7*83.5%</f>
        <v>0.17117499999999999</v>
      </c>
      <c r="F7" s="27">
        <f>ROUND(B6*E6,0)</f>
        <v>5837</v>
      </c>
      <c r="G7" s="7"/>
      <c r="H7" s="7"/>
      <c r="I7" s="21">
        <f>+J6</f>
        <v>43055</v>
      </c>
      <c r="J7" s="22">
        <v>86105</v>
      </c>
      <c r="K7" s="23">
        <v>0.2</v>
      </c>
      <c r="L7" s="28">
        <f>J6*K6</f>
        <v>6458.25</v>
      </c>
      <c r="M7" s="7"/>
      <c r="N7" s="7"/>
    </row>
    <row r="8" spans="1:14" ht="15.6" x14ac:dyDescent="0.3">
      <c r="A8" s="24">
        <f>+B7</f>
        <v>93208</v>
      </c>
      <c r="B8" s="22">
        <v>144489</v>
      </c>
      <c r="C8" s="25">
        <v>0.26</v>
      </c>
      <c r="D8" s="22">
        <f>ROUND((B6*C6)+((B7-B6)*C7),0)</f>
        <v>16544</v>
      </c>
      <c r="E8" s="26">
        <f>26%*83.5%</f>
        <v>0.21709999999999999</v>
      </c>
      <c r="F8" s="27">
        <f>ROUND((B6*E6)+((B7-B6)*E7),0)</f>
        <v>13815</v>
      </c>
      <c r="G8" s="7"/>
      <c r="H8" s="7"/>
      <c r="I8" s="29">
        <f>J7</f>
        <v>86105</v>
      </c>
      <c r="J8" s="30">
        <v>104765</v>
      </c>
      <c r="K8" s="31">
        <v>0.24</v>
      </c>
      <c r="L8" s="32">
        <f>(J6*K6)+((J7-J6)*K7)</f>
        <v>15068.25</v>
      </c>
      <c r="M8" s="7"/>
      <c r="N8" s="7"/>
    </row>
    <row r="9" spans="1:14" ht="16.2" thickBot="1" x14ac:dyDescent="0.35">
      <c r="A9" s="33">
        <f>+B8</f>
        <v>144489</v>
      </c>
      <c r="B9" s="34"/>
      <c r="C9" s="35">
        <v>0.28999999999999998</v>
      </c>
      <c r="D9" s="34">
        <f>ROUND((B6*C6)+((B7-B6)*C7)+((B8-B7)*C8),0)</f>
        <v>29877</v>
      </c>
      <c r="E9" s="36">
        <f>29%*83.5%</f>
        <v>0.24214999999999998</v>
      </c>
      <c r="F9" s="37">
        <f>ROUND((B6*E6)+((B7-B6)*E7)+((B8-B7)*E8),0)</f>
        <v>24948</v>
      </c>
      <c r="G9" s="7"/>
      <c r="H9" s="7"/>
      <c r="I9" s="38">
        <f>+J8</f>
        <v>104765</v>
      </c>
      <c r="J9" s="39"/>
      <c r="K9" s="40">
        <v>0.25750000000000001</v>
      </c>
      <c r="L9" s="41">
        <f>(J6*K6)+((J7-J6)*K7)+((J8-J7)*K8)</f>
        <v>19546.650000000001</v>
      </c>
      <c r="M9" s="7"/>
      <c r="N9" s="7"/>
    </row>
    <row r="10" spans="1:14" ht="15.6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.6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.6" x14ac:dyDescent="0.3">
      <c r="A12" s="42" t="s">
        <v>17</v>
      </c>
      <c r="B12" s="7"/>
      <c r="C12" s="7"/>
      <c r="D12" s="46">
        <v>11809</v>
      </c>
      <c r="E12" s="7"/>
      <c r="F12" s="7"/>
      <c r="G12" s="7"/>
      <c r="H12" s="7"/>
      <c r="I12" s="7"/>
      <c r="J12" s="46">
        <v>15012</v>
      </c>
      <c r="K12" s="78">
        <f>IF(Données!B6&gt;=1150/6%,1150,Données!B6*6%)</f>
        <v>1150</v>
      </c>
      <c r="L12" s="7"/>
      <c r="M12" s="7"/>
      <c r="N12" s="7"/>
    </row>
    <row r="13" spans="1:14" ht="15.6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5.6" x14ac:dyDescent="0.3">
      <c r="A14" s="42" t="s">
        <v>10</v>
      </c>
      <c r="B14" s="7"/>
      <c r="C14" s="7"/>
      <c r="D14" s="7"/>
      <c r="E14" s="7"/>
      <c r="F14" s="7"/>
      <c r="G14" s="7"/>
      <c r="H14" s="7"/>
      <c r="I14" s="7"/>
      <c r="J14" s="7">
        <f>Données!B4</f>
        <v>1</v>
      </c>
      <c r="K14" s="7" t="s">
        <v>69</v>
      </c>
      <c r="L14" s="7"/>
      <c r="M14" s="7"/>
      <c r="N14" s="7"/>
    </row>
    <row r="15" spans="1:14" ht="15.6" x14ac:dyDescent="0.3">
      <c r="A15" s="7" t="s">
        <v>13</v>
      </c>
      <c r="B15" s="7"/>
      <c r="C15" s="7"/>
      <c r="D15" s="3">
        <v>7333</v>
      </c>
      <c r="E15" s="7"/>
      <c r="F15" s="7"/>
      <c r="G15" s="7"/>
      <c r="H15" s="7"/>
      <c r="I15" s="7"/>
      <c r="J15" s="7">
        <f>IF(J14=2,J19*2+J21*2,SUM(J19:J21))</f>
        <v>7684</v>
      </c>
      <c r="K15" s="7">
        <f>IF(AND(Données!B17=0,Données!C17=0,Données!B4=2),Seuils!J21*2,IF(J14=2,J19*2+J21*2,IF(AND(Données!B17=0,Données!C17=0,Données!B4=1),J20+J21,SUM(J19:J21))))</f>
        <v>4879</v>
      </c>
      <c r="L15" s="7">
        <f>J15*15%/15%</f>
        <v>7684</v>
      </c>
      <c r="M15" s="7"/>
      <c r="N15" s="7"/>
    </row>
    <row r="16" spans="1:14" ht="15.6" x14ac:dyDescent="0.3">
      <c r="A16" s="7" t="s">
        <v>11</v>
      </c>
      <c r="B16" s="7"/>
      <c r="C16" s="78">
        <f>C17+D12+D15+D19</f>
        <v>43283.262135922327</v>
      </c>
      <c r="D16" s="4">
        <v>36976</v>
      </c>
      <c r="E16" s="7"/>
      <c r="F16" s="7"/>
      <c r="G16" s="7"/>
      <c r="H16" s="7"/>
      <c r="I16" s="7">
        <f>IF(J14=2,(J12*2+J15+Seuils!J16*18.75%+(Données!D8+O33)*20%/Seuils!K6)/(1+18.75%+20%/Seuils!K6*3%),(J12+K15+Seuils!J16*18.75%+(Données!D8+N33)*20%/Seuils!K6/(1+18.75%+20%/Seuils!K6*3%)))</f>
        <v>28054.652834351662</v>
      </c>
      <c r="J16" s="43">
        <v>34030</v>
      </c>
      <c r="K16" s="7">
        <f>IF(Données!C19+Données!B16+Données!C16&lt;Seuils!J16,,Données!C19+Données!C16+Données!B16-Seuils!J16)</f>
        <v>0</v>
      </c>
      <c r="M16" s="7"/>
      <c r="N16" s="7"/>
    </row>
    <row r="17" spans="1:18" ht="15.6" x14ac:dyDescent="0.3">
      <c r="A17" s="7" t="s">
        <v>12</v>
      </c>
      <c r="B17" s="7"/>
      <c r="C17" s="7">
        <f>(D12+D15+D19+Données!D8+Données!D9)/(1+3%)</f>
        <v>22141.26213592233</v>
      </c>
      <c r="D17" s="5">
        <f>(D15+(D16*15%))/15%</f>
        <v>85862.666666666672</v>
      </c>
      <c r="E17" s="7"/>
      <c r="F17" s="7"/>
      <c r="G17" s="7"/>
      <c r="H17" s="7"/>
      <c r="I17" s="7"/>
      <c r="J17" s="45">
        <f>(J16*18.75%+J15)/18.75%</f>
        <v>75011.333333333328</v>
      </c>
      <c r="K17" s="7">
        <f>K16*18.75%</f>
        <v>0</v>
      </c>
      <c r="M17" s="7"/>
      <c r="N17" s="7"/>
    </row>
    <row r="18" spans="1:18" ht="15.6" x14ac:dyDescent="0.3">
      <c r="A18" s="7"/>
      <c r="B18" s="7"/>
      <c r="C18" s="78"/>
      <c r="D18" s="7"/>
      <c r="E18" s="7"/>
      <c r="F18" s="7"/>
      <c r="G18" s="7"/>
      <c r="H18" s="7"/>
      <c r="I18" s="117"/>
      <c r="J18" s="7"/>
      <c r="K18" s="7">
        <f>K15-K17</f>
        <v>4879</v>
      </c>
      <c r="M18" s="7"/>
      <c r="N18" s="7"/>
    </row>
    <row r="19" spans="1:18" ht="15.6" x14ac:dyDescent="0.3">
      <c r="A19" s="7" t="s">
        <v>14</v>
      </c>
      <c r="B19" s="7"/>
      <c r="C19" s="7"/>
      <c r="D19" s="7">
        <v>2000</v>
      </c>
      <c r="E19" s="7"/>
      <c r="F19" s="7"/>
      <c r="G19" s="7"/>
      <c r="H19" s="7"/>
      <c r="I19" s="7"/>
      <c r="J19" s="7">
        <v>2805</v>
      </c>
      <c r="K19" s="7"/>
      <c r="L19" s="7"/>
      <c r="M19" s="7"/>
      <c r="N19" s="7"/>
    </row>
    <row r="20" spans="1:18" ht="15.6" x14ac:dyDescent="0.3">
      <c r="A20" s="7" t="s">
        <v>15</v>
      </c>
      <c r="B20" s="7"/>
      <c r="C20" s="7"/>
      <c r="D20" s="7"/>
      <c r="E20" s="7"/>
      <c r="F20" s="7"/>
      <c r="G20" s="7"/>
      <c r="H20" s="7"/>
      <c r="I20" s="7"/>
      <c r="J20" s="44">
        <v>1721</v>
      </c>
      <c r="K20" s="7"/>
      <c r="L20" s="7"/>
      <c r="M20" s="7"/>
      <c r="N20" s="7"/>
    </row>
    <row r="21" spans="1:18" ht="15.6" x14ac:dyDescent="0.3">
      <c r="A21" s="7" t="s">
        <v>16</v>
      </c>
      <c r="B21" s="7"/>
      <c r="C21" s="7"/>
      <c r="D21" s="7">
        <v>7333</v>
      </c>
      <c r="E21" s="7"/>
      <c r="F21" s="7"/>
      <c r="G21" s="7"/>
      <c r="H21" s="7"/>
      <c r="I21" s="7"/>
      <c r="J21" s="7">
        <v>3158</v>
      </c>
      <c r="K21" s="7"/>
      <c r="L21" s="7"/>
      <c r="M21" s="7"/>
      <c r="N21" s="7"/>
    </row>
    <row r="22" spans="1:18" ht="15.6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8" ht="15.6" x14ac:dyDescent="0.3">
      <c r="A23" s="7" t="s">
        <v>20</v>
      </c>
      <c r="B23" s="7"/>
      <c r="C23" s="7"/>
      <c r="D23" s="7">
        <f>Données!D8+Données!D9</f>
        <v>1663.5</v>
      </c>
      <c r="E23" s="7"/>
      <c r="F23" s="7"/>
      <c r="G23" s="7"/>
      <c r="H23" s="7"/>
      <c r="I23" s="7"/>
      <c r="J23" s="7"/>
      <c r="K23" s="77">
        <f>Données!$D$8+Seuils!K28</f>
        <v>1427.5714760000003</v>
      </c>
      <c r="L23" s="77">
        <f>Données!$D$8+Seuils!L28</f>
        <v>1641.5</v>
      </c>
      <c r="N23" t="s">
        <v>22</v>
      </c>
      <c r="O23" t="s">
        <v>23</v>
      </c>
      <c r="Q23" s="2"/>
      <c r="R23" s="70"/>
    </row>
    <row r="24" spans="1:18" ht="15.6" x14ac:dyDescent="0.3">
      <c r="A24" s="7" t="s">
        <v>18</v>
      </c>
      <c r="B24" s="7"/>
      <c r="C24" s="7"/>
      <c r="D24" s="7">
        <f>IF(AND(J14=2,D23&lt;D25*3%),0,IF(AND(J14=1,D23&lt;(Données!C19+Données!B16)*3%),0,IF(J14=2,D23-(D25*3%),D23-(Données!C19+Données!B16)*3%)))</f>
        <v>1001.3213999999999</v>
      </c>
      <c r="E24" s="7">
        <f>IF(AND(J14=2,D23&lt;E25*3%),0,IF(AND(J14=1,D23&lt;(Données!E19+Données!B16)*3%),0,IF(J14=2,D23-(E25*3%),IF((Données!E19+Données!D16)*3%&gt;Seuils!D23,0,Seuils!D23-(Données!E19+Données!D16)*3%))))</f>
        <v>529.5</v>
      </c>
      <c r="F24" s="7"/>
      <c r="G24" s="7"/>
      <c r="H24" s="7"/>
      <c r="I24" s="7"/>
      <c r="J24" s="7"/>
      <c r="K24" s="7">
        <f>IF(K23&lt;(Données!C19+Données!C16+Données!B16)*3%,0,K23-(Données!C19+Données!C16+Données!B16)*3%)</f>
        <v>765.39287600000023</v>
      </c>
      <c r="L24" s="7">
        <f>IF((Données!E19+Données!E16+Données!D16)*3%&gt;L23,0,L23-(Données!E19+Données!E16+Données!D16)*3%)</f>
        <v>507.5</v>
      </c>
      <c r="M24" s="2" t="s">
        <v>24</v>
      </c>
      <c r="N24" s="47">
        <f>N33</f>
        <v>641.5</v>
      </c>
      <c r="O24" s="47">
        <f>N24*2</f>
        <v>1283</v>
      </c>
      <c r="P24">
        <f>IF(Seuils!$J$14=2,Seuils!O24,Seuils!N24)</f>
        <v>641.5</v>
      </c>
      <c r="Q24" s="2"/>
      <c r="R24" s="70"/>
    </row>
    <row r="25" spans="1:18" ht="15.6" x14ac:dyDescent="0.3">
      <c r="A25" s="7" t="s">
        <v>19</v>
      </c>
      <c r="B25" s="7"/>
      <c r="C25" s="7"/>
      <c r="D25" s="7">
        <f>IF(J14=1,0,IF(Données!C19-Seuils!D16&gt;Seuils!D12,Données!E19-Seuils!D16,(Seuils!D12+Seuils!D23)/1.03))</f>
        <v>0</v>
      </c>
      <c r="E25" s="7">
        <f>IF(Données!E19&gt;Seuils!D16*2,Seuils!D16,IF(Données!E19-Seuils!D16&gt;Seuils!D12,Données!E19-Seuils!D16,(Seuils!D12+Seuils!D23)/1.03))</f>
        <v>13080.097087378641</v>
      </c>
      <c r="F25" s="7"/>
      <c r="G25" s="7">
        <f>(Seuils!D12+Seuils!D23)/1.03</f>
        <v>13080.097087378641</v>
      </c>
      <c r="H25" s="7"/>
      <c r="I25" s="7"/>
      <c r="J25" s="7"/>
      <c r="K25" s="7">
        <f>K24*16%/16%</f>
        <v>765.39287600000023</v>
      </c>
      <c r="L25" s="7"/>
      <c r="M25" s="2" t="s">
        <v>25</v>
      </c>
      <c r="N25" s="48">
        <v>16120</v>
      </c>
      <c r="O25" s="48">
        <v>26120</v>
      </c>
      <c r="P25">
        <f>IF(Seuils!$J$14=2,Seuils!O25,Seuils!N25)</f>
        <v>16120</v>
      </c>
      <c r="Q25" s="2"/>
      <c r="R25" s="70"/>
    </row>
    <row r="26" spans="1:18" ht="15.6" x14ac:dyDescent="0.3">
      <c r="A26" s="7"/>
      <c r="B26" s="7"/>
      <c r="C26" s="7"/>
      <c r="D26" s="7"/>
      <c r="E26" s="7" t="s">
        <v>120</v>
      </c>
      <c r="F26" s="7"/>
      <c r="G26" s="7"/>
      <c r="H26" s="7"/>
      <c r="I26" s="7"/>
      <c r="J26" s="7"/>
      <c r="K26" s="7" t="s">
        <v>69</v>
      </c>
      <c r="L26" s="7" t="s">
        <v>48</v>
      </c>
      <c r="M26" s="2" t="s">
        <v>26</v>
      </c>
      <c r="N26" s="48">
        <v>10000</v>
      </c>
      <c r="O26" s="48">
        <v>3410</v>
      </c>
      <c r="P26">
        <f>IF(Seuils!$J$14=2,Seuils!O26,Seuils!N26)</f>
        <v>10000</v>
      </c>
      <c r="Q26" s="2"/>
      <c r="R26" s="70"/>
    </row>
    <row r="27" spans="1:18" ht="15.6" x14ac:dyDescent="0.3">
      <c r="A27" s="7" t="s">
        <v>21</v>
      </c>
      <c r="B27" s="7"/>
      <c r="C27" s="7"/>
      <c r="D27" s="7"/>
      <c r="E27" s="7"/>
      <c r="F27" s="7"/>
      <c r="G27" s="7"/>
      <c r="H27" s="7"/>
      <c r="I27" s="7"/>
      <c r="J27" s="7"/>
      <c r="K27" s="7">
        <f>IF(Données!C19&lt;Seuils!$P$25,0,Données!C19+Données!B16+Données!C16-Seuils!$P$25)</f>
        <v>5952.6200000000026</v>
      </c>
      <c r="L27" s="7">
        <f>IF(Données!E19+Données!D16+Données!E16&lt;Seuils!$P$25,0,Données!E19+Données!D16+Données!E16-Seuils!$P$25)</f>
        <v>21680</v>
      </c>
      <c r="M27" s="2" t="s">
        <v>27</v>
      </c>
      <c r="N27" s="48">
        <v>13410</v>
      </c>
      <c r="O27" s="48">
        <v>6560</v>
      </c>
      <c r="P27">
        <f>IF(Seuils!$J$14=2,Seuils!O27,Seuils!N27)</f>
        <v>13410</v>
      </c>
      <c r="Q27" s="2"/>
      <c r="R27" s="70"/>
    </row>
    <row r="28" spans="1:18" ht="15.6" x14ac:dyDescent="0.3">
      <c r="A28" s="7"/>
      <c r="B28" s="7"/>
      <c r="C28" s="7"/>
      <c r="D28" s="7"/>
      <c r="E28" s="7"/>
      <c r="F28" s="7"/>
      <c r="G28" s="7"/>
      <c r="H28" s="45">
        <f>(N24-O30+(5000*P29))/P29+P25</f>
        <v>25869.498997995994</v>
      </c>
      <c r="I28" s="7"/>
      <c r="J28" s="7"/>
      <c r="K28" s="77">
        <f>IF((K27-5000)*$P$28+$P$30&gt;$P$24/$J$14,$P$24,IF(K27+$P$25&gt;$H$28,$P$24,IF(K27&gt;5000,$J$14*((K27-5000)*$P$29+$P$30),K27*P28)))</f>
        <v>427.57147600000025</v>
      </c>
      <c r="L28" s="77">
        <f>IF((L27-5000)*$P$28+$P$30&gt;$P$24/$J$14,$P$24,IF(L27+$P$25&gt;$H$28,$P$24,IF($J$14*((L27-5000)*$P$29+$P$30)&gt;P33,P33,IF(L27&gt;5000,$J$14*((L27-5000)*$P$29+$P$30),L27*P28))))</f>
        <v>641.5</v>
      </c>
      <c r="M28" s="2" t="s">
        <v>28</v>
      </c>
      <c r="N28" s="49">
        <v>6.6500000000000004E-2</v>
      </c>
      <c r="O28" s="49">
        <v>3.3500000000000002E-2</v>
      </c>
      <c r="P28" s="71">
        <f>IF(Seuils!$J$14=2,Seuils!O28,Seuils!N28)</f>
        <v>6.6500000000000004E-2</v>
      </c>
      <c r="Q28" s="2"/>
      <c r="R28" s="70"/>
    </row>
    <row r="29" spans="1:18" ht="15.6" x14ac:dyDescent="0.3">
      <c r="A29" s="42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 t="s">
        <v>121</v>
      </c>
      <c r="M29" s="2" t="s">
        <v>29</v>
      </c>
      <c r="N29" s="49">
        <v>9.98E-2</v>
      </c>
      <c r="O29" s="49">
        <v>5.0099999999999999E-2</v>
      </c>
      <c r="P29" s="71">
        <f>IF(Seuils!$J$14=2,Seuils!O29,Seuils!N29)</f>
        <v>9.98E-2</v>
      </c>
      <c r="Q29" s="2"/>
      <c r="R29" s="71"/>
    </row>
    <row r="30" spans="1:18" ht="15.6" x14ac:dyDescent="0.3">
      <c r="A30" s="7" t="s">
        <v>35</v>
      </c>
      <c r="B30" s="7"/>
      <c r="C30" s="7"/>
      <c r="D30" s="113">
        <f>IF($J$14=2,F30,E30)</f>
        <v>9108</v>
      </c>
      <c r="E30" s="68">
        <v>9108</v>
      </c>
      <c r="F30" s="69">
        <v>12024</v>
      </c>
      <c r="G30" s="7"/>
      <c r="H30" s="7"/>
      <c r="I30" s="7"/>
      <c r="J30" s="7" t="s">
        <v>84</v>
      </c>
      <c r="K30" s="7">
        <f>Données!C19-K31+Données!B16</f>
        <v>22072.620000000003</v>
      </c>
      <c r="L30" s="114">
        <f>IF(J14=1,Données!E19,IF(Données!E19&lt;J42,I42,IF(Données!E19&gt;Seuils!J7,Données!E19-Seuils!C44,IF(Données!E19&gt;I7+Seuils!I42,I7,Données!E19-Seuils!I42-Données!D14))))</f>
        <v>37800</v>
      </c>
      <c r="M30" s="2" t="s">
        <v>30</v>
      </c>
      <c r="N30" s="50">
        <v>332.5</v>
      </c>
      <c r="O30" s="50">
        <v>167.5</v>
      </c>
      <c r="P30">
        <f>IF(Seuils!$J$14=2,Seuils!O30,Seuils!N30)</f>
        <v>332.5</v>
      </c>
      <c r="Q30" s="2"/>
      <c r="R30" s="72"/>
    </row>
    <row r="31" spans="1:18" ht="15.6" x14ac:dyDescent="0.3">
      <c r="A31" s="7" t="s">
        <v>36</v>
      </c>
      <c r="B31" s="7"/>
      <c r="C31" s="7"/>
      <c r="D31" s="113">
        <f t="shared" ref="D31" si="0">IF($J$14=2,F31,E31)</f>
        <v>18216</v>
      </c>
      <c r="E31" s="52">
        <v>18216</v>
      </c>
      <c r="F31" s="69">
        <v>23376</v>
      </c>
      <c r="G31" s="7"/>
      <c r="H31" s="7"/>
      <c r="I31" s="7"/>
      <c r="J31" s="7" t="s">
        <v>85</v>
      </c>
      <c r="K31" s="7">
        <f>IF(J14=1,0,Données!C18)</f>
        <v>0</v>
      </c>
      <c r="L31" s="114">
        <f>IF(J14=1,0,Données!E19-Seuils!L30)</f>
        <v>0</v>
      </c>
      <c r="M31" s="2" t="s">
        <v>31</v>
      </c>
      <c r="N31" s="48">
        <f>667/12</f>
        <v>55.583333333333336</v>
      </c>
      <c r="O31" s="48">
        <f>N31*2</f>
        <v>111.16666666666667</v>
      </c>
      <c r="P31">
        <f>IF(Seuils!$J$14=2,Seuils!O31,Seuils!N31)</f>
        <v>55.583333333333336</v>
      </c>
      <c r="Q31" s="2"/>
      <c r="R31" s="71"/>
    </row>
    <row r="32" spans="1:18" ht="15.6" x14ac:dyDescent="0.3">
      <c r="A32" s="7" t="s">
        <v>43</v>
      </c>
      <c r="B32" s="7"/>
      <c r="C32" s="7"/>
      <c r="D32" s="113">
        <f>IF($J$14=2,E32*2,E32)</f>
        <v>7121.31</v>
      </c>
      <c r="E32" s="67">
        <v>7121.31</v>
      </c>
      <c r="F32" s="7"/>
      <c r="G32" s="7"/>
      <c r="H32" s="7"/>
      <c r="I32" s="7"/>
      <c r="J32" s="7" t="s">
        <v>83</v>
      </c>
      <c r="K32" s="77">
        <f>K12+L15+K25</f>
        <v>9599.3928759999999</v>
      </c>
      <c r="L32" s="7"/>
      <c r="M32" s="2" t="s">
        <v>32</v>
      </c>
      <c r="N32" s="48">
        <f>616/12</f>
        <v>51.333333333333336</v>
      </c>
      <c r="O32" s="48">
        <f>N32*2</f>
        <v>102.66666666666667</v>
      </c>
      <c r="P32">
        <f>IF(Seuils!$J$14=2,Seuils!O32,Seuils!N32)</f>
        <v>51.333333333333336</v>
      </c>
      <c r="Q32" s="2"/>
      <c r="R32" s="72"/>
    </row>
    <row r="33" spans="1:18" ht="15.6" x14ac:dyDescent="0.3">
      <c r="A33" s="7" t="s">
        <v>42</v>
      </c>
      <c r="E33" s="67">
        <v>75910</v>
      </c>
      <c r="K33">
        <f>K30+K31</f>
        <v>22072.620000000003</v>
      </c>
      <c r="L33" s="114">
        <f>L30+L31</f>
        <v>37800</v>
      </c>
      <c r="M33" s="2" t="s">
        <v>33</v>
      </c>
      <c r="N33" s="51">
        <f>ROUNDUP(N31*6+N32*6,1)</f>
        <v>641.5</v>
      </c>
      <c r="O33" s="51">
        <f>ROUNDUP(O31*6+O32*6,1)</f>
        <v>1283</v>
      </c>
      <c r="P33">
        <f>IF(Seuils!$J$14=2,Seuils!O33,Seuils!N33)</f>
        <v>641.5</v>
      </c>
      <c r="Q33" s="2"/>
      <c r="R33" s="70"/>
    </row>
    <row r="34" spans="1:18" ht="15.6" x14ac:dyDescent="0.3">
      <c r="M34" s="2" t="s">
        <v>141</v>
      </c>
      <c r="N34" s="204">
        <v>23095</v>
      </c>
      <c r="O34" s="204">
        <v>40581</v>
      </c>
      <c r="P34">
        <f>IF(Seuils!$J$14=2,Seuils!O34,Seuils!N34)</f>
        <v>23095</v>
      </c>
      <c r="Q34" s="2"/>
      <c r="R34" s="70"/>
    </row>
    <row r="35" spans="1:18" ht="15.6" x14ac:dyDescent="0.3">
      <c r="A35" s="7" t="s">
        <v>44</v>
      </c>
      <c r="D35" t="s">
        <v>86</v>
      </c>
      <c r="E35" t="s">
        <v>48</v>
      </c>
      <c r="M35" s="2"/>
      <c r="N35" s="73"/>
      <c r="O35" s="73"/>
      <c r="Q35" s="2"/>
      <c r="R35" s="70"/>
    </row>
    <row r="36" spans="1:18" ht="15.6" x14ac:dyDescent="0.3">
      <c r="A36" s="7"/>
      <c r="C36" t="s">
        <v>45</v>
      </c>
      <c r="D36">
        <f>IF(K30&gt;$C$45,$F$43+$F$45,IF(K30&gt;$C$44,(K30-$C$44)*$E$44+$F$43,IF(K30&gt;$C$43,$F$43,IF(K30&lt;$D$41,0,(K30-$C$42)*$E$42))))</f>
        <v>0</v>
      </c>
      <c r="E36">
        <f>IF(L30&gt;$C$45,$F$43+$F$45,IF(L30&gt;$C$44,(L30-$C$44)*$E$44+$F$43,IF(L30&gt;$C$43,$F$43,IF(L30&lt;$D$41,0,(L30-$C$42)*$E$42))))</f>
        <v>0</v>
      </c>
      <c r="J36" t="s">
        <v>45</v>
      </c>
      <c r="K36">
        <f>IF((K30-$E$32-Données!B16-$I$44)*$K$44+$L$44&gt;$L$45,$L$45,IF(K30-$E$32-Données!B16&gt;$I$44,(K30-$E$32-Données!B16-$I$44)*$K$44+$L$43,IF(K30-$E$32-Données!B16&gt;$I$43,$L$43,IF(K30-$E$32-Données!B16&lt;$J$41,0,(K30-$E$32-Données!B16-$I$42)*$K$42))))</f>
        <v>0</v>
      </c>
      <c r="L36" s="75">
        <f>IF((L30-$E$32-$I$44)*$K$44+$L$44&gt;$L$45,$L$45,IF(L30-$E$32&gt;$I$44,(L30-$E$32-$I$44)*$K$44+$L$43,IF(L30-$E$32&gt;$I$43,$L$43,IF(L30-$E$32&lt;$J$41,0,(L30-$E$32-$I$42)*$K$42))))</f>
        <v>150</v>
      </c>
      <c r="M36" s="2"/>
      <c r="N36" s="73"/>
      <c r="O36" s="73"/>
      <c r="Q36" s="2"/>
      <c r="R36" s="70"/>
    </row>
    <row r="37" spans="1:18" ht="15.6" x14ac:dyDescent="0.3">
      <c r="A37" s="7" t="s">
        <v>37</v>
      </c>
      <c r="C37" t="s">
        <v>46</v>
      </c>
      <c r="D37">
        <f>IF(K31&gt;$C$45,$F$43+$F$45,IF(K31&gt;$C$44,(K31-$C$44)*$E$44+$F$43,IF(K31&gt;$C$43,$F$43,IF(K31&lt;$D$41,0,(K31-$C$42)*$E$42))))</f>
        <v>0</v>
      </c>
      <c r="E37">
        <f>IF(L31&gt;$C$45,$F$43+$F$45,IF(L31&gt;$C$44,(L31-$C$44)*$E$44+$F$43,IF(L31&gt;$C$43,$F$43,IF(L31&lt;$D$41,0,(L31-$C$42)*$E$42))))</f>
        <v>0</v>
      </c>
      <c r="H37" t="s">
        <v>39</v>
      </c>
      <c r="I37" s="72"/>
      <c r="J37" s="72" t="s">
        <v>46</v>
      </c>
      <c r="K37">
        <f>IF((K31-$E$32-Données!C16-$I$44)*$K$44+$L$44&gt;$L$45,$L$45,IF(K31-$E$32-Données!C16&gt;$I$44,(K31-$E$32-Données!C16-$I$44)*$K$44+$L$43,IF(K31-$E$32-Données!C16&gt;$I$43,$L$43,IF(K31-$E$32-Données!C16&lt;$J$41,0,(K31-$E$32-Données!C16-$I$42)*$K$42))))</f>
        <v>0</v>
      </c>
      <c r="L37" s="75">
        <f>IF((L31-$E$32-$I$44)*$K$44+$L$44&gt;$L$45,$L$45,IF(L31-$E$32&gt;$I$44,(L31-$E$32-$I$44)*$K$44+$L$43,IF(L31-$E$32&gt;$I$43,$L$43,IF(L31-$E$32&lt;$J$41,0,(L31-$E$32-$I$42)*$K$42))))</f>
        <v>0</v>
      </c>
      <c r="M37" s="2"/>
      <c r="N37" s="73"/>
      <c r="O37" s="73"/>
      <c r="Q37" s="2"/>
      <c r="R37" s="70"/>
    </row>
    <row r="38" spans="1:18" ht="16.2" thickBot="1" x14ac:dyDescent="0.35">
      <c r="A38" s="7"/>
      <c r="D38">
        <f>SUM(D36:D37)</f>
        <v>0</v>
      </c>
      <c r="E38">
        <f>SUM(E36:E37)</f>
        <v>0</v>
      </c>
      <c r="I38" s="72"/>
      <c r="J38" s="72"/>
      <c r="K38">
        <f>SUM(K36:K37)</f>
        <v>0</v>
      </c>
      <c r="L38" s="75">
        <f>SUM(L36:L37)</f>
        <v>150</v>
      </c>
      <c r="M38" s="2"/>
      <c r="N38" s="73"/>
      <c r="O38" s="73"/>
      <c r="Q38" s="2"/>
      <c r="R38" s="70"/>
    </row>
    <row r="39" spans="1:18" x14ac:dyDescent="0.3">
      <c r="C39" s="215" t="s">
        <v>38</v>
      </c>
      <c r="D39" s="216"/>
      <c r="E39" s="215" t="s">
        <v>2</v>
      </c>
      <c r="F39" s="216"/>
      <c r="I39" s="215" t="s">
        <v>38</v>
      </c>
      <c r="J39" s="216"/>
      <c r="K39" s="215" t="s">
        <v>2</v>
      </c>
      <c r="L39" s="216"/>
    </row>
    <row r="40" spans="1:18" ht="15" thickBot="1" x14ac:dyDescent="0.35">
      <c r="C40" s="53" t="s">
        <v>4</v>
      </c>
      <c r="D40" s="53" t="s">
        <v>5</v>
      </c>
      <c r="E40" s="54" t="s">
        <v>6</v>
      </c>
      <c r="F40" s="53" t="s">
        <v>7</v>
      </c>
      <c r="I40" s="53" t="s">
        <v>4</v>
      </c>
      <c r="J40" s="53" t="s">
        <v>5</v>
      </c>
      <c r="K40" s="54" t="s">
        <v>6</v>
      </c>
      <c r="L40" s="53" t="s">
        <v>7</v>
      </c>
    </row>
    <row r="41" spans="1:18" x14ac:dyDescent="0.3">
      <c r="C41" s="55">
        <v>0</v>
      </c>
      <c r="D41" s="56">
        <v>18570</v>
      </c>
      <c r="E41" s="57"/>
      <c r="F41" s="55"/>
      <c r="I41" s="55">
        <v>0</v>
      </c>
      <c r="J41" s="56">
        <v>14665</v>
      </c>
      <c r="K41" s="57"/>
      <c r="L41" s="55"/>
    </row>
    <row r="42" spans="1:18" ht="15.6" x14ac:dyDescent="0.3">
      <c r="C42" s="58">
        <f t="shared" ref="C42:C47" si="1">+D41</f>
        <v>18570</v>
      </c>
      <c r="D42" s="58">
        <f>F43/E42+C42</f>
        <v>18570</v>
      </c>
      <c r="E42" s="59">
        <v>0.05</v>
      </c>
      <c r="F42" s="60">
        <v>0</v>
      </c>
      <c r="I42" s="61">
        <f>+J41</f>
        <v>14665</v>
      </c>
      <c r="J42" s="61">
        <f>(L43+J41*K42)*100</f>
        <v>29664.999999999996</v>
      </c>
      <c r="K42" s="63">
        <v>0.01</v>
      </c>
      <c r="L42" s="60">
        <v>0</v>
      </c>
    </row>
    <row r="43" spans="1:18" x14ac:dyDescent="0.3">
      <c r="C43" s="61">
        <f t="shared" si="1"/>
        <v>18570</v>
      </c>
      <c r="D43" s="62">
        <v>41265</v>
      </c>
      <c r="E43" s="63"/>
      <c r="F43" s="60">
        <v>0</v>
      </c>
      <c r="I43" s="61">
        <f>+J42</f>
        <v>29664.999999999996</v>
      </c>
      <c r="J43" s="62">
        <v>50985</v>
      </c>
      <c r="K43" s="63"/>
      <c r="L43" s="60">
        <v>150</v>
      </c>
    </row>
    <row r="44" spans="1:18" ht="15.6" x14ac:dyDescent="0.3">
      <c r="C44" s="58">
        <f t="shared" si="1"/>
        <v>41265</v>
      </c>
      <c r="D44" s="58">
        <f>F45/E44+C44</f>
        <v>41265</v>
      </c>
      <c r="E44" s="59">
        <v>0.05</v>
      </c>
      <c r="F44" s="60"/>
      <c r="I44" s="61">
        <f>J43</f>
        <v>50985</v>
      </c>
      <c r="J44" s="61">
        <f>(L45-L43+J43*K44)*100</f>
        <v>135985</v>
      </c>
      <c r="K44" s="63">
        <v>0.01</v>
      </c>
      <c r="L44" s="60">
        <v>150</v>
      </c>
    </row>
    <row r="45" spans="1:18" ht="15" thickBot="1" x14ac:dyDescent="0.35">
      <c r="C45" s="61">
        <f t="shared" si="1"/>
        <v>41265</v>
      </c>
      <c r="D45" s="62">
        <v>134095</v>
      </c>
      <c r="E45" s="63"/>
      <c r="F45" s="60">
        <v>0</v>
      </c>
      <c r="I45" s="64">
        <f>J44</f>
        <v>135985</v>
      </c>
      <c r="J45" s="54"/>
      <c r="K45" s="54"/>
      <c r="L45" s="65">
        <v>1000</v>
      </c>
    </row>
    <row r="46" spans="1:18" ht="15.6" x14ac:dyDescent="0.3">
      <c r="C46" s="58">
        <f t="shared" si="1"/>
        <v>134095</v>
      </c>
      <c r="D46" s="58">
        <f>F46/E46+C46</f>
        <v>134095</v>
      </c>
      <c r="E46" s="59">
        <v>0.04</v>
      </c>
      <c r="F46" s="60">
        <v>0</v>
      </c>
    </row>
    <row r="47" spans="1:18" ht="15.6" x14ac:dyDescent="0.3">
      <c r="C47" s="61">
        <f t="shared" si="1"/>
        <v>134095</v>
      </c>
      <c r="D47" s="61"/>
      <c r="E47" s="63"/>
      <c r="F47" s="58">
        <f>SUM(F42:F46)</f>
        <v>0</v>
      </c>
    </row>
    <row r="49" spans="1:12" x14ac:dyDescent="0.3">
      <c r="A49" t="s">
        <v>40</v>
      </c>
      <c r="I49" t="s">
        <v>41</v>
      </c>
    </row>
    <row r="50" spans="1:12" x14ac:dyDescent="0.3">
      <c r="A50" t="s">
        <v>35</v>
      </c>
      <c r="D50">
        <f>IF(J14=2,290*2,153+290)</f>
        <v>443</v>
      </c>
      <c r="J50">
        <f>IF(J14=2,(292*2+687),(139+292+567))</f>
        <v>998</v>
      </c>
    </row>
    <row r="51" spans="1:12" ht="15.6" x14ac:dyDescent="0.3">
      <c r="A51" t="s">
        <v>42</v>
      </c>
      <c r="D51">
        <v>37789</v>
      </c>
      <c r="J51" s="66">
        <v>34800</v>
      </c>
    </row>
    <row r="52" spans="1:12" x14ac:dyDescent="0.3">
      <c r="A52" t="s">
        <v>12</v>
      </c>
      <c r="D52">
        <f>(D50+(D51*5%))/5%</f>
        <v>46648.999999999993</v>
      </c>
      <c r="J52">
        <f>(J50+(J51*6%))/6%</f>
        <v>51433.333333333336</v>
      </c>
    </row>
    <row r="54" spans="1:12" x14ac:dyDescent="0.3">
      <c r="D54" t="s">
        <v>69</v>
      </c>
      <c r="E54" t="s">
        <v>48</v>
      </c>
      <c r="J54" t="s">
        <v>86</v>
      </c>
      <c r="K54" t="s">
        <v>48</v>
      </c>
    </row>
    <row r="55" spans="1:12" x14ac:dyDescent="0.3">
      <c r="D55">
        <f>IF(Données!C19&lt;Seuils!D51,Seuils!D50,IF(Données!C19&gt;Seuils!D52,0,D50-(Données!C19-Seuils!D51)*5%))</f>
        <v>443</v>
      </c>
      <c r="E55">
        <f>IF(Données!$E$19&lt;Seuils!D51,Seuils!D50,IF(Données!$E$19&gt;Seuils!D52,0,D50-(Données!$E$19-Seuils!D51)*5%))</f>
        <v>442.45</v>
      </c>
      <c r="I55" t="s">
        <v>41</v>
      </c>
      <c r="J55">
        <f>IF(Données!C19&lt;Seuils!J51,Seuils!J50,IF(Données!C19&gt;Seuils!J52,0,J50-(Données!C19-Seuils!J51)*6%))</f>
        <v>998</v>
      </c>
      <c r="K55">
        <f>IF(Données!$E$19&lt;Seuils!J51,Seuils!J50,IF(Données!$E$19&gt;Seuils!J52,0,J50-(Données!$E$19-Seuils!J51)*6%))</f>
        <v>818</v>
      </c>
    </row>
    <row r="56" spans="1:12" x14ac:dyDescent="0.3">
      <c r="I56" t="s">
        <v>147</v>
      </c>
      <c r="J56">
        <f>IF(Données!C19&lt;Seuils!$L$59,Seuils!$L$58,IF(Données!C19&gt;Seuils!$L$60,0,Seuils!$L$58-(Données!C19-Seuils!$L$59)*5%))</f>
        <v>200</v>
      </c>
      <c r="K56">
        <f>IF(Données!E19&lt;Seuils!$L$59,Seuils!$L$58,IF(Données!E19&gt;Seuils!$L$60,0,Seuils!$L$58-(Données!E19-Seuils!$L$59)*5%))</f>
        <v>0</v>
      </c>
    </row>
    <row r="58" spans="1:12" x14ac:dyDescent="0.3">
      <c r="I58" t="s">
        <v>148</v>
      </c>
      <c r="J58" s="205">
        <v>200</v>
      </c>
      <c r="K58" s="205">
        <v>400</v>
      </c>
      <c r="L58">
        <f>IF(Données!$B$4=1,Seuils!J58,Seuils!K58)</f>
        <v>200</v>
      </c>
    </row>
    <row r="59" spans="1:12" x14ac:dyDescent="0.3">
      <c r="I59" t="s">
        <v>42</v>
      </c>
      <c r="J59" s="205">
        <v>22500</v>
      </c>
      <c r="K59" s="205">
        <v>36600</v>
      </c>
      <c r="L59">
        <f>IF(Données!$B$4=1,Seuils!J59,Seuils!K59)</f>
        <v>22500</v>
      </c>
    </row>
    <row r="60" spans="1:12" x14ac:dyDescent="0.3">
      <c r="I60" t="s">
        <v>12</v>
      </c>
      <c r="J60" s="205">
        <v>26500</v>
      </c>
      <c r="K60" s="205">
        <v>44600</v>
      </c>
      <c r="L60">
        <f>IF(Données!$B$4=1,Seuils!J60,Seuils!K60)</f>
        <v>26500</v>
      </c>
    </row>
    <row r="63" spans="1:12" ht="15.6" x14ac:dyDescent="0.3">
      <c r="A63" t="s">
        <v>140</v>
      </c>
      <c r="B63" t="s">
        <v>128</v>
      </c>
      <c r="C63" t="s">
        <v>23</v>
      </c>
      <c r="I63" s="197" t="s">
        <v>127</v>
      </c>
      <c r="J63" s="195" t="s">
        <v>128</v>
      </c>
      <c r="K63" s="195" t="s">
        <v>23</v>
      </c>
    </row>
    <row r="64" spans="1:12" x14ac:dyDescent="0.3">
      <c r="A64" t="s">
        <v>129</v>
      </c>
      <c r="B64" s="198">
        <v>2400</v>
      </c>
      <c r="C64" s="198">
        <v>3600</v>
      </c>
      <c r="D64">
        <f>IF(Données!$B$4=1,Seuils!B64,Seuils!C64)</f>
        <v>2400</v>
      </c>
      <c r="I64" t="s">
        <v>129</v>
      </c>
      <c r="J64" s="198">
        <v>2400</v>
      </c>
      <c r="K64" s="198">
        <v>3600</v>
      </c>
      <c r="L64">
        <f>IF(Données!$B$4=1,Seuils!J64,Seuils!K64)</f>
        <v>2400</v>
      </c>
    </row>
    <row r="65" spans="1:12" x14ac:dyDescent="0.3">
      <c r="A65" t="s">
        <v>137</v>
      </c>
      <c r="B65" s="79">
        <v>0.20499999999999999</v>
      </c>
      <c r="C65" s="79">
        <v>0.20499999999999999</v>
      </c>
      <c r="D65">
        <f>IF(Données!$B$4=1,Seuils!B65,Seuils!C65)</f>
        <v>0.20499999999999999</v>
      </c>
      <c r="I65" t="s">
        <v>130</v>
      </c>
      <c r="J65" s="199">
        <v>9.4E-2</v>
      </c>
      <c r="K65" s="199">
        <v>9.4E-2</v>
      </c>
      <c r="L65">
        <f>IF(Données!$B$4=1,Seuils!J65,Seuils!K65)</f>
        <v>9.4E-2</v>
      </c>
    </row>
    <row r="66" spans="1:12" x14ac:dyDescent="0.3">
      <c r="A66" t="s">
        <v>130</v>
      </c>
      <c r="B66" s="79">
        <v>0.20499999999999999</v>
      </c>
      <c r="C66" s="79">
        <v>0.20499999999999999</v>
      </c>
      <c r="D66">
        <f>IF(Données!$B$4=1,Seuils!B66,Seuils!C66)</f>
        <v>0.20499999999999999</v>
      </c>
      <c r="I66" t="s">
        <v>131</v>
      </c>
      <c r="J66" s="200">
        <f>(J69-J64)*J65</f>
        <v>768.35599999999999</v>
      </c>
      <c r="K66" s="200">
        <f>(K69-K64)*K65</f>
        <v>1199.0640000000001</v>
      </c>
      <c r="L66">
        <f>IF(Données!$B$4=1,Seuils!J66,Seuils!K66)</f>
        <v>768.35599999999999</v>
      </c>
    </row>
    <row r="67" spans="1:12" x14ac:dyDescent="0.3">
      <c r="A67" t="s">
        <v>131</v>
      </c>
      <c r="B67" s="202">
        <v>1675.67</v>
      </c>
      <c r="C67" s="202">
        <v>2614.98</v>
      </c>
      <c r="D67">
        <f>IF(Données!$B$4=1,Seuils!B67,Seuils!C67)</f>
        <v>1675.67</v>
      </c>
      <c r="I67" t="s">
        <v>132</v>
      </c>
      <c r="J67" s="201">
        <f>IF($E$12&lt;J64,0,IF($E$12&lt;J69,($E$12-J64)*J65,J66))</f>
        <v>0</v>
      </c>
      <c r="K67" s="201">
        <f>IF($E$12&lt;K64,0,IF($E$12&lt;K69,($E$12-K64)*K65,K66))</f>
        <v>0</v>
      </c>
      <c r="L67">
        <f>IF(Données!$B$4=1,Seuils!J67,Seuils!K67)</f>
        <v>0</v>
      </c>
    </row>
    <row r="68" spans="1:12" x14ac:dyDescent="0.3">
      <c r="A68" t="s">
        <v>138</v>
      </c>
      <c r="B68" s="201">
        <f>(B64*B65+B67)/B65</f>
        <v>10574.000000000002</v>
      </c>
      <c r="C68" s="201">
        <f>(C64*C65+C67)/C65</f>
        <v>16356.000000000002</v>
      </c>
      <c r="D68">
        <f>IF(Données!$B$4=1,Seuils!B68,Seuils!C68)</f>
        <v>10574.000000000002</v>
      </c>
      <c r="I68" t="s">
        <v>133</v>
      </c>
    </row>
    <row r="69" spans="1:12" x14ac:dyDescent="0.3">
      <c r="A69" t="s">
        <v>133</v>
      </c>
      <c r="I69" t="s">
        <v>134</v>
      </c>
      <c r="J69" s="94">
        <v>10574</v>
      </c>
      <c r="K69" s="94">
        <v>16356</v>
      </c>
      <c r="L69">
        <f>IF(Données!$B$4=1,Seuils!J69,Seuils!K69)</f>
        <v>10574</v>
      </c>
    </row>
    <row r="70" spans="1:12" x14ac:dyDescent="0.3">
      <c r="A70" t="s">
        <v>134</v>
      </c>
      <c r="B70" s="203">
        <v>12048.62</v>
      </c>
      <c r="C70" s="203">
        <v>18509.599999999999</v>
      </c>
      <c r="D70">
        <f>IF(Données!$B$4=1,Seuils!B70,Seuils!C70)</f>
        <v>12048.62</v>
      </c>
      <c r="I70" t="s">
        <v>135</v>
      </c>
      <c r="J70" s="199">
        <v>0.1</v>
      </c>
      <c r="K70" s="199">
        <v>0.1</v>
      </c>
      <c r="L70">
        <f>IF(Données!B3=1,Seuils!J70,Seuils!K70)</f>
        <v>0.1</v>
      </c>
    </row>
    <row r="71" spans="1:12" ht="15.6" x14ac:dyDescent="0.3">
      <c r="A71" t="s">
        <v>135</v>
      </c>
      <c r="B71" s="199">
        <v>0.2</v>
      </c>
      <c r="C71" s="199">
        <v>0.2</v>
      </c>
      <c r="D71">
        <f>IF(Données!$B$4=1,Seuils!B71,Seuils!C71)</f>
        <v>0.2</v>
      </c>
      <c r="I71" s="74" t="s">
        <v>136</v>
      </c>
      <c r="J71" s="198">
        <f>(J66+(J69*J70))/J70</f>
        <v>18257.560000000001</v>
      </c>
      <c r="K71" s="198">
        <f>(K66+(K69*K70))/K70</f>
        <v>28346.639999999999</v>
      </c>
      <c r="L71">
        <f>IF(Données!$B$4=1,Seuils!J71,Seuils!K71)</f>
        <v>18257.560000000001</v>
      </c>
    </row>
    <row r="72" spans="1:12" x14ac:dyDescent="0.3">
      <c r="A72" t="s">
        <v>139</v>
      </c>
      <c r="B72" s="198">
        <f>(B67+(B70*B66))/B66</f>
        <v>20222.620000000003</v>
      </c>
      <c r="C72" s="198">
        <f>(C67+(C70*C66))/C66</f>
        <v>31265.599999999999</v>
      </c>
      <c r="D72">
        <f>IF(Données!$B$4=1,Seuils!B72,Seuils!C72)</f>
        <v>20222.620000000003</v>
      </c>
    </row>
    <row r="73" spans="1:12" ht="15.6" x14ac:dyDescent="0.3">
      <c r="I73" s="197"/>
      <c r="J73" s="195"/>
      <c r="K73" s="195"/>
    </row>
    <row r="74" spans="1:12" x14ac:dyDescent="0.3">
      <c r="J74" s="198"/>
      <c r="K74" s="198"/>
    </row>
    <row r="75" spans="1:12" x14ac:dyDescent="0.3">
      <c r="J75" s="199"/>
      <c r="K75" s="199"/>
    </row>
    <row r="76" spans="1:12" x14ac:dyDescent="0.3">
      <c r="J76" s="200"/>
      <c r="K76" s="200"/>
    </row>
    <row r="77" spans="1:12" x14ac:dyDescent="0.3">
      <c r="J77" s="201"/>
      <c r="K77" s="201"/>
    </row>
    <row r="78" spans="1:12" ht="21.6" x14ac:dyDescent="0.45">
      <c r="A78" s="80" t="s">
        <v>104</v>
      </c>
      <c r="B78" s="2"/>
      <c r="C78" s="2"/>
      <c r="D78" s="2"/>
      <c r="E78" s="2"/>
      <c r="F78" s="2"/>
      <c r="G78" s="2"/>
      <c r="H78" s="2"/>
    </row>
    <row r="79" spans="1:12" ht="16.2" thickBot="1" x14ac:dyDescent="0.35">
      <c r="A79" s="2"/>
      <c r="B79" s="2"/>
      <c r="C79" s="2"/>
      <c r="D79" s="2"/>
      <c r="E79" s="2"/>
      <c r="F79" s="2"/>
      <c r="G79" s="2"/>
      <c r="H79" s="2"/>
      <c r="J79" s="94"/>
      <c r="K79" s="94"/>
    </row>
    <row r="80" spans="1:12" ht="15.6" thickTop="1" x14ac:dyDescent="0.3">
      <c r="A80" s="81" t="s">
        <v>105</v>
      </c>
      <c r="B80" s="82">
        <v>20</v>
      </c>
      <c r="C80" s="82">
        <v>25</v>
      </c>
      <c r="D80" s="82">
        <v>30</v>
      </c>
      <c r="E80" s="82">
        <v>35</v>
      </c>
      <c r="F80" s="82">
        <v>40</v>
      </c>
      <c r="G80" s="82">
        <v>45</v>
      </c>
      <c r="H80" s="83">
        <v>50</v>
      </c>
      <c r="J80" s="199"/>
      <c r="K80" s="199"/>
    </row>
    <row r="81" spans="1:11" ht="15.6" x14ac:dyDescent="0.3">
      <c r="A81" s="84" t="s">
        <v>106</v>
      </c>
      <c r="B81" s="85">
        <f>H88</f>
        <v>202612.81910669795</v>
      </c>
      <c r="C81" s="86">
        <f>B81</f>
        <v>202612.81910669795</v>
      </c>
      <c r="D81" s="86">
        <f>B81</f>
        <v>202612.81910669795</v>
      </c>
      <c r="E81" s="86">
        <f>B81</f>
        <v>202612.81910669795</v>
      </c>
      <c r="F81" s="86">
        <f>B81</f>
        <v>202612.81910669795</v>
      </c>
      <c r="G81" s="86">
        <f>B81</f>
        <v>202612.81910669795</v>
      </c>
      <c r="H81" s="87">
        <f>B81</f>
        <v>202612.81910669795</v>
      </c>
      <c r="I81" s="74"/>
      <c r="J81" s="198"/>
      <c r="K81" s="198"/>
    </row>
    <row r="82" spans="1:11" ht="15.6" x14ac:dyDescent="0.3">
      <c r="A82" s="84" t="s">
        <v>107</v>
      </c>
      <c r="B82" s="88">
        <f t="shared" ref="B82:C82" si="2">PMT($B$86,65-B80,,-B81)</f>
        <v>1268.7077104158395</v>
      </c>
      <c r="C82" s="88">
        <f t="shared" si="2"/>
        <v>1677.2615708699407</v>
      </c>
      <c r="D82" s="88">
        <f>PMT($B$86,65-D80,,-D81)</f>
        <v>2243.2698143664938</v>
      </c>
      <c r="E82" s="88">
        <f>PMT($B$86,65-E80,,-E81)</f>
        <v>3049.6136932162876</v>
      </c>
      <c r="F82" s="88">
        <f t="shared" ref="F82:H82" si="3">PMT($B$86,65-F80,,-F81)</f>
        <v>4245.236440609624</v>
      </c>
      <c r="G82" s="88">
        <f t="shared" si="3"/>
        <v>6127.5358477860791</v>
      </c>
      <c r="H82" s="88">
        <f t="shared" si="3"/>
        <v>9389.5415363623979</v>
      </c>
      <c r="J82" s="198"/>
      <c r="K82" s="198"/>
    </row>
    <row r="83" spans="1:11" ht="15.6" x14ac:dyDescent="0.3">
      <c r="A83" s="84" t="s">
        <v>108</v>
      </c>
      <c r="B83" s="89"/>
      <c r="C83" s="90">
        <f>C82/$B$82</f>
        <v>1.3220236285315796</v>
      </c>
      <c r="D83" s="90">
        <f t="shared" ref="D83:H83" si="4">D82/$B$82</f>
        <v>1.76815337051213</v>
      </c>
      <c r="E83" s="90">
        <f t="shared" si="4"/>
        <v>2.4037165283851922</v>
      </c>
      <c r="F83" s="90">
        <f t="shared" si="4"/>
        <v>3.3461106965434766</v>
      </c>
      <c r="G83" s="90">
        <f t="shared" si="4"/>
        <v>4.8297458882611188</v>
      </c>
      <c r="H83" s="90">
        <f t="shared" si="4"/>
        <v>7.4008705545620304</v>
      </c>
      <c r="I83" s="2"/>
    </row>
    <row r="84" spans="1:11" ht="16.2" thickBot="1" x14ac:dyDescent="0.35">
      <c r="A84" s="91" t="s">
        <v>109</v>
      </c>
      <c r="B84" s="103">
        <f t="shared" ref="B84:H84" si="5">B82*(66-B80)</f>
        <v>58360.554679128618</v>
      </c>
      <c r="C84" s="103">
        <f t="shared" si="5"/>
        <v>68767.72440566757</v>
      </c>
      <c r="D84" s="103">
        <f t="shared" si="5"/>
        <v>80757.713317193775</v>
      </c>
      <c r="E84" s="103">
        <f t="shared" si="5"/>
        <v>94538.024489704912</v>
      </c>
      <c r="F84" s="103">
        <f t="shared" si="5"/>
        <v>110376.14745585022</v>
      </c>
      <c r="G84" s="103">
        <f t="shared" si="5"/>
        <v>128678.25280350767</v>
      </c>
      <c r="H84" s="104">
        <f t="shared" si="5"/>
        <v>150232.66458179837</v>
      </c>
      <c r="I84" s="2"/>
    </row>
    <row r="85" spans="1:11" ht="16.2" thickTop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11" ht="15.6" x14ac:dyDescent="0.3">
      <c r="A86" s="2" t="s">
        <v>110</v>
      </c>
      <c r="B86" s="92">
        <f>Données!B62</f>
        <v>0.05</v>
      </c>
      <c r="C86" s="2"/>
      <c r="D86" s="2"/>
      <c r="E86" s="2"/>
      <c r="F86" s="2"/>
      <c r="G86" s="2"/>
      <c r="H86" s="2"/>
      <c r="I86" s="2"/>
    </row>
    <row r="87" spans="1:11" ht="15.6" x14ac:dyDescent="0.3">
      <c r="A87" s="2">
        <v>19</v>
      </c>
      <c r="B87" s="2"/>
      <c r="C87" s="2"/>
      <c r="D87" s="2"/>
      <c r="E87" s="2"/>
      <c r="F87" s="2"/>
      <c r="G87" s="2"/>
      <c r="H87" s="2"/>
      <c r="I87" s="2">
        <f>(Données!B46*5+Données!B53*22)/27</f>
        <v>10714.231738037037</v>
      </c>
    </row>
    <row r="88" spans="1:11" ht="15.6" x14ac:dyDescent="0.3">
      <c r="A88" s="2">
        <v>20</v>
      </c>
      <c r="B88" s="93">
        <f>B82</f>
        <v>1268.7077104158395</v>
      </c>
      <c r="C88" s="2"/>
      <c r="D88" s="2"/>
      <c r="E88" s="2"/>
      <c r="F88" s="2" t="s">
        <v>111</v>
      </c>
      <c r="G88" s="2"/>
      <c r="H88" s="94">
        <f>I88</f>
        <v>202612.81910669795</v>
      </c>
      <c r="I88" s="105">
        <f>PV(Données!B67,28,-I87)</f>
        <v>202612.81910669795</v>
      </c>
    </row>
    <row r="89" spans="1:11" ht="15.6" x14ac:dyDescent="0.3">
      <c r="A89" s="95">
        <f>A88+1</f>
        <v>21</v>
      </c>
      <c r="B89" s="96">
        <f>FV($B$86,A89-$A$87,-$B$82,,0)</f>
        <v>2600.8508063524719</v>
      </c>
      <c r="C89" s="2"/>
      <c r="D89" s="2"/>
      <c r="E89" s="2"/>
      <c r="F89" s="2" t="s">
        <v>110</v>
      </c>
      <c r="G89" s="2"/>
      <c r="H89" s="49">
        <f>Données!B67</f>
        <v>2.9364999999999999E-2</v>
      </c>
      <c r="I89" s="2"/>
    </row>
    <row r="90" spans="1:11" ht="15.6" x14ac:dyDescent="0.3">
      <c r="A90" s="95">
        <f t="shared" ref="A90:A132" si="6">A89+1</f>
        <v>22</v>
      </c>
      <c r="B90" s="96">
        <f t="shared" ref="B90:B132" si="7">FV($B$86,A90-$A$87,-$B$82,,0)</f>
        <v>3999.6010570859371</v>
      </c>
      <c r="C90" s="2"/>
      <c r="D90" s="2"/>
      <c r="E90" s="2"/>
      <c r="F90" s="2" t="s">
        <v>112</v>
      </c>
      <c r="G90" s="2"/>
      <c r="H90" s="49">
        <f>I90/H88</f>
        <v>5.2880325071607712E-2</v>
      </c>
      <c r="I90" s="2">
        <f>I87</f>
        <v>10714.231738037037</v>
      </c>
    </row>
    <row r="91" spans="1:11" ht="15.6" x14ac:dyDescent="0.3">
      <c r="A91" s="95">
        <f t="shared" si="6"/>
        <v>23</v>
      </c>
      <c r="B91" s="96">
        <f t="shared" si="7"/>
        <v>5468.2888203560706</v>
      </c>
      <c r="C91" s="2"/>
      <c r="D91" s="2"/>
      <c r="E91" s="2"/>
      <c r="F91" s="2" t="s">
        <v>113</v>
      </c>
      <c r="G91" s="2"/>
      <c r="H91" s="97">
        <v>0.02</v>
      </c>
      <c r="I91" s="2"/>
    </row>
    <row r="92" spans="1:11" ht="15.6" x14ac:dyDescent="0.3">
      <c r="A92" s="95">
        <f t="shared" si="6"/>
        <v>24</v>
      </c>
      <c r="B92" s="96">
        <f t="shared" si="7"/>
        <v>7010.4109717897163</v>
      </c>
      <c r="C92" s="2"/>
      <c r="D92" s="2"/>
      <c r="E92" s="2"/>
      <c r="F92" s="2" t="s">
        <v>114</v>
      </c>
      <c r="G92" s="2"/>
      <c r="H92" s="98">
        <v>27.7</v>
      </c>
      <c r="I92" s="2"/>
    </row>
    <row r="93" spans="1:11" ht="15.6" x14ac:dyDescent="0.3">
      <c r="A93" s="95">
        <f t="shared" si="6"/>
        <v>25</v>
      </c>
      <c r="B93" s="96">
        <f t="shared" si="7"/>
        <v>8629.6392307950373</v>
      </c>
      <c r="C93" s="93">
        <f>C82</f>
        <v>1677.2615708699407</v>
      </c>
      <c r="D93" s="2"/>
      <c r="E93" s="2"/>
      <c r="F93" s="2"/>
      <c r="G93" s="2"/>
      <c r="H93" s="99">
        <f>H88*H90</f>
        <v>10714.231738037037</v>
      </c>
      <c r="I93" s="2"/>
    </row>
    <row r="94" spans="1:11" ht="15.6" x14ac:dyDescent="0.3">
      <c r="A94" s="95">
        <f t="shared" si="6"/>
        <v>26</v>
      </c>
      <c r="B94" s="96">
        <f t="shared" si="7"/>
        <v>10329.828902750636</v>
      </c>
      <c r="C94" s="100">
        <f>FV($B$86,A89-$A$87,-$C$82,,0)</f>
        <v>3438.3862202833798</v>
      </c>
      <c r="D94" s="100"/>
      <c r="E94" s="2"/>
      <c r="F94" s="100" t="s">
        <v>115</v>
      </c>
      <c r="G94" s="2"/>
      <c r="H94" s="101">
        <f>((1+H89)/(1+H91))-1</f>
        <v>9.1813725490197395E-3</v>
      </c>
      <c r="I94" s="2"/>
    </row>
    <row r="95" spans="1:11" ht="15.6" x14ac:dyDescent="0.3">
      <c r="A95" s="95">
        <f t="shared" si="6"/>
        <v>27</v>
      </c>
      <c r="B95" s="96">
        <f t="shared" si="7"/>
        <v>12115.028058304002</v>
      </c>
      <c r="C95" s="100">
        <f t="shared" ref="C95:C132" si="8">FV($B$86,A90-$A$87,-$C$82,,0)</f>
        <v>5287.5671021674925</v>
      </c>
      <c r="D95" s="100"/>
      <c r="E95" s="2"/>
      <c r="F95" s="100"/>
      <c r="G95" s="2"/>
      <c r="H95" s="102">
        <f>NPER(H94,-H88*H90,H88,,1)</f>
        <v>20.657360484752143</v>
      </c>
      <c r="I95" s="2"/>
    </row>
    <row r="96" spans="1:11" ht="15.6" x14ac:dyDescent="0.3">
      <c r="A96" s="95">
        <f t="shared" si="6"/>
        <v>28</v>
      </c>
      <c r="B96" s="96">
        <f t="shared" si="7"/>
        <v>13989.487171635044</v>
      </c>
      <c r="C96" s="100">
        <f t="shared" si="8"/>
        <v>7229.2070281458036</v>
      </c>
    </row>
    <row r="97" spans="1:3" ht="15.6" x14ac:dyDescent="0.3">
      <c r="A97" s="95">
        <f t="shared" si="6"/>
        <v>29</v>
      </c>
      <c r="B97" s="96">
        <f t="shared" si="7"/>
        <v>15957.669240632635</v>
      </c>
      <c r="C97" s="100">
        <f t="shared" si="8"/>
        <v>9267.9289504230383</v>
      </c>
    </row>
    <row r="98" spans="1:3" ht="15.6" x14ac:dyDescent="0.3">
      <c r="A98" s="95">
        <f t="shared" si="6"/>
        <v>30</v>
      </c>
      <c r="B98" s="96">
        <f t="shared" si="7"/>
        <v>18024.260413080112</v>
      </c>
      <c r="C98" s="100">
        <f t="shared" si="8"/>
        <v>11408.586968814125</v>
      </c>
    </row>
    <row r="99" spans="1:3" ht="15.6" x14ac:dyDescent="0.3">
      <c r="A99" s="95">
        <f t="shared" si="6"/>
        <v>31</v>
      </c>
      <c r="B99" s="96">
        <f t="shared" si="7"/>
        <v>20194.181144149949</v>
      </c>
      <c r="C99" s="100">
        <f t="shared" si="8"/>
        <v>13656.277888124781</v>
      </c>
    </row>
    <row r="100" spans="1:3" ht="15.6" x14ac:dyDescent="0.3">
      <c r="A100" s="95">
        <f t="shared" si="6"/>
        <v>32</v>
      </c>
      <c r="B100" s="96">
        <f t="shared" si="7"/>
        <v>22472.597911773293</v>
      </c>
      <c r="C100" s="100">
        <f t="shared" si="8"/>
        <v>16016.353353400953</v>
      </c>
    </row>
    <row r="101" spans="1:3" ht="15.6" x14ac:dyDescent="0.3">
      <c r="A101" s="95">
        <f t="shared" si="6"/>
        <v>33</v>
      </c>
      <c r="B101" s="96">
        <f t="shared" si="7"/>
        <v>24864.935517777787</v>
      </c>
      <c r="C101" s="100">
        <f t="shared" si="8"/>
        <v>18494.432591940946</v>
      </c>
    </row>
    <row r="102" spans="1:3" ht="15.6" x14ac:dyDescent="0.3">
      <c r="A102" s="95">
        <f t="shared" si="6"/>
        <v>34</v>
      </c>
      <c r="B102" s="96">
        <f t="shared" si="7"/>
        <v>27376.890004082532</v>
      </c>
      <c r="C102" s="100">
        <f t="shared" si="8"/>
        <v>21096.415792407934</v>
      </c>
    </row>
    <row r="103" spans="1:3" ht="15.6" x14ac:dyDescent="0.3">
      <c r="A103" s="95">
        <f t="shared" si="6"/>
        <v>35</v>
      </c>
      <c r="B103" s="96">
        <f t="shared" si="7"/>
        <v>30014.442214702492</v>
      </c>
      <c r="C103" s="100">
        <f t="shared" si="8"/>
        <v>23828.498152898275</v>
      </c>
    </row>
    <row r="104" spans="1:3" ht="15.6" x14ac:dyDescent="0.3">
      <c r="A104" s="95">
        <f t="shared" si="6"/>
        <v>36</v>
      </c>
      <c r="B104" s="96">
        <f t="shared" si="7"/>
        <v>32783.872035853463</v>
      </c>
      <c r="C104" s="100">
        <f t="shared" si="8"/>
        <v>26697.184631413118</v>
      </c>
    </row>
    <row r="105" spans="1:3" ht="15.6" x14ac:dyDescent="0.3">
      <c r="A105" s="95">
        <f t="shared" si="6"/>
        <v>37</v>
      </c>
      <c r="B105" s="96">
        <f t="shared" si="7"/>
        <v>35691.773348061979</v>
      </c>
      <c r="C105" s="100">
        <f t="shared" si="8"/>
        <v>29709.305433853729</v>
      </c>
    </row>
    <row r="106" spans="1:3" ht="15.6" x14ac:dyDescent="0.3">
      <c r="A106" s="95">
        <f t="shared" si="6"/>
        <v>38</v>
      </c>
      <c r="B106" s="96">
        <f t="shared" si="7"/>
        <v>38745.069725880916</v>
      </c>
      <c r="C106" s="100">
        <f t="shared" si="8"/>
        <v>32872.032276416343</v>
      </c>
    </row>
    <row r="107" spans="1:3" ht="15.6" x14ac:dyDescent="0.3">
      <c r="A107" s="95">
        <f t="shared" si="6"/>
        <v>39</v>
      </c>
      <c r="B107" s="96">
        <f t="shared" si="7"/>
        <v>41951.030922590791</v>
      </c>
      <c r="C107" s="100">
        <f t="shared" si="8"/>
        <v>36192.895461107124</v>
      </c>
    </row>
    <row r="108" spans="1:3" ht="15.6" x14ac:dyDescent="0.3">
      <c r="A108" s="95">
        <f t="shared" si="6"/>
        <v>40</v>
      </c>
      <c r="B108" s="96">
        <f t="shared" si="7"/>
        <v>45317.29017913618</v>
      </c>
      <c r="C108" s="100">
        <f t="shared" si="8"/>
        <v>39679.80180503241</v>
      </c>
    </row>
    <row r="109" spans="1:3" ht="15.6" x14ac:dyDescent="0.3">
      <c r="A109" s="95">
        <f t="shared" si="6"/>
        <v>41</v>
      </c>
      <c r="B109" s="112">
        <f t="shared" si="7"/>
        <v>48851.86239850882</v>
      </c>
      <c r="C109" s="100">
        <f t="shared" si="8"/>
        <v>43341.053466153979</v>
      </c>
    </row>
    <row r="110" spans="1:3" ht="15.6" x14ac:dyDescent="0.3">
      <c r="A110" s="95">
        <f t="shared" si="6"/>
        <v>42</v>
      </c>
      <c r="B110" s="112">
        <f t="shared" si="7"/>
        <v>52563.163228850113</v>
      </c>
      <c r="C110" s="100">
        <f t="shared" si="8"/>
        <v>47185.367710331615</v>
      </c>
    </row>
    <row r="111" spans="1:3" ht="15.6" x14ac:dyDescent="0.3">
      <c r="A111" s="95">
        <f t="shared" si="6"/>
        <v>43</v>
      </c>
      <c r="B111" s="112">
        <f t="shared" si="7"/>
        <v>56460.029100708445</v>
      </c>
      <c r="C111" s="100">
        <f t="shared" si="8"/>
        <v>51221.897666718141</v>
      </c>
    </row>
    <row r="112" spans="1:3" ht="15.6" x14ac:dyDescent="0.3">
      <c r="A112" s="95">
        <f t="shared" si="6"/>
        <v>44</v>
      </c>
      <c r="B112" s="112">
        <f t="shared" si="7"/>
        <v>60551.738266159715</v>
      </c>
      <c r="C112" s="100">
        <f t="shared" si="8"/>
        <v>55460.254120923979</v>
      </c>
    </row>
    <row r="113" spans="1:3" ht="15.6" x14ac:dyDescent="0.3">
      <c r="A113" s="95">
        <f t="shared" si="6"/>
        <v>45</v>
      </c>
      <c r="B113" s="112">
        <f t="shared" si="7"/>
        <v>64848.032889883543</v>
      </c>
      <c r="C113" s="100">
        <f t="shared" si="8"/>
        <v>59910.528397840128</v>
      </c>
    </row>
    <row r="114" spans="1:3" ht="15.6" x14ac:dyDescent="0.3">
      <c r="A114" s="95">
        <f t="shared" si="6"/>
        <v>46</v>
      </c>
      <c r="B114" s="112">
        <f t="shared" si="7"/>
        <v>69359.142244793562</v>
      </c>
      <c r="C114" s="100">
        <f t="shared" si="8"/>
        <v>64583.316388602063</v>
      </c>
    </row>
    <row r="115" spans="1:3" ht="15.6" x14ac:dyDescent="0.3">
      <c r="A115" s="95">
        <f t="shared" si="6"/>
        <v>47</v>
      </c>
      <c r="B115" s="112">
        <f t="shared" si="7"/>
        <v>74095.807067449074</v>
      </c>
      <c r="C115" s="100">
        <f t="shared" si="8"/>
        <v>69489.743778902121</v>
      </c>
    </row>
    <row r="116" spans="1:3" ht="15.6" x14ac:dyDescent="0.3">
      <c r="A116" s="95">
        <f t="shared" si="6"/>
        <v>48</v>
      </c>
      <c r="B116" s="112">
        <f t="shared" si="7"/>
        <v>79069.305131237386</v>
      </c>
      <c r="C116" s="100">
        <f t="shared" si="8"/>
        <v>74641.492538717153</v>
      </c>
    </row>
    <row r="117" spans="1:3" ht="15.6" x14ac:dyDescent="0.3">
      <c r="A117" s="95">
        <f t="shared" si="6"/>
        <v>49</v>
      </c>
      <c r="B117" s="112">
        <f t="shared" si="7"/>
        <v>84291.478098215055</v>
      </c>
      <c r="C117" s="100">
        <f t="shared" si="8"/>
        <v>80050.828736522963</v>
      </c>
    </row>
    <row r="118" spans="1:3" ht="15.6" x14ac:dyDescent="0.3">
      <c r="A118" s="95">
        <f t="shared" si="6"/>
        <v>50</v>
      </c>
      <c r="B118" s="112">
        <f t="shared" si="7"/>
        <v>89774.759713541702</v>
      </c>
      <c r="C118" s="100">
        <f t="shared" si="8"/>
        <v>85730.631744219063</v>
      </c>
    </row>
    <row r="119" spans="1:3" ht="15.6" x14ac:dyDescent="0.3">
      <c r="A119" s="95">
        <f t="shared" si="6"/>
        <v>51</v>
      </c>
      <c r="B119" s="112">
        <f t="shared" si="7"/>
        <v>95532.205409634611</v>
      </c>
      <c r="C119" s="100">
        <f t="shared" si="8"/>
        <v>91694.424902299957</v>
      </c>
    </row>
    <row r="120" spans="1:3" ht="15.6" x14ac:dyDescent="0.3">
      <c r="A120" s="95">
        <f t="shared" si="6"/>
        <v>52</v>
      </c>
      <c r="B120" s="112">
        <f t="shared" si="7"/>
        <v>101577.52339053218</v>
      </c>
      <c r="C120" s="100">
        <f t="shared" si="8"/>
        <v>97956.40771828487</v>
      </c>
    </row>
    <row r="121" spans="1:3" ht="15.6" x14ac:dyDescent="0.3">
      <c r="A121" s="95">
        <f t="shared" si="6"/>
        <v>53</v>
      </c>
      <c r="B121" s="112">
        <f t="shared" si="7"/>
        <v>107925.10727047462</v>
      </c>
      <c r="C121" s="100">
        <f t="shared" si="8"/>
        <v>104531.48967506908</v>
      </c>
    </row>
    <row r="122" spans="1:3" ht="15.6" x14ac:dyDescent="0.3">
      <c r="A122" s="95">
        <f t="shared" si="6"/>
        <v>54</v>
      </c>
      <c r="B122" s="112">
        <f t="shared" si="7"/>
        <v>114590.07034441421</v>
      </c>
      <c r="C122" s="100">
        <f t="shared" si="8"/>
        <v>111435.32572969244</v>
      </c>
    </row>
    <row r="123" spans="1:3" ht="15.6" x14ac:dyDescent="0.3">
      <c r="A123" s="95">
        <f t="shared" si="6"/>
        <v>55</v>
      </c>
      <c r="B123" s="112">
        <f t="shared" si="7"/>
        <v>121588.28157205074</v>
      </c>
      <c r="C123" s="100">
        <f t="shared" si="8"/>
        <v>118684.35358704707</v>
      </c>
    </row>
    <row r="124" spans="1:3" ht="15.6" x14ac:dyDescent="0.3">
      <c r="A124" s="95">
        <f t="shared" si="6"/>
        <v>56</v>
      </c>
      <c r="B124" s="112">
        <f t="shared" si="7"/>
        <v>128936.40336106914</v>
      </c>
      <c r="C124" s="100">
        <f t="shared" si="8"/>
        <v>126295.83283726934</v>
      </c>
    </row>
    <row r="125" spans="1:3" ht="15.6" x14ac:dyDescent="0.3">
      <c r="A125" s="95">
        <f t="shared" si="6"/>
        <v>57</v>
      </c>
      <c r="B125" s="112">
        <f t="shared" si="7"/>
        <v>136651.93123953839</v>
      </c>
      <c r="C125" s="100">
        <f t="shared" si="8"/>
        <v>134287.88605000274</v>
      </c>
    </row>
    <row r="126" spans="1:3" ht="15.6" x14ac:dyDescent="0.3">
      <c r="A126" s="95">
        <f t="shared" si="6"/>
        <v>58</v>
      </c>
      <c r="B126" s="112">
        <f t="shared" si="7"/>
        <v>144753.23551193118</v>
      </c>
      <c r="C126" s="100">
        <f t="shared" si="8"/>
        <v>142679.54192337283</v>
      </c>
    </row>
    <row r="127" spans="1:3" ht="15.6" x14ac:dyDescent="0.3">
      <c r="A127" s="95">
        <f t="shared" si="6"/>
        <v>59</v>
      </c>
      <c r="B127" s="112">
        <f t="shared" si="7"/>
        <v>153259.60499794356</v>
      </c>
      <c r="C127" s="100">
        <f t="shared" si="8"/>
        <v>151490.78059041142</v>
      </c>
    </row>
    <row r="128" spans="1:3" ht="15.6" x14ac:dyDescent="0.3">
      <c r="A128" s="95">
        <f t="shared" si="6"/>
        <v>60</v>
      </c>
      <c r="B128" s="112">
        <f t="shared" si="7"/>
        <v>162191.29295825661</v>
      </c>
      <c r="C128" s="100">
        <f t="shared" si="8"/>
        <v>160742.58119080189</v>
      </c>
    </row>
    <row r="129" spans="1:3" ht="15.6" x14ac:dyDescent="0.3">
      <c r="A129" s="95">
        <f t="shared" si="6"/>
        <v>61</v>
      </c>
      <c r="B129" s="112">
        <f t="shared" si="7"/>
        <v>171569.56531658527</v>
      </c>
      <c r="C129" s="100">
        <f t="shared" si="8"/>
        <v>170456.97182121198</v>
      </c>
    </row>
    <row r="130" spans="1:3" ht="15.6" x14ac:dyDescent="0.3">
      <c r="A130" s="95">
        <f t="shared" si="6"/>
        <v>62</v>
      </c>
      <c r="B130" s="112">
        <f t="shared" si="7"/>
        <v>181416.75129283039</v>
      </c>
      <c r="C130" s="100">
        <f t="shared" si="8"/>
        <v>180657.08198314247</v>
      </c>
    </row>
    <row r="131" spans="1:3" ht="15.6" x14ac:dyDescent="0.3">
      <c r="A131" s="95">
        <f t="shared" si="6"/>
        <v>63</v>
      </c>
      <c r="B131" s="112">
        <f t="shared" si="7"/>
        <v>191756.29656788774</v>
      </c>
      <c r="C131" s="100">
        <f t="shared" si="8"/>
        <v>191367.19765316957</v>
      </c>
    </row>
    <row r="132" spans="1:3" ht="15.6" x14ac:dyDescent="0.3">
      <c r="A132" s="95">
        <f t="shared" si="6"/>
        <v>64</v>
      </c>
      <c r="B132" s="112">
        <f t="shared" si="7"/>
        <v>202612.81910669801</v>
      </c>
      <c r="C132" s="100">
        <f t="shared" si="8"/>
        <v>202612.81910669795</v>
      </c>
    </row>
  </sheetData>
  <sheetProtection algorithmName="SHA-512" hashValue="+X1v28TM8bzv8ghxySWuZ6DFNqSemEGxFX8Wh8wSmHOOx1vCrNPzZiU9Q7NOR7t74dfNtus68L2okUQ2zHOBgA==" saltValue="NAVtzmB/Gthqh2e61CHROA==" spinCount="100000" sheet="1" objects="1" scenarios="1"/>
  <mergeCells count="9">
    <mergeCell ref="C39:D39"/>
    <mergeCell ref="E39:F39"/>
    <mergeCell ref="I39:J39"/>
    <mergeCell ref="K39:L39"/>
    <mergeCell ref="A4:B4"/>
    <mergeCell ref="C4:D4"/>
    <mergeCell ref="E4:F4"/>
    <mergeCell ref="I4:J4"/>
    <mergeCell ref="K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Seuils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Jean-François Robert</cp:lastModifiedBy>
  <cp:lastPrinted>2016-12-22T00:35:48Z</cp:lastPrinted>
  <dcterms:created xsi:type="dcterms:W3CDTF">2013-11-12T09:50:25Z</dcterms:created>
  <dcterms:modified xsi:type="dcterms:W3CDTF">2018-12-31T20:43:05Z</dcterms:modified>
</cp:coreProperties>
</file>