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https://d.docs.live.net/5d9a35ade6236529/Documents/Site Web/Site Web/RVER/"/>
    </mc:Choice>
  </mc:AlternateContent>
  <xr:revisionPtr revIDLastSave="25" documentId="8_{D55E045C-712B-44FA-8C94-8DCE27723F0D}" xr6:coauthVersionLast="47" xr6:coauthVersionMax="47" xr10:uidLastSave="{FE608255-2F86-4336-841F-B9C1E2092B26}"/>
  <bookViews>
    <workbookView xWindow="28680" yWindow="-120" windowWidth="25440" windowHeight="15390" tabRatio="862" xr2:uid="{00000000-000D-0000-FFFF-FFFF00000000}"/>
  </bookViews>
  <sheets>
    <sheet name="Optimisation retraite" sheetId="1" r:id="rId1"/>
    <sheet name=" Épargne nécessaire" sheetId="3" r:id="rId2"/>
    <sheet name="RRQ" sheetId="12" r:id="rId3"/>
    <sheet name="Maison" sheetId="5" r:id="rId4"/>
    <sheet name="Seuils" sheetId="2" state="hidden" r:id="rId5"/>
    <sheet name="Optimal #1" sheetId="7" state="hidden" r:id="rId6"/>
    <sheet name="Optimal &lt; 65" sheetId="4" state="hidden" r:id="rId7"/>
    <sheet name="55-60" sheetId="8" state="hidden" r:id="rId8"/>
    <sheet name="conj #1 60-65 &amp; # 2 60-65" sheetId="9" state="hidden" r:id="rId9"/>
    <sheet name="conj #1 60-65 &amp; # 2 55-60" sheetId="10" state="hidden" r:id="rId10"/>
    <sheet name="2 X &lt; 60" sheetId="13" state="hidden" r:id="rId11"/>
    <sheet name="Optimal actuel" sheetId="11" state="hidden" r:id="rId12"/>
    <sheet name="Données graphique RVER vs CELI" sheetId="6" state="hidden"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B75" i="1"/>
  <c r="D75" i="1"/>
  <c r="B12" i="1"/>
  <c r="B16" i="1"/>
  <c r="C16" i="1"/>
  <c r="D16" i="1"/>
  <c r="D26" i="1"/>
  <c r="D27" i="1"/>
  <c r="D28" i="1"/>
  <c r="E26" i="1"/>
  <c r="E27" i="1"/>
  <c r="E28" i="1"/>
  <c r="E29" i="1"/>
  <c r="E39" i="1"/>
  <c r="E34" i="1"/>
  <c r="A101" i="2"/>
  <c r="C101" i="2"/>
  <c r="B101" i="2"/>
  <c r="D47" i="1"/>
  <c r="L27" i="2"/>
  <c r="L28" i="2"/>
  <c r="L23" i="2"/>
  <c r="L24" i="2"/>
  <c r="E36" i="1"/>
  <c r="E40" i="1"/>
  <c r="I101" i="2"/>
  <c r="K101" i="2"/>
  <c r="J101" i="2"/>
  <c r="J106" i="2"/>
  <c r="K106" i="2"/>
  <c r="L106" i="2"/>
  <c r="E42" i="1"/>
  <c r="E43" i="1"/>
  <c r="E46" i="1"/>
  <c r="D33" i="1"/>
  <c r="B106" i="2"/>
  <c r="C106" i="2"/>
  <c r="D106" i="2"/>
  <c r="D34" i="1"/>
  <c r="C107" i="2"/>
  <c r="E24" i="2"/>
  <c r="D36" i="1"/>
  <c r="D37" i="1"/>
  <c r="D40" i="1"/>
  <c r="D39" i="1"/>
  <c r="D41" i="1"/>
  <c r="D45" i="1"/>
  <c r="D46" i="1"/>
  <c r="D50" i="1"/>
  <c r="D51" i="1"/>
  <c r="E59" i="2"/>
  <c r="D52" i="1"/>
  <c r="K59" i="2"/>
  <c r="D53" i="1"/>
  <c r="D54" i="1"/>
  <c r="B56" i="1"/>
  <c r="B57" i="1"/>
  <c r="H344" i="2"/>
  <c r="I292" i="2"/>
  <c r="I293" i="2"/>
  <c r="B74" i="1"/>
  <c r="B72" i="1"/>
  <c r="B77" i="1"/>
  <c r="B19" i="1"/>
  <c r="B10" i="4"/>
  <c r="D10" i="4"/>
  <c r="B15" i="4"/>
  <c r="C15" i="4"/>
  <c r="D15" i="4"/>
  <c r="B24" i="4"/>
  <c r="D24" i="4"/>
  <c r="D25" i="4"/>
  <c r="B5" i="4"/>
  <c r="B25" i="4"/>
  <c r="B26" i="4"/>
  <c r="B27" i="4"/>
  <c r="C25" i="4"/>
  <c r="C26" i="4"/>
  <c r="C27" i="4"/>
  <c r="C28" i="4"/>
  <c r="L9" i="4"/>
  <c r="M9" i="4"/>
  <c r="E13" i="4"/>
  <c r="B13" i="4"/>
  <c r="B14" i="4"/>
  <c r="D26" i="4"/>
  <c r="D27" i="4"/>
  <c r="E25" i="4"/>
  <c r="C14" i="4"/>
  <c r="E26" i="4"/>
  <c r="E27" i="4"/>
  <c r="E28" i="4"/>
  <c r="B124" i="2"/>
  <c r="C124" i="2"/>
  <c r="D124" i="2"/>
  <c r="D33" i="4"/>
  <c r="D34" i="4"/>
  <c r="C119" i="2"/>
  <c r="C19" i="2"/>
  <c r="B18" i="2"/>
  <c r="C125" i="2"/>
  <c r="D35" i="4"/>
  <c r="D32" i="4"/>
  <c r="D36" i="4"/>
  <c r="D39" i="4"/>
  <c r="A119" i="2"/>
  <c r="B119" i="2"/>
  <c r="B122" i="2"/>
  <c r="C122" i="2"/>
  <c r="D122" i="2"/>
  <c r="D38" i="4"/>
  <c r="D40" i="4"/>
  <c r="D46" i="4"/>
  <c r="D44" i="4"/>
  <c r="D45" i="4"/>
  <c r="M19" i="2"/>
  <c r="M15" i="2"/>
  <c r="M16" i="2"/>
  <c r="M17" i="2"/>
  <c r="M18" i="2"/>
  <c r="E33" i="4"/>
  <c r="J25" i="2"/>
  <c r="E35" i="4"/>
  <c r="E39" i="4"/>
  <c r="I119" i="2"/>
  <c r="K119" i="2"/>
  <c r="J119" i="2"/>
  <c r="J122" i="2"/>
  <c r="K122" i="2"/>
  <c r="L122" i="2"/>
  <c r="E38" i="4"/>
  <c r="J124" i="2"/>
  <c r="K124" i="2"/>
  <c r="L124" i="2"/>
  <c r="E41" i="4"/>
  <c r="E42" i="4"/>
  <c r="E45" i="4"/>
  <c r="D49" i="4"/>
  <c r="D50" i="4"/>
  <c r="E60" i="2"/>
  <c r="D51" i="4"/>
  <c r="K60" i="2"/>
  <c r="D52" i="4"/>
  <c r="D53" i="4"/>
  <c r="B55" i="4"/>
  <c r="B133" i="2"/>
  <c r="B33" i="4"/>
  <c r="B34" i="4"/>
  <c r="C128" i="2"/>
  <c r="C133" i="2"/>
  <c r="C18" i="2"/>
  <c r="C134" i="2"/>
  <c r="B35" i="4"/>
  <c r="B36" i="4"/>
  <c r="B39" i="4"/>
  <c r="A128" i="2"/>
  <c r="B128" i="2"/>
  <c r="B131" i="2"/>
  <c r="C131" i="2"/>
  <c r="D131" i="2"/>
  <c r="B38" i="4"/>
  <c r="B40" i="4"/>
  <c r="B46" i="4"/>
  <c r="B44" i="4"/>
  <c r="B45" i="4"/>
  <c r="N19" i="2"/>
  <c r="N15" i="2"/>
  <c r="N16" i="2"/>
  <c r="N17" i="2"/>
  <c r="N18" i="2"/>
  <c r="C33" i="4"/>
  <c r="J24" i="2"/>
  <c r="C35" i="4"/>
  <c r="C39" i="4"/>
  <c r="I128" i="2"/>
  <c r="K128" i="2"/>
  <c r="J128" i="2"/>
  <c r="J131" i="2"/>
  <c r="K131" i="2"/>
  <c r="L131" i="2"/>
  <c r="C38" i="4"/>
  <c r="J133" i="2"/>
  <c r="K133" i="2"/>
  <c r="L133" i="2"/>
  <c r="C41" i="4"/>
  <c r="N27" i="2"/>
  <c r="N28" i="2"/>
  <c r="C42" i="4"/>
  <c r="C45" i="4"/>
  <c r="B49" i="4"/>
  <c r="B50" i="4"/>
  <c r="D60" i="2"/>
  <c r="B51" i="4"/>
  <c r="J60" i="2"/>
  <c r="B52" i="4"/>
  <c r="B53" i="4"/>
  <c r="B56" i="4"/>
  <c r="L296" i="2"/>
  <c r="B9" i="8"/>
  <c r="D24" i="8"/>
  <c r="B10" i="8"/>
  <c r="B25" i="8"/>
  <c r="D25" i="8"/>
  <c r="D26" i="8"/>
  <c r="B24" i="8"/>
  <c r="B5" i="8"/>
  <c r="B26" i="8"/>
  <c r="B15" i="8"/>
  <c r="B27" i="8"/>
  <c r="B28" i="8"/>
  <c r="C26" i="8"/>
  <c r="C15" i="8"/>
  <c r="C27" i="8"/>
  <c r="C28" i="8"/>
  <c r="C29" i="8"/>
  <c r="L9" i="8"/>
  <c r="M9" i="8"/>
  <c r="E13" i="8"/>
  <c r="B13" i="8"/>
  <c r="D10" i="8"/>
  <c r="B14" i="8"/>
  <c r="D27" i="8"/>
  <c r="D28" i="8"/>
  <c r="E26" i="8"/>
  <c r="C14" i="8"/>
  <c r="E27" i="8"/>
  <c r="E28" i="8"/>
  <c r="E29" i="8"/>
  <c r="B142" i="2"/>
  <c r="C142" i="2"/>
  <c r="D142" i="2"/>
  <c r="D34" i="8"/>
  <c r="D35" i="8"/>
  <c r="C24" i="2"/>
  <c r="D36" i="8"/>
  <c r="D33" i="8"/>
  <c r="D37" i="8"/>
  <c r="D40" i="8"/>
  <c r="A137" i="2"/>
  <c r="C137" i="2"/>
  <c r="B137" i="2"/>
  <c r="B140" i="2"/>
  <c r="C140" i="2"/>
  <c r="D140" i="2"/>
  <c r="D39" i="8"/>
  <c r="D41" i="8"/>
  <c r="D47" i="8"/>
  <c r="D45" i="8"/>
  <c r="D46" i="8"/>
  <c r="L17" i="2"/>
  <c r="E34" i="8"/>
  <c r="E36" i="8"/>
  <c r="E40" i="8"/>
  <c r="I137" i="2"/>
  <c r="K137" i="2"/>
  <c r="J137" i="2"/>
  <c r="J140" i="2"/>
  <c r="K140" i="2"/>
  <c r="L140" i="2"/>
  <c r="E39" i="8"/>
  <c r="B138" i="2"/>
  <c r="J138" i="2"/>
  <c r="J142" i="2"/>
  <c r="K142" i="2"/>
  <c r="L142" i="2"/>
  <c r="E42" i="8"/>
  <c r="E43" i="8"/>
  <c r="E46" i="8"/>
  <c r="D50" i="8"/>
  <c r="D51" i="8"/>
  <c r="D52" i="8"/>
  <c r="D53" i="8"/>
  <c r="D54" i="8"/>
  <c r="B56" i="8"/>
  <c r="B151" i="2"/>
  <c r="B34" i="8"/>
  <c r="B35" i="8"/>
  <c r="B36" i="8"/>
  <c r="B37" i="8"/>
  <c r="B40" i="8"/>
  <c r="A146" i="2"/>
  <c r="C146" i="2"/>
  <c r="B146" i="2"/>
  <c r="B149" i="2"/>
  <c r="C149" i="2"/>
  <c r="D149" i="2"/>
  <c r="B39" i="8"/>
  <c r="B41" i="8"/>
  <c r="B47" i="8"/>
  <c r="B45" i="8"/>
  <c r="B46" i="8"/>
  <c r="C34" i="8"/>
  <c r="C36" i="8"/>
  <c r="C40" i="8"/>
  <c r="I146" i="2"/>
  <c r="K146" i="2"/>
  <c r="J146" i="2"/>
  <c r="J149" i="2"/>
  <c r="K149" i="2"/>
  <c r="L149" i="2"/>
  <c r="C39" i="8"/>
  <c r="J147" i="2"/>
  <c r="J151" i="2"/>
  <c r="K151" i="2"/>
  <c r="L151" i="2"/>
  <c r="C42" i="8"/>
  <c r="R27" i="2"/>
  <c r="R28" i="2"/>
  <c r="C43" i="8"/>
  <c r="C46" i="8"/>
  <c r="B50" i="8"/>
  <c r="B51" i="8"/>
  <c r="B54" i="8"/>
  <c r="B57" i="8"/>
  <c r="M296" i="2"/>
  <c r="B5" i="9"/>
  <c r="B10" i="9"/>
  <c r="B24" i="9"/>
  <c r="D24" i="9"/>
  <c r="D25" i="9"/>
  <c r="L9" i="9"/>
  <c r="M9" i="9"/>
  <c r="E13" i="9"/>
  <c r="B13" i="9"/>
  <c r="D10" i="9"/>
  <c r="B14" i="9"/>
  <c r="D26" i="9"/>
  <c r="D27" i="9"/>
  <c r="E25" i="9"/>
  <c r="C14" i="9"/>
  <c r="E26" i="9"/>
  <c r="E27" i="9"/>
  <c r="E28" i="9"/>
  <c r="B160" i="2"/>
  <c r="C160" i="2"/>
  <c r="D160" i="2"/>
  <c r="D33" i="9"/>
  <c r="D34" i="9"/>
  <c r="C155" i="2"/>
  <c r="C15" i="2"/>
  <c r="B17" i="2"/>
  <c r="C161" i="2"/>
  <c r="D35" i="9"/>
  <c r="D32" i="9"/>
  <c r="D36" i="9"/>
  <c r="D39" i="9"/>
  <c r="A155" i="2"/>
  <c r="B155" i="2"/>
  <c r="B158" i="2"/>
  <c r="C158" i="2"/>
  <c r="D158" i="2"/>
  <c r="D38" i="9"/>
  <c r="D40" i="9"/>
  <c r="D46" i="9"/>
  <c r="D44" i="9"/>
  <c r="D45" i="9"/>
  <c r="E33" i="9"/>
  <c r="U24" i="2"/>
  <c r="E35" i="9"/>
  <c r="E39" i="9"/>
  <c r="I155" i="2"/>
  <c r="K155" i="2"/>
  <c r="J155" i="2"/>
  <c r="J158" i="2"/>
  <c r="K158" i="2"/>
  <c r="L158" i="2"/>
  <c r="E38" i="9"/>
  <c r="J160" i="2"/>
  <c r="K160" i="2"/>
  <c r="L160" i="2"/>
  <c r="E41" i="9"/>
  <c r="E42" i="9"/>
  <c r="E45" i="9"/>
  <c r="D49" i="9"/>
  <c r="D50" i="9"/>
  <c r="D51" i="9"/>
  <c r="D52" i="9"/>
  <c r="D53" i="9"/>
  <c r="B55" i="9"/>
  <c r="B25" i="9"/>
  <c r="B27" i="9"/>
  <c r="C25" i="9"/>
  <c r="C27" i="9"/>
  <c r="C28" i="9"/>
  <c r="B169" i="2"/>
  <c r="C169" i="2"/>
  <c r="D169" i="2"/>
  <c r="B33" i="9"/>
  <c r="B34" i="9"/>
  <c r="C164" i="2"/>
  <c r="C170" i="2"/>
  <c r="B35" i="9"/>
  <c r="B36" i="9"/>
  <c r="B39" i="9"/>
  <c r="A164" i="2"/>
  <c r="B164" i="2"/>
  <c r="B167" i="2"/>
  <c r="C167" i="2"/>
  <c r="D167" i="2"/>
  <c r="B38" i="9"/>
  <c r="B40" i="9"/>
  <c r="B46" i="9"/>
  <c r="B44" i="9"/>
  <c r="B45" i="9"/>
  <c r="T27" i="2"/>
  <c r="T28" i="2"/>
  <c r="T23" i="2"/>
  <c r="T24" i="2"/>
  <c r="C35" i="9"/>
  <c r="C39" i="9"/>
  <c r="I164" i="2"/>
  <c r="K164" i="2"/>
  <c r="J164" i="2"/>
  <c r="J167" i="2"/>
  <c r="K167" i="2"/>
  <c r="L167" i="2"/>
  <c r="C38" i="9"/>
  <c r="J169" i="2"/>
  <c r="C41" i="9"/>
  <c r="C42" i="9"/>
  <c r="C45" i="9"/>
  <c r="B49" i="9"/>
  <c r="B50" i="9"/>
  <c r="B53" i="9"/>
  <c r="B56" i="9"/>
  <c r="Q296" i="2"/>
  <c r="J8" i="10"/>
  <c r="B5" i="10"/>
  <c r="B9" i="10"/>
  <c r="D23" i="10"/>
  <c r="B10" i="10"/>
  <c r="B24" i="10"/>
  <c r="D24" i="10"/>
  <c r="D25" i="10"/>
  <c r="L9" i="10"/>
  <c r="M9" i="10"/>
  <c r="E13" i="10"/>
  <c r="B13" i="10"/>
  <c r="D10" i="10"/>
  <c r="B23" i="10"/>
  <c r="B14" i="10"/>
  <c r="D26" i="10"/>
  <c r="D27" i="10"/>
  <c r="E25" i="10"/>
  <c r="C14" i="10"/>
  <c r="E26" i="10"/>
  <c r="E27" i="10"/>
  <c r="E28" i="10"/>
  <c r="B178" i="2"/>
  <c r="C178" i="2"/>
  <c r="D178" i="2"/>
  <c r="D33" i="10"/>
  <c r="D34" i="10"/>
  <c r="C173" i="2"/>
  <c r="C179" i="2"/>
  <c r="D35" i="10"/>
  <c r="D32" i="10"/>
  <c r="D36" i="10"/>
  <c r="D39" i="10"/>
  <c r="A173" i="2"/>
  <c r="B173" i="2"/>
  <c r="B176" i="2"/>
  <c r="D63" i="1"/>
  <c r="K61" i="2"/>
  <c r="D64" i="1"/>
  <c r="D65" i="1"/>
  <c r="B67" i="1"/>
  <c r="C176" i="2"/>
  <c r="D176" i="2"/>
  <c r="D38" i="10"/>
  <c r="D40" i="10"/>
  <c r="D46" i="10"/>
  <c r="D44" i="10"/>
  <c r="D45" i="10"/>
  <c r="W16" i="2"/>
  <c r="W17" i="2"/>
  <c r="W18" i="2"/>
  <c r="E33" i="10"/>
  <c r="W24" i="2"/>
  <c r="E35" i="10"/>
  <c r="E39" i="10"/>
  <c r="I173" i="2"/>
  <c r="K182" i="2"/>
  <c r="B25" i="10"/>
  <c r="B27" i="10"/>
  <c r="C25" i="10"/>
  <c r="C27" i="10"/>
  <c r="C28" i="10"/>
  <c r="A182" i="2"/>
  <c r="I182" i="2"/>
  <c r="J182" i="2"/>
  <c r="K173" i="2"/>
  <c r="J173" i="2"/>
  <c r="J176" i="2"/>
  <c r="K176" i="2"/>
  <c r="L176" i="2"/>
  <c r="E38" i="10"/>
  <c r="B174" i="2"/>
  <c r="J174" i="2"/>
  <c r="J178" i="2"/>
  <c r="K178" i="2"/>
  <c r="L178" i="2"/>
  <c r="E41" i="10"/>
  <c r="E42" i="10"/>
  <c r="E45" i="10"/>
  <c r="D49" i="10"/>
  <c r="D50" i="10"/>
  <c r="D51" i="10"/>
  <c r="D52" i="10"/>
  <c r="D53" i="10"/>
  <c r="B55" i="10"/>
  <c r="B187" i="2"/>
  <c r="B33" i="10"/>
  <c r="B34" i="10"/>
  <c r="C182" i="2"/>
  <c r="C188" i="2"/>
  <c r="B35" i="10"/>
  <c r="B36" i="10"/>
  <c r="B39" i="10"/>
  <c r="B182" i="2"/>
  <c r="B185" i="2"/>
  <c r="C185" i="2"/>
  <c r="D185" i="2"/>
  <c r="B38" i="10"/>
  <c r="B40" i="10"/>
  <c r="B46" i="10"/>
  <c r="B44" i="10"/>
  <c r="B45" i="10"/>
  <c r="V27" i="2"/>
  <c r="V28" i="2"/>
  <c r="V23" i="2"/>
  <c r="V24" i="2"/>
  <c r="C35" i="10"/>
  <c r="C39" i="10"/>
  <c r="J185" i="2"/>
  <c r="K185" i="2"/>
  <c r="L185" i="2"/>
  <c r="C38" i="10"/>
  <c r="J183" i="2"/>
  <c r="J187" i="2"/>
  <c r="K187" i="2"/>
  <c r="L187" i="2"/>
  <c r="C41" i="10"/>
  <c r="C42" i="10"/>
  <c r="C45" i="10"/>
  <c r="B49" i="10"/>
  <c r="B50" i="10"/>
  <c r="B53" i="10"/>
  <c r="B56" i="10"/>
  <c r="R296" i="2"/>
  <c r="S296" i="2"/>
  <c r="C19" i="1"/>
  <c r="D19" i="1"/>
  <c r="H60" i="3"/>
  <c r="B7" i="8"/>
  <c r="E30" i="12"/>
  <c r="E29" i="12"/>
  <c r="E28" i="12"/>
  <c r="C5" i="7"/>
  <c r="B5" i="7"/>
  <c r="B6" i="7"/>
  <c r="C6" i="7"/>
  <c r="Y15" i="2"/>
  <c r="W15" i="2"/>
  <c r="B6" i="9"/>
  <c r="B4" i="9"/>
  <c r="B220" i="2"/>
  <c r="J220" i="2"/>
  <c r="H214" i="2"/>
  <c r="H215" i="2"/>
  <c r="J211" i="2"/>
  <c r="L208" i="2"/>
  <c r="A93" i="13"/>
  <c r="A94" i="13"/>
  <c r="A95" i="13"/>
  <c r="G95" i="13"/>
  <c r="G92" i="13"/>
  <c r="C17" i="13"/>
  <c r="B17" i="13"/>
  <c r="C16" i="13"/>
  <c r="B16" i="13"/>
  <c r="B12" i="13"/>
  <c r="D11" i="13"/>
  <c r="B11" i="13"/>
  <c r="C8" i="13"/>
  <c r="B8" i="13"/>
  <c r="F9" i="13"/>
  <c r="C6" i="13"/>
  <c r="G7" i="13"/>
  <c r="B6" i="13"/>
  <c r="F6" i="13"/>
  <c r="C5" i="13"/>
  <c r="B5" i="13"/>
  <c r="B10" i="13"/>
  <c r="B24" i="13"/>
  <c r="D24" i="13"/>
  <c r="B4" i="13"/>
  <c r="C32" i="13"/>
  <c r="E32" i="13"/>
  <c r="G5" i="13"/>
  <c r="G9" i="13"/>
  <c r="A21" i="13"/>
  <c r="F7" i="13"/>
  <c r="F5" i="13"/>
  <c r="H5" i="13"/>
  <c r="G6" i="13"/>
  <c r="C9" i="13"/>
  <c r="C210" i="2"/>
  <c r="C10" i="13"/>
  <c r="C24" i="13"/>
  <c r="E24" i="13"/>
  <c r="B9" i="13"/>
  <c r="H7" i="13"/>
  <c r="A96" i="13"/>
  <c r="G94" i="13"/>
  <c r="I7" i="13"/>
  <c r="H8" i="13"/>
  <c r="H6" i="13"/>
  <c r="G93" i="13"/>
  <c r="D8" i="13"/>
  <c r="F8" i="13"/>
  <c r="G8" i="13"/>
  <c r="I6" i="13"/>
  <c r="G12" i="13"/>
  <c r="B8" i="1"/>
  <c r="D10" i="13"/>
  <c r="J7" i="13"/>
  <c r="I8" i="13"/>
  <c r="E23" i="13"/>
  <c r="C23" i="13"/>
  <c r="D23" i="13"/>
  <c r="B210" i="2"/>
  <c r="B23" i="13"/>
  <c r="G96" i="13"/>
  <c r="A97" i="13"/>
  <c r="B9" i="1"/>
  <c r="A98" i="13"/>
  <c r="G97" i="13"/>
  <c r="E59" i="12"/>
  <c r="V12" i="12"/>
  <c r="W12" i="12"/>
  <c r="V11" i="12"/>
  <c r="W11" i="12"/>
  <c r="V13" i="12"/>
  <c r="W13" i="12"/>
  <c r="V10" i="12"/>
  <c r="W10" i="12"/>
  <c r="V9" i="12"/>
  <c r="W9" i="12"/>
  <c r="A99" i="13"/>
  <c r="G98" i="13"/>
  <c r="S10" i="12"/>
  <c r="S11" i="12"/>
  <c r="S12" i="12"/>
  <c r="S13" i="12"/>
  <c r="A34" i="12"/>
  <c r="A35" i="12"/>
  <c r="A36" i="12"/>
  <c r="A37" i="12"/>
  <c r="A38" i="12"/>
  <c r="A39" i="12"/>
  <c r="A40" i="12"/>
  <c r="A41" i="12"/>
  <c r="A42" i="12"/>
  <c r="A43" i="12"/>
  <c r="A44" i="12"/>
  <c r="A45" i="12"/>
  <c r="A46" i="12"/>
  <c r="A47" i="12"/>
  <c r="A48" i="12"/>
  <c r="A49" i="12"/>
  <c r="A50" i="12"/>
  <c r="A51" i="12"/>
  <c r="A52" i="12"/>
  <c r="A53" i="12"/>
  <c r="A54" i="12"/>
  <c r="A55" i="12"/>
  <c r="A56" i="12"/>
  <c r="A57" i="12"/>
  <c r="C13" i="12"/>
  <c r="R16" i="12"/>
  <c r="G99" i="13"/>
  <c r="A100" i="13"/>
  <c r="C12" i="12"/>
  <c r="C11" i="12"/>
  <c r="C10" i="12"/>
  <c r="C9" i="12"/>
  <c r="C8" i="12"/>
  <c r="B22" i="12"/>
  <c r="A9" i="12"/>
  <c r="M304" i="2"/>
  <c r="L304" i="2"/>
  <c r="G100" i="13"/>
  <c r="A101" i="13"/>
  <c r="A10" i="12"/>
  <c r="X10" i="12"/>
  <c r="Y10" i="12"/>
  <c r="X9" i="12"/>
  <c r="Y9" i="12"/>
  <c r="B25" i="12"/>
  <c r="E25" i="12"/>
  <c r="E9" i="12"/>
  <c r="D9" i="12"/>
  <c r="A102" i="13"/>
  <c r="G101" i="13"/>
  <c r="D10" i="12"/>
  <c r="A11" i="12"/>
  <c r="D11" i="12"/>
  <c r="E10" i="12"/>
  <c r="R9" i="12"/>
  <c r="G25" i="12"/>
  <c r="B26" i="12"/>
  <c r="P9" i="11"/>
  <c r="I235" i="2"/>
  <c r="I226" i="2"/>
  <c r="AA15" i="2"/>
  <c r="U15" i="2"/>
  <c r="A103" i="13"/>
  <c r="G102" i="13"/>
  <c r="R10" i="12"/>
  <c r="R11" i="12"/>
  <c r="A12" i="12"/>
  <c r="E12" i="12"/>
  <c r="E11" i="12"/>
  <c r="X11" i="12"/>
  <c r="Y11" i="12"/>
  <c r="E26" i="12"/>
  <c r="B27" i="12"/>
  <c r="J25" i="12"/>
  <c r="G26" i="12"/>
  <c r="I25" i="12"/>
  <c r="A85" i="11"/>
  <c r="A86" i="11"/>
  <c r="G86" i="11"/>
  <c r="G84" i="11"/>
  <c r="C17" i="11"/>
  <c r="B17" i="11"/>
  <c r="C16" i="11"/>
  <c r="B16" i="11"/>
  <c r="B12" i="11"/>
  <c r="B11" i="11"/>
  <c r="D11" i="11"/>
  <c r="C8" i="11"/>
  <c r="B8" i="11"/>
  <c r="F9" i="11"/>
  <c r="C6" i="11"/>
  <c r="B6" i="11"/>
  <c r="C5" i="11"/>
  <c r="C9" i="11"/>
  <c r="B5" i="11"/>
  <c r="B4" i="11"/>
  <c r="A93" i="10"/>
  <c r="A94" i="10"/>
  <c r="G94" i="10"/>
  <c r="G92" i="10"/>
  <c r="C17" i="10"/>
  <c r="B17" i="10"/>
  <c r="C16" i="10"/>
  <c r="B16" i="10"/>
  <c r="B12" i="10"/>
  <c r="B11" i="10"/>
  <c r="D11" i="10"/>
  <c r="C8" i="10"/>
  <c r="B8" i="10"/>
  <c r="C6" i="10"/>
  <c r="G7" i="10"/>
  <c r="B6" i="10"/>
  <c r="C5" i="10"/>
  <c r="B4" i="10"/>
  <c r="A92" i="9"/>
  <c r="G92" i="9"/>
  <c r="G91" i="9"/>
  <c r="C17" i="9"/>
  <c r="B17" i="9"/>
  <c r="C16" i="9"/>
  <c r="B16" i="9"/>
  <c r="B12" i="9"/>
  <c r="B11" i="9"/>
  <c r="D11" i="9"/>
  <c r="C8" i="9"/>
  <c r="B8" i="9"/>
  <c r="C6" i="9"/>
  <c r="G7" i="9"/>
  <c r="C5" i="9"/>
  <c r="C10" i="9"/>
  <c r="C24" i="9"/>
  <c r="E24" i="9"/>
  <c r="A94" i="8"/>
  <c r="G94" i="8"/>
  <c r="G93" i="8"/>
  <c r="C17" i="8"/>
  <c r="B17" i="8"/>
  <c r="C16" i="8"/>
  <c r="B16" i="8"/>
  <c r="B12" i="8"/>
  <c r="B11" i="8"/>
  <c r="D11" i="8"/>
  <c r="C8" i="8"/>
  <c r="B8" i="8"/>
  <c r="C6" i="8"/>
  <c r="G7" i="8"/>
  <c r="B6" i="8"/>
  <c r="C5" i="8"/>
  <c r="B4" i="8"/>
  <c r="B238" i="2"/>
  <c r="J238" i="2"/>
  <c r="H232" i="2"/>
  <c r="H233" i="2"/>
  <c r="J229" i="2"/>
  <c r="L226" i="2"/>
  <c r="B202" i="2"/>
  <c r="J202" i="2"/>
  <c r="H196" i="2"/>
  <c r="C196" i="2"/>
  <c r="J193" i="2"/>
  <c r="B184" i="2"/>
  <c r="J184" i="2"/>
  <c r="H178" i="2"/>
  <c r="J175" i="2"/>
  <c r="B166" i="2"/>
  <c r="J166" i="2"/>
  <c r="G161" i="2"/>
  <c r="J157" i="2"/>
  <c r="L154" i="2"/>
  <c r="E60" i="5"/>
  <c r="F60" i="5"/>
  <c r="D41" i="5"/>
  <c r="C14" i="7"/>
  <c r="C15" i="7"/>
  <c r="C13" i="7"/>
  <c r="B14" i="7"/>
  <c r="B15" i="7"/>
  <c r="D15" i="7"/>
  <c r="B13" i="7"/>
  <c r="C7" i="7"/>
  <c r="C10" i="7"/>
  <c r="B8" i="7"/>
  <c r="D24" i="7"/>
  <c r="B10" i="7"/>
  <c r="B11" i="7"/>
  <c r="B7" i="7"/>
  <c r="F8" i="7"/>
  <c r="B4" i="7"/>
  <c r="D35" i="7"/>
  <c r="D69" i="7"/>
  <c r="B69" i="7"/>
  <c r="H87" i="2"/>
  <c r="H88" i="2"/>
  <c r="B148" i="2"/>
  <c r="J148" i="2"/>
  <c r="H142" i="2"/>
  <c r="H143" i="2"/>
  <c r="J139" i="2"/>
  <c r="L136" i="2"/>
  <c r="D10" i="7"/>
  <c r="B80" i="10"/>
  <c r="D80" i="10"/>
  <c r="B80" i="13"/>
  <c r="G103" i="13"/>
  <c r="A104" i="13"/>
  <c r="C9" i="10"/>
  <c r="C174" i="2"/>
  <c r="B24" i="7"/>
  <c r="C22" i="12"/>
  <c r="E27" i="12"/>
  <c r="A13" i="12"/>
  <c r="X13" i="12"/>
  <c r="Y13" i="12"/>
  <c r="R15" i="12"/>
  <c r="X12" i="12"/>
  <c r="Y12" i="12"/>
  <c r="D12" i="12"/>
  <c r="R12" i="12"/>
  <c r="C26" i="12"/>
  <c r="C27" i="12"/>
  <c r="B28" i="12"/>
  <c r="D8" i="9"/>
  <c r="H8" i="9"/>
  <c r="D8" i="10"/>
  <c r="C7" i="11"/>
  <c r="C15" i="11"/>
  <c r="G7" i="11"/>
  <c r="H8" i="11"/>
  <c r="I6" i="9"/>
  <c r="F7" i="9"/>
  <c r="I7" i="9"/>
  <c r="I6" i="11"/>
  <c r="B7" i="11"/>
  <c r="I7" i="11"/>
  <c r="J7" i="11"/>
  <c r="F7" i="11"/>
  <c r="I6" i="10"/>
  <c r="F7" i="10"/>
  <c r="F6" i="11"/>
  <c r="G11" i="7"/>
  <c r="A21" i="9"/>
  <c r="A21" i="10"/>
  <c r="C27" i="7"/>
  <c r="C228" i="2"/>
  <c r="G85" i="11"/>
  <c r="A22" i="8"/>
  <c r="I7" i="8"/>
  <c r="F7" i="8"/>
  <c r="I7" i="10"/>
  <c r="G5" i="10"/>
  <c r="G93" i="10"/>
  <c r="A93" i="9"/>
  <c r="A94" i="9"/>
  <c r="F6" i="9"/>
  <c r="I6" i="8"/>
  <c r="H8" i="8"/>
  <c r="D8" i="8"/>
  <c r="A95" i="8"/>
  <c r="G95" i="8"/>
  <c r="C9" i="9"/>
  <c r="C23" i="9"/>
  <c r="C156" i="2"/>
  <c r="C10" i="11"/>
  <c r="C23" i="11"/>
  <c r="E23" i="11"/>
  <c r="D7" i="7"/>
  <c r="C33" i="7"/>
  <c r="E33" i="7"/>
  <c r="A16" i="7"/>
  <c r="B27" i="7"/>
  <c r="A22" i="7"/>
  <c r="B82" i="7"/>
  <c r="E82" i="7"/>
  <c r="F6" i="10"/>
  <c r="F6" i="8"/>
  <c r="J8" i="8"/>
  <c r="B79" i="9"/>
  <c r="D79" i="9"/>
  <c r="H8" i="10"/>
  <c r="C10" i="10"/>
  <c r="C24" i="10"/>
  <c r="E24" i="10"/>
  <c r="B72" i="11"/>
  <c r="B81" i="8"/>
  <c r="E22" i="11"/>
  <c r="C22" i="11"/>
  <c r="G6" i="11"/>
  <c r="C31" i="11"/>
  <c r="A87" i="11"/>
  <c r="F5" i="11"/>
  <c r="G12" i="11"/>
  <c r="G5" i="11"/>
  <c r="D8" i="11"/>
  <c r="G9" i="11"/>
  <c r="G6" i="10"/>
  <c r="C32" i="10"/>
  <c r="A95" i="10"/>
  <c r="F5" i="10"/>
  <c r="F9" i="10"/>
  <c r="G12" i="10"/>
  <c r="G9" i="10"/>
  <c r="G9" i="9"/>
  <c r="G5" i="9"/>
  <c r="G12" i="9"/>
  <c r="C32" i="9"/>
  <c r="G6" i="9"/>
  <c r="G93" i="9"/>
  <c r="F5" i="9"/>
  <c r="F9" i="9"/>
  <c r="G6" i="8"/>
  <c r="C33" i="8"/>
  <c r="F5" i="8"/>
  <c r="F9" i="8"/>
  <c r="G12" i="8"/>
  <c r="G5" i="8"/>
  <c r="A96" i="8"/>
  <c r="D13" i="7"/>
  <c r="AA52" i="3"/>
  <c r="B9" i="7"/>
  <c r="I8" i="11"/>
  <c r="G10" i="10"/>
  <c r="F10" i="10"/>
  <c r="I10" i="10"/>
  <c r="G10" i="9"/>
  <c r="C7" i="9"/>
  <c r="C15" i="9"/>
  <c r="C26" i="9"/>
  <c r="F10" i="9"/>
  <c r="H7" i="9"/>
  <c r="E80" i="10"/>
  <c r="E80" i="13"/>
  <c r="D80" i="13"/>
  <c r="G104" i="13"/>
  <c r="A105" i="13"/>
  <c r="C23" i="10"/>
  <c r="E23" i="10"/>
  <c r="J7" i="10"/>
  <c r="I8" i="10"/>
  <c r="D13" i="12"/>
  <c r="R13" i="12"/>
  <c r="C28" i="12"/>
  <c r="C29" i="12"/>
  <c r="C30" i="12"/>
  <c r="H30" i="12"/>
  <c r="E13" i="12"/>
  <c r="C7" i="8"/>
  <c r="G10" i="8"/>
  <c r="F10" i="8"/>
  <c r="H7" i="10"/>
  <c r="D82" i="7"/>
  <c r="H27" i="12"/>
  <c r="H26" i="12"/>
  <c r="B29" i="12"/>
  <c r="Q13" i="12"/>
  <c r="Q15" i="12"/>
  <c r="T15" i="12"/>
  <c r="S16" i="12"/>
  <c r="T16" i="12"/>
  <c r="B35" i="7"/>
  <c r="H6" i="11"/>
  <c r="H6" i="10"/>
  <c r="H5" i="10"/>
  <c r="H7" i="11"/>
  <c r="H6" i="8"/>
  <c r="C25" i="11"/>
  <c r="B15" i="11"/>
  <c r="H6" i="9"/>
  <c r="E23" i="9"/>
  <c r="E79" i="9"/>
  <c r="H5" i="9"/>
  <c r="M7" i="7"/>
  <c r="N7" i="7"/>
  <c r="B25" i="7"/>
  <c r="D25" i="7"/>
  <c r="D81" i="8"/>
  <c r="E81" i="8"/>
  <c r="D72" i="11"/>
  <c r="E72" i="11"/>
  <c r="E31" i="11"/>
  <c r="H5" i="11"/>
  <c r="A88" i="11"/>
  <c r="G87" i="11"/>
  <c r="A96" i="10"/>
  <c r="G95" i="10"/>
  <c r="E32" i="10"/>
  <c r="A95" i="9"/>
  <c r="G94" i="9"/>
  <c r="E32" i="9"/>
  <c r="E33" i="8"/>
  <c r="G96" i="8"/>
  <c r="A97" i="8"/>
  <c r="H5" i="8"/>
  <c r="A16" i="1"/>
  <c r="A22" i="1"/>
  <c r="C33" i="12"/>
  <c r="C34" i="12"/>
  <c r="C35" i="12"/>
  <c r="C36" i="12"/>
  <c r="C37" i="12"/>
  <c r="C38" i="12"/>
  <c r="C39" i="12"/>
  <c r="C40" i="12"/>
  <c r="C41" i="12"/>
  <c r="C42" i="12"/>
  <c r="C43" i="12"/>
  <c r="C44" i="12"/>
  <c r="C45" i="12"/>
  <c r="C46" i="12"/>
  <c r="C47" i="12"/>
  <c r="C48" i="12"/>
  <c r="C49" i="12"/>
  <c r="C50" i="12"/>
  <c r="C51" i="12"/>
  <c r="C52" i="12"/>
  <c r="C53" i="12"/>
  <c r="C66" i="12"/>
  <c r="B7" i="10"/>
  <c r="B7" i="9"/>
  <c r="I10" i="9"/>
  <c r="H10" i="9"/>
  <c r="A106" i="13"/>
  <c r="G105" i="13"/>
  <c r="C7" i="10"/>
  <c r="C15" i="10"/>
  <c r="H10" i="10"/>
  <c r="H28" i="12"/>
  <c r="H29" i="12"/>
  <c r="C31" i="12"/>
  <c r="H10" i="8"/>
  <c r="I8" i="8"/>
  <c r="J26" i="12"/>
  <c r="G27" i="12"/>
  <c r="I26" i="12"/>
  <c r="B30" i="12"/>
  <c r="B33" i="12"/>
  <c r="B34" i="12"/>
  <c r="B35" i="12"/>
  <c r="B36" i="12"/>
  <c r="B37" i="12"/>
  <c r="B38" i="12"/>
  <c r="B39" i="12"/>
  <c r="B40" i="12"/>
  <c r="B41" i="12"/>
  <c r="B42" i="12"/>
  <c r="B43" i="12"/>
  <c r="B44" i="12"/>
  <c r="B45" i="12"/>
  <c r="B46" i="12"/>
  <c r="U15" i="12"/>
  <c r="C23" i="12"/>
  <c r="O10" i="11"/>
  <c r="P10" i="11"/>
  <c r="Z15" i="2"/>
  <c r="D15" i="11"/>
  <c r="B25" i="11"/>
  <c r="Z16" i="2"/>
  <c r="Z17" i="2"/>
  <c r="D33" i="11"/>
  <c r="A89" i="11"/>
  <c r="G88" i="11"/>
  <c r="A97" i="10"/>
  <c r="G96" i="10"/>
  <c r="A96" i="9"/>
  <c r="G95" i="9"/>
  <c r="A98" i="8"/>
  <c r="G97" i="8"/>
  <c r="B4" i="4"/>
  <c r="D32" i="5"/>
  <c r="D36" i="5"/>
  <c r="F41" i="5"/>
  <c r="C62" i="12"/>
  <c r="C54" i="12"/>
  <c r="C55" i="12"/>
  <c r="C56" i="12"/>
  <c r="C57" i="12"/>
  <c r="B15" i="9"/>
  <c r="B26" i="9"/>
  <c r="T16" i="2"/>
  <c r="T17" i="2"/>
  <c r="B9" i="9"/>
  <c r="B15" i="10"/>
  <c r="T15" i="2"/>
  <c r="T18" i="2"/>
  <c r="C33" i="9"/>
  <c r="D15" i="9"/>
  <c r="B59" i="10"/>
  <c r="D59" i="10"/>
  <c r="I10" i="13"/>
  <c r="G10" i="13"/>
  <c r="I8" i="9"/>
  <c r="B59" i="9"/>
  <c r="D59" i="9"/>
  <c r="C223" i="2"/>
  <c r="B223" i="2"/>
  <c r="A107" i="13"/>
  <c r="G106" i="13"/>
  <c r="B26" i="10"/>
  <c r="G9" i="8"/>
  <c r="B60" i="8"/>
  <c r="B24" i="11"/>
  <c r="I27" i="12"/>
  <c r="J27" i="12"/>
  <c r="G28" i="12"/>
  <c r="B31" i="12"/>
  <c r="B47" i="12"/>
  <c r="Z18" i="2"/>
  <c r="C32" i="11"/>
  <c r="A21" i="4"/>
  <c r="G89" i="11"/>
  <c r="A90" i="11"/>
  <c r="G97" i="10"/>
  <c r="A98" i="10"/>
  <c r="G96" i="9"/>
  <c r="A97" i="9"/>
  <c r="A99" i="8"/>
  <c r="G98" i="8"/>
  <c r="E41" i="5"/>
  <c r="N8" i="13"/>
  <c r="J8" i="13"/>
  <c r="B59" i="13"/>
  <c r="D59" i="13"/>
  <c r="D223" i="2"/>
  <c r="F10" i="13"/>
  <c r="C7" i="13"/>
  <c r="C15" i="13"/>
  <c r="G107" i="13"/>
  <c r="A108" i="13"/>
  <c r="D60" i="8"/>
  <c r="D7" i="8"/>
  <c r="I28" i="12"/>
  <c r="J28" i="12"/>
  <c r="G29" i="12"/>
  <c r="B48" i="12"/>
  <c r="B49" i="12"/>
  <c r="B50" i="12"/>
  <c r="B51" i="12"/>
  <c r="B52" i="12"/>
  <c r="B53" i="12"/>
  <c r="B54" i="12"/>
  <c r="B55" i="12"/>
  <c r="B56" i="12"/>
  <c r="B57" i="12"/>
  <c r="B60" i="12"/>
  <c r="E31" i="12"/>
  <c r="G90" i="11"/>
  <c r="A91" i="11"/>
  <c r="G98" i="10"/>
  <c r="A99" i="10"/>
  <c r="G97" i="9"/>
  <c r="A98" i="9"/>
  <c r="G99" i="8"/>
  <c r="A100" i="8"/>
  <c r="C21" i="5"/>
  <c r="C25" i="5"/>
  <c r="E57" i="5"/>
  <c r="D62" i="1"/>
  <c r="B62" i="1"/>
  <c r="D15" i="1"/>
  <c r="D13" i="1"/>
  <c r="K304" i="2"/>
  <c r="B30" i="3"/>
  <c r="G21" i="3"/>
  <c r="D21" i="3"/>
  <c r="J21" i="3"/>
  <c r="H10" i="13"/>
  <c r="B7" i="13"/>
  <c r="G108" i="13"/>
  <c r="A109" i="13"/>
  <c r="I29" i="12"/>
  <c r="J29" i="12"/>
  <c r="G30" i="12"/>
  <c r="B64" i="12"/>
  <c r="A92" i="11"/>
  <c r="G91" i="11"/>
  <c r="A100" i="10"/>
  <c r="G99" i="10"/>
  <c r="A99" i="9"/>
  <c r="G98" i="9"/>
  <c r="A101" i="8"/>
  <c r="G100" i="8"/>
  <c r="F57" i="5"/>
  <c r="F38" i="5"/>
  <c r="E38" i="5"/>
  <c r="D38" i="5"/>
  <c r="C6" i="4"/>
  <c r="C5" i="4"/>
  <c r="B6" i="4"/>
  <c r="B33" i="3"/>
  <c r="G35" i="3"/>
  <c r="H33" i="3"/>
  <c r="G33" i="3"/>
  <c r="C33" i="3"/>
  <c r="C30" i="3"/>
  <c r="X51" i="3"/>
  <c r="B15" i="13"/>
  <c r="B26" i="13"/>
  <c r="A110" i="13"/>
  <c r="G109" i="13"/>
  <c r="I30" i="12"/>
  <c r="I31" i="12"/>
  <c r="J30" i="12"/>
  <c r="G33" i="12"/>
  <c r="G7" i="4"/>
  <c r="F7" i="4"/>
  <c r="I7" i="4"/>
  <c r="I6" i="4"/>
  <c r="A93" i="11"/>
  <c r="G92" i="11"/>
  <c r="A101" i="10"/>
  <c r="G100" i="10"/>
  <c r="A100" i="9"/>
  <c r="G99" i="9"/>
  <c r="A102" i="8"/>
  <c r="G101" i="8"/>
  <c r="H8" i="4"/>
  <c r="F6" i="4"/>
  <c r="D37" i="3"/>
  <c r="C17" i="4"/>
  <c r="C16" i="4"/>
  <c r="B17" i="4"/>
  <c r="B16" i="4"/>
  <c r="B12" i="4"/>
  <c r="B11" i="4"/>
  <c r="D11" i="4"/>
  <c r="C8" i="4"/>
  <c r="B8" i="4"/>
  <c r="G6" i="4"/>
  <c r="B130" i="2"/>
  <c r="J130" i="2"/>
  <c r="J121" i="2"/>
  <c r="A93" i="4"/>
  <c r="A94" i="4"/>
  <c r="G92" i="4"/>
  <c r="B80" i="4"/>
  <c r="D80" i="4"/>
  <c r="G9" i="4"/>
  <c r="F9" i="4"/>
  <c r="A111" i="13"/>
  <c r="G110" i="13"/>
  <c r="C7" i="4"/>
  <c r="J33" i="12"/>
  <c r="G34" i="12"/>
  <c r="I33" i="12"/>
  <c r="E33" i="12"/>
  <c r="H7" i="4"/>
  <c r="H6" i="4"/>
  <c r="A87" i="1"/>
  <c r="B9" i="6"/>
  <c r="B8" i="6"/>
  <c r="G93" i="11"/>
  <c r="A94" i="11"/>
  <c r="G101" i="10"/>
  <c r="A102" i="10"/>
  <c r="G100" i="9"/>
  <c r="A101" i="9"/>
  <c r="A103" i="8"/>
  <c r="G102" i="8"/>
  <c r="D33" i="3"/>
  <c r="G5" i="4"/>
  <c r="N20" i="2"/>
  <c r="M20" i="2"/>
  <c r="G93" i="4"/>
  <c r="D8" i="4"/>
  <c r="C32" i="4"/>
  <c r="E32" i="4"/>
  <c r="G12" i="4"/>
  <c r="F5" i="4"/>
  <c r="A95" i="4"/>
  <c r="G94" i="4"/>
  <c r="E80" i="4"/>
  <c r="G111" i="13"/>
  <c r="A112" i="13"/>
  <c r="J34" i="12"/>
  <c r="G35" i="12"/>
  <c r="I34" i="12"/>
  <c r="E34" i="12"/>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I291" i="2"/>
  <c r="B61" i="7"/>
  <c r="K228" i="2"/>
  <c r="C237" i="2"/>
  <c r="G94" i="11"/>
  <c r="A95" i="11"/>
  <c r="G102" i="10"/>
  <c r="A103" i="10"/>
  <c r="G101" i="9"/>
  <c r="A102" i="9"/>
  <c r="G103" i="8"/>
  <c r="A104" i="8"/>
  <c r="H5" i="4"/>
  <c r="A96" i="4"/>
  <c r="G95" i="4"/>
  <c r="X15" i="2"/>
  <c r="V15" i="2"/>
  <c r="D34" i="13"/>
  <c r="D15" i="13"/>
  <c r="C26" i="13"/>
  <c r="G112" i="13"/>
  <c r="A113" i="13"/>
  <c r="I35" i="12"/>
  <c r="E35" i="12"/>
  <c r="J35" i="12"/>
  <c r="G36" i="12"/>
  <c r="D61" i="7"/>
  <c r="A96" i="11"/>
  <c r="G95" i="11"/>
  <c r="A104" i="10"/>
  <c r="G103" i="10"/>
  <c r="A103" i="9"/>
  <c r="G102" i="9"/>
  <c r="G104" i="8"/>
  <c r="A105" i="8"/>
  <c r="C183" i="2"/>
  <c r="K174" i="2"/>
  <c r="K183" i="2"/>
  <c r="G96" i="4"/>
  <c r="A97" i="4"/>
  <c r="C25" i="13"/>
  <c r="X16" i="2"/>
  <c r="X17" i="2"/>
  <c r="X18" i="2"/>
  <c r="A114" i="13"/>
  <c r="G113" i="13"/>
  <c r="C26" i="10"/>
  <c r="V16" i="2"/>
  <c r="D15" i="10"/>
  <c r="I36" i="12"/>
  <c r="E36" i="12"/>
  <c r="J36" i="12"/>
  <c r="G37" i="12"/>
  <c r="A97" i="11"/>
  <c r="G96" i="11"/>
  <c r="A105" i="10"/>
  <c r="G104" i="10"/>
  <c r="A104" i="9"/>
  <c r="G103" i="9"/>
  <c r="A106" i="8"/>
  <c r="G105" i="8"/>
  <c r="G97" i="4"/>
  <c r="A98" i="4"/>
  <c r="C27" i="13"/>
  <c r="B219" i="2"/>
  <c r="J210" i="2"/>
  <c r="J219" i="2"/>
  <c r="A115" i="13"/>
  <c r="G114" i="13"/>
  <c r="V17" i="2"/>
  <c r="V18" i="2"/>
  <c r="C165" i="2"/>
  <c r="K156" i="2"/>
  <c r="K165" i="2"/>
  <c r="I37" i="12"/>
  <c r="E37" i="12"/>
  <c r="J37" i="12"/>
  <c r="G38" i="12"/>
  <c r="G97" i="11"/>
  <c r="A98" i="11"/>
  <c r="G105" i="10"/>
  <c r="A106" i="10"/>
  <c r="G104" i="9"/>
  <c r="A105" i="9"/>
  <c r="A107" i="8"/>
  <c r="G106" i="8"/>
  <c r="A99" i="4"/>
  <c r="G98" i="4"/>
  <c r="C33" i="10"/>
  <c r="C33" i="13"/>
  <c r="G115" i="13"/>
  <c r="A116" i="13"/>
  <c r="J38" i="12"/>
  <c r="G39" i="12"/>
  <c r="I38" i="12"/>
  <c r="E38" i="12"/>
  <c r="G98" i="11"/>
  <c r="A99" i="11"/>
  <c r="G106" i="10"/>
  <c r="A107" i="10"/>
  <c r="G105" i="9"/>
  <c r="A106" i="9"/>
  <c r="G107" i="8"/>
  <c r="A108" i="8"/>
  <c r="A100" i="4"/>
  <c r="G99" i="4"/>
  <c r="G116" i="13"/>
  <c r="A117" i="13"/>
  <c r="I39" i="12"/>
  <c r="E39" i="12"/>
  <c r="J39" i="12"/>
  <c r="G40" i="12"/>
  <c r="A100" i="11"/>
  <c r="G99" i="11"/>
  <c r="A108" i="10"/>
  <c r="G107" i="10"/>
  <c r="A107" i="9"/>
  <c r="G106" i="9"/>
  <c r="A109" i="8"/>
  <c r="G108" i="8"/>
  <c r="A101" i="4"/>
  <c r="G100" i="4"/>
  <c r="A118" i="13"/>
  <c r="G117" i="13"/>
  <c r="J40" i="12"/>
  <c r="G41" i="12"/>
  <c r="I40" i="12"/>
  <c r="E40" i="12"/>
  <c r="A101" i="11"/>
  <c r="G100" i="11"/>
  <c r="A109" i="10"/>
  <c r="G108" i="10"/>
  <c r="A108" i="9"/>
  <c r="G107" i="9"/>
  <c r="A110" i="8"/>
  <c r="G109" i="8"/>
  <c r="G101" i="4"/>
  <c r="A102" i="4"/>
  <c r="A119" i="13"/>
  <c r="G118" i="13"/>
  <c r="I41" i="12"/>
  <c r="E41" i="12"/>
  <c r="J41" i="12"/>
  <c r="G42" i="12"/>
  <c r="G101" i="11"/>
  <c r="A102" i="11"/>
  <c r="G109" i="10"/>
  <c r="A110" i="10"/>
  <c r="G108" i="9"/>
  <c r="A109" i="9"/>
  <c r="G110" i="8"/>
  <c r="A111" i="8"/>
  <c r="G102" i="4"/>
  <c r="A103" i="4"/>
  <c r="G119" i="13"/>
  <c r="A120" i="13"/>
  <c r="J42" i="12"/>
  <c r="G43" i="12"/>
  <c r="I42" i="12"/>
  <c r="E42" i="12"/>
  <c r="G102" i="11"/>
  <c r="A103" i="11"/>
  <c r="G110" i="10"/>
  <c r="A111" i="10"/>
  <c r="G109" i="9"/>
  <c r="A110" i="9"/>
  <c r="G111" i="8"/>
  <c r="A112" i="8"/>
  <c r="A104" i="4"/>
  <c r="G103" i="4"/>
  <c r="G120" i="13"/>
  <c r="A121" i="13"/>
  <c r="G121" i="13"/>
  <c r="J43" i="12"/>
  <c r="G44" i="12"/>
  <c r="I43" i="12"/>
  <c r="E43" i="12"/>
  <c r="B61" i="12"/>
  <c r="B65" i="12"/>
  <c r="B66" i="12"/>
  <c r="E66" i="12"/>
  <c r="G66" i="12"/>
  <c r="A104" i="11"/>
  <c r="G103" i="11"/>
  <c r="A112" i="10"/>
  <c r="G111" i="10"/>
  <c r="A111" i="9"/>
  <c r="G110" i="9"/>
  <c r="G112" i="8"/>
  <c r="A113" i="8"/>
  <c r="G104" i="4"/>
  <c r="A105" i="4"/>
  <c r="B62" i="12"/>
  <c r="J44" i="12"/>
  <c r="G45" i="12"/>
  <c r="I44" i="12"/>
  <c r="E44" i="12"/>
  <c r="A105" i="11"/>
  <c r="G104" i="11"/>
  <c r="A113" i="10"/>
  <c r="G112" i="10"/>
  <c r="A112" i="9"/>
  <c r="G111" i="9"/>
  <c r="G113" i="8"/>
  <c r="A114" i="8"/>
  <c r="G105" i="4"/>
  <c r="A106" i="4"/>
  <c r="I45" i="12"/>
  <c r="E45" i="12"/>
  <c r="J45" i="12"/>
  <c r="G46" i="12"/>
  <c r="G105" i="11"/>
  <c r="A106" i="11"/>
  <c r="G113" i="10"/>
  <c r="A114" i="10"/>
  <c r="G112" i="9"/>
  <c r="A113" i="9"/>
  <c r="G114" i="8"/>
  <c r="A115" i="8"/>
  <c r="A107" i="4"/>
  <c r="G106" i="4"/>
  <c r="I46" i="12"/>
  <c r="E46" i="12"/>
  <c r="J46" i="12"/>
  <c r="G47" i="12"/>
  <c r="G106" i="11"/>
  <c r="A107" i="11"/>
  <c r="G114" i="10"/>
  <c r="A115" i="10"/>
  <c r="G113" i="9"/>
  <c r="A114" i="9"/>
  <c r="G115" i="8"/>
  <c r="A116" i="8"/>
  <c r="A108" i="4"/>
  <c r="G107" i="4"/>
  <c r="I47" i="12"/>
  <c r="E47" i="12"/>
  <c r="J47" i="12"/>
  <c r="G48" i="12"/>
  <c r="A108" i="11"/>
  <c r="G107" i="11"/>
  <c r="A116" i="10"/>
  <c r="G115" i="10"/>
  <c r="A115" i="9"/>
  <c r="G114" i="9"/>
  <c r="A117" i="8"/>
  <c r="G116" i="8"/>
  <c r="A109" i="4"/>
  <c r="G108" i="4"/>
  <c r="J48" i="12"/>
  <c r="G49" i="12"/>
  <c r="I48" i="12"/>
  <c r="E48" i="12"/>
  <c r="A109" i="11"/>
  <c r="G108" i="11"/>
  <c r="A117" i="10"/>
  <c r="G116" i="10"/>
  <c r="A116" i="9"/>
  <c r="G115" i="9"/>
  <c r="A118" i="8"/>
  <c r="G117" i="8"/>
  <c r="G109" i="4"/>
  <c r="A110" i="4"/>
  <c r="J49" i="12"/>
  <c r="G50" i="12"/>
  <c r="I49" i="12"/>
  <c r="E49" i="12"/>
  <c r="G109" i="11"/>
  <c r="A110" i="11"/>
  <c r="G117" i="10"/>
  <c r="A118" i="10"/>
  <c r="G116" i="9"/>
  <c r="A117" i="9"/>
  <c r="G118" i="8"/>
  <c r="A119" i="8"/>
  <c r="G110" i="4"/>
  <c r="A111" i="4"/>
  <c r="J50" i="12"/>
  <c r="G51" i="12"/>
  <c r="I50" i="12"/>
  <c r="E50" i="12"/>
  <c r="G110" i="11"/>
  <c r="A111" i="11"/>
  <c r="G118" i="10"/>
  <c r="A119" i="10"/>
  <c r="G117" i="9"/>
  <c r="A118" i="9"/>
  <c r="G119" i="8"/>
  <c r="A120" i="8"/>
  <c r="A112" i="4"/>
  <c r="G111" i="4"/>
  <c r="J51" i="12"/>
  <c r="G52" i="12"/>
  <c r="I51" i="12"/>
  <c r="E51" i="12"/>
  <c r="A112" i="11"/>
  <c r="G111" i="11"/>
  <c r="A120" i="10"/>
  <c r="G119" i="10"/>
  <c r="A119" i="9"/>
  <c r="G118" i="9"/>
  <c r="A121" i="8"/>
  <c r="G120" i="8"/>
  <c r="A113" i="4"/>
  <c r="G112" i="4"/>
  <c r="J52" i="12"/>
  <c r="G53" i="12"/>
  <c r="I52" i="12"/>
  <c r="E52" i="12"/>
  <c r="A113" i="11"/>
  <c r="G113" i="11"/>
  <c r="G112" i="11"/>
  <c r="A121" i="10"/>
  <c r="G121" i="10"/>
  <c r="G120" i="10"/>
  <c r="A120" i="9"/>
  <c r="G120" i="9"/>
  <c r="G119" i="9"/>
  <c r="A122" i="8"/>
  <c r="G122" i="8"/>
  <c r="G121" i="8"/>
  <c r="G113" i="4"/>
  <c r="A114" i="4"/>
  <c r="I53" i="12"/>
  <c r="E53" i="12"/>
  <c r="J53" i="12"/>
  <c r="G54" i="12"/>
  <c r="G114" i="4"/>
  <c r="A115" i="4"/>
  <c r="I54" i="12"/>
  <c r="E54" i="12"/>
  <c r="J54" i="12"/>
  <c r="G55" i="12"/>
  <c r="A116" i="4"/>
  <c r="G115" i="4"/>
  <c r="J55" i="12"/>
  <c r="G56" i="12"/>
  <c r="I55" i="12"/>
  <c r="E55" i="12"/>
  <c r="G116" i="4"/>
  <c r="A117" i="4"/>
  <c r="I56" i="12"/>
  <c r="E56" i="12"/>
  <c r="J56" i="12"/>
  <c r="G57" i="12"/>
  <c r="G117" i="4"/>
  <c r="A118" i="4"/>
  <c r="I57" i="12"/>
  <c r="E57" i="12"/>
  <c r="J57" i="12"/>
  <c r="A119" i="4"/>
  <c r="G118" i="4"/>
  <c r="A120" i="4"/>
  <c r="G119" i="4"/>
  <c r="A121" i="4"/>
  <c r="G121" i="4"/>
  <c r="G120" i="4"/>
  <c r="S23" i="3"/>
  <c r="S22" i="3"/>
  <c r="T21" i="3"/>
  <c r="T22" i="3"/>
  <c r="T23" i="3"/>
  <c r="S21" i="3"/>
  <c r="S18" i="3"/>
  <c r="U18" i="3"/>
  <c r="S19" i="3"/>
  <c r="U19" i="3"/>
  <c r="S20" i="3"/>
  <c r="U20" i="3"/>
  <c r="S17" i="3"/>
  <c r="U17" i="3"/>
  <c r="E44" i="3"/>
  <c r="F44" i="3"/>
  <c r="U23" i="3"/>
  <c r="U22" i="3"/>
  <c r="U21" i="3"/>
  <c r="E75" i="1"/>
  <c r="E43" i="3"/>
  <c r="B43" i="3"/>
  <c r="Y2" i="3"/>
  <c r="Y4" i="3"/>
  <c r="Z10" i="3"/>
  <c r="Z11" i="3"/>
  <c r="Z12" i="3"/>
  <c r="Z13" i="3"/>
  <c r="Z9" i="3"/>
  <c r="X10" i="3"/>
  <c r="X11" i="3"/>
  <c r="X12" i="3"/>
  <c r="X13" i="3"/>
  <c r="X9" i="3"/>
  <c r="V8" i="3"/>
  <c r="T12" i="3"/>
  <c r="V12" i="3"/>
  <c r="T11" i="3"/>
  <c r="V11" i="3"/>
  <c r="T10" i="3"/>
  <c r="V10" i="3"/>
  <c r="T9" i="3"/>
  <c r="V9" i="3"/>
  <c r="T13" i="3"/>
  <c r="V13" i="3"/>
  <c r="C43" i="3"/>
  <c r="F43" i="3"/>
  <c r="Y10" i="3"/>
  <c r="Y11" i="3"/>
  <c r="Y12" i="3"/>
  <c r="Y9" i="3"/>
  <c r="Y13" i="3"/>
  <c r="H294" i="2"/>
  <c r="B60" i="13"/>
  <c r="H296" i="2"/>
  <c r="B44" i="3"/>
  <c r="C44" i="3"/>
  <c r="F9" i="3"/>
  <c r="F10" i="3"/>
  <c r="F11" i="3"/>
  <c r="F12" i="3"/>
  <c r="F13" i="3"/>
  <c r="F8" i="3"/>
  <c r="I22" i="3"/>
  <c r="H22" i="3"/>
  <c r="J20" i="3"/>
  <c r="J19" i="3"/>
  <c r="J18" i="3"/>
  <c r="G20" i="3"/>
  <c r="G19" i="3"/>
  <c r="G18" i="3"/>
  <c r="D19" i="3"/>
  <c r="D20" i="3"/>
  <c r="D18" i="3"/>
  <c r="C22" i="3"/>
  <c r="E22" i="3"/>
  <c r="F22" i="3"/>
  <c r="B22" i="3"/>
  <c r="Q304" i="2"/>
  <c r="S304" i="2"/>
  <c r="R304" i="2"/>
  <c r="B61" i="13"/>
  <c r="D60" i="13"/>
  <c r="B60" i="10"/>
  <c r="B60" i="9"/>
  <c r="B61" i="8"/>
  <c r="B61" i="4"/>
  <c r="B62" i="7"/>
  <c r="L303" i="2"/>
  <c r="M303" i="2"/>
  <c r="B10" i="11"/>
  <c r="B9" i="11"/>
  <c r="K303" i="2"/>
  <c r="Q303" i="2"/>
  <c r="C45" i="3"/>
  <c r="G22" i="3"/>
  <c r="B45" i="3"/>
  <c r="D23" i="3"/>
  <c r="B81" i="13"/>
  <c r="G23" i="3"/>
  <c r="J22" i="3"/>
  <c r="D22" i="3"/>
  <c r="B42" i="3"/>
  <c r="C27" i="1"/>
  <c r="B27" i="1"/>
  <c r="S303" i="2"/>
  <c r="R303" i="2"/>
  <c r="D81" i="13"/>
  <c r="E81" i="13"/>
  <c r="D61" i="13"/>
  <c r="B62" i="13"/>
  <c r="D62" i="13"/>
  <c r="B62" i="4"/>
  <c r="D61" i="4"/>
  <c r="D62" i="7"/>
  <c r="B63" i="7"/>
  <c r="D61" i="8"/>
  <c r="B62" i="8"/>
  <c r="D60" i="9"/>
  <c r="B61" i="9"/>
  <c r="D60" i="10"/>
  <c r="B61" i="10"/>
  <c r="O12" i="11"/>
  <c r="D22" i="11"/>
  <c r="B22" i="11"/>
  <c r="B228" i="2"/>
  <c r="P12" i="11"/>
  <c r="B23" i="11"/>
  <c r="D23" i="11"/>
  <c r="F8" i="11"/>
  <c r="G8" i="11"/>
  <c r="D10" i="11"/>
  <c r="F8" i="9"/>
  <c r="G8" i="9"/>
  <c r="B23" i="9"/>
  <c r="B156" i="2"/>
  <c r="D23" i="9"/>
  <c r="M338" i="2"/>
  <c r="F8" i="10"/>
  <c r="G8" i="10"/>
  <c r="B80" i="9"/>
  <c r="B73" i="11"/>
  <c r="B82" i="8"/>
  <c r="B83" i="7"/>
  <c r="B81" i="10"/>
  <c r="B46" i="3"/>
  <c r="B76" i="1"/>
  <c r="E76" i="1"/>
  <c r="B81" i="4"/>
  <c r="E42" i="3"/>
  <c r="K22" i="3"/>
  <c r="G24" i="3"/>
  <c r="G25" i="3"/>
  <c r="D24" i="3"/>
  <c r="R338" i="2"/>
  <c r="S338" i="2"/>
  <c r="J54" i="2"/>
  <c r="D54" i="2"/>
  <c r="F59" i="2"/>
  <c r="D52" i="7"/>
  <c r="P303" i="2"/>
  <c r="O303"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S337" i="2"/>
  <c r="O299" i="2"/>
  <c r="D61" i="9"/>
  <c r="B62" i="9"/>
  <c r="D62" i="9"/>
  <c r="D62" i="8"/>
  <c r="B63" i="8"/>
  <c r="D63" i="8"/>
  <c r="D63" i="7"/>
  <c r="B64" i="7"/>
  <c r="D61" i="10"/>
  <c r="B62" i="10"/>
  <c r="D62" i="10"/>
  <c r="D62" i="4"/>
  <c r="B165" i="2"/>
  <c r="J156" i="2"/>
  <c r="J165" i="2"/>
  <c r="M315" i="2"/>
  <c r="M306" i="2"/>
  <c r="M312" i="2"/>
  <c r="M327" i="2"/>
  <c r="M308" i="2"/>
  <c r="B183" i="2"/>
  <c r="M318" i="2"/>
  <c r="M331" i="2"/>
  <c r="M320" i="2"/>
  <c r="M333" i="2"/>
  <c r="M321" i="2"/>
  <c r="M334" i="2"/>
  <c r="M330" i="2"/>
  <c r="M329" i="2"/>
  <c r="M326" i="2"/>
  <c r="M336" i="2"/>
  <c r="M319" i="2"/>
  <c r="M309" i="2"/>
  <c r="M328" i="2"/>
  <c r="M311" i="2"/>
  <c r="M325" i="2"/>
  <c r="M335" i="2"/>
  <c r="M337" i="2"/>
  <c r="M316" i="2"/>
  <c r="M322" i="2"/>
  <c r="M313" i="2"/>
  <c r="J228" i="2"/>
  <c r="J237" i="2"/>
  <c r="B237" i="2"/>
  <c r="M323" i="2"/>
  <c r="M314" i="2"/>
  <c r="M324" i="2"/>
  <c r="B26" i="11"/>
  <c r="M307" i="2"/>
  <c r="M310" i="2"/>
  <c r="M305" i="2"/>
  <c r="M332" i="2"/>
  <c r="M317" i="2"/>
  <c r="E81" i="10"/>
  <c r="D81" i="10"/>
  <c r="D83" i="7"/>
  <c r="E83" i="7"/>
  <c r="D82" i="8"/>
  <c r="E82" i="8"/>
  <c r="E73" i="11"/>
  <c r="D73" i="11"/>
  <c r="D80" i="9"/>
  <c r="E80" i="9"/>
  <c r="F42" i="3"/>
  <c r="C42" i="3"/>
  <c r="C46" i="3"/>
  <c r="E81" i="4"/>
  <c r="D81" i="4"/>
  <c r="S327" i="2"/>
  <c r="S320" i="2"/>
  <c r="S308" i="2"/>
  <c r="S330" i="2"/>
  <c r="R329" i="2"/>
  <c r="R335" i="2"/>
  <c r="R323" i="2"/>
  <c r="R334" i="2"/>
  <c r="S311" i="2"/>
  <c r="R337" i="2"/>
  <c r="R320" i="2"/>
  <c r="R331" i="2"/>
  <c r="R311" i="2"/>
  <c r="S335" i="2"/>
  <c r="S328" i="2"/>
  <c r="S323" i="2"/>
  <c r="S336" i="2"/>
  <c r="S317" i="2"/>
  <c r="S307" i="2"/>
  <c r="R314" i="2"/>
  <c r="R306" i="2"/>
  <c r="R326" i="2"/>
  <c r="R336" i="2"/>
  <c r="S324" i="2"/>
  <c r="S332" i="2"/>
  <c r="S313" i="2"/>
  <c r="S318" i="2"/>
  <c r="S315" i="2"/>
  <c r="R322" i="2"/>
  <c r="R310" i="2"/>
  <c r="R319" i="2"/>
  <c r="R309" i="2"/>
  <c r="S325" i="2"/>
  <c r="S321" i="2"/>
  <c r="S334" i="2"/>
  <c r="S316" i="2"/>
  <c r="R330" i="2"/>
  <c r="R327" i="2"/>
  <c r="R328" i="2"/>
  <c r="R317" i="2"/>
  <c r="R312" i="2"/>
  <c r="R308" i="2"/>
  <c r="R325" i="2"/>
  <c r="S329" i="2"/>
  <c r="S309" i="2"/>
  <c r="Q305" i="2"/>
  <c r="S326" i="2"/>
  <c r="S314" i="2"/>
  <c r="S333" i="2"/>
  <c r="R324" i="2"/>
  <c r="R307" i="2"/>
  <c r="R316" i="2"/>
  <c r="R333" i="2"/>
  <c r="S305" i="2"/>
  <c r="S310" i="2"/>
  <c r="S306" i="2"/>
  <c r="S319" i="2"/>
  <c r="S312" i="2"/>
  <c r="S331" i="2"/>
  <c r="S322" i="2"/>
  <c r="R321" i="2"/>
  <c r="R318" i="2"/>
  <c r="R315" i="2"/>
  <c r="R332" i="2"/>
  <c r="R313" i="2"/>
  <c r="R305" i="2"/>
  <c r="Q333" i="2"/>
  <c r="Q309" i="2"/>
  <c r="Q325" i="2"/>
  <c r="Q317" i="2"/>
  <c r="Q310" i="2"/>
  <c r="Q332" i="2"/>
  <c r="Q324" i="2"/>
  <c r="Q316" i="2"/>
  <c r="Q308" i="2"/>
  <c r="Q331" i="2"/>
  <c r="Q307" i="2"/>
  <c r="Q338" i="2"/>
  <c r="Q322" i="2"/>
  <c r="Q337" i="2"/>
  <c r="Q329" i="2"/>
  <c r="Q321" i="2"/>
  <c r="Q313" i="2"/>
  <c r="Q323" i="2"/>
  <c r="Q315" i="2"/>
  <c r="Q330" i="2"/>
  <c r="Q314" i="2"/>
  <c r="Q306" i="2"/>
  <c r="Q336" i="2"/>
  <c r="Q328" i="2"/>
  <c r="Q320" i="2"/>
  <c r="Q312" i="2"/>
  <c r="Q335" i="2"/>
  <c r="Q327" i="2"/>
  <c r="Q319" i="2"/>
  <c r="Q311" i="2"/>
  <c r="Q334" i="2"/>
  <c r="Q326" i="2"/>
  <c r="Q318" i="2"/>
  <c r="D64" i="7"/>
  <c r="C8" i="1"/>
  <c r="A10" i="2"/>
  <c r="F12" i="2"/>
  <c r="E10" i="2"/>
  <c r="C9" i="1"/>
  <c r="C9" i="8"/>
  <c r="C9" i="4"/>
  <c r="C10" i="8"/>
  <c r="C25" i="8"/>
  <c r="E25" i="8"/>
  <c r="C10" i="4"/>
  <c r="C9" i="7"/>
  <c r="G8" i="7"/>
  <c r="D8" i="1"/>
  <c r="C8" i="7"/>
  <c r="P304" i="2"/>
  <c r="P319" i="2"/>
  <c r="E11" i="2"/>
  <c r="G8" i="1"/>
  <c r="F8" i="1"/>
  <c r="C219" i="2"/>
  <c r="K210" i="2"/>
  <c r="C23" i="4"/>
  <c r="C192" i="2"/>
  <c r="C120" i="2"/>
  <c r="E23" i="4"/>
  <c r="C138" i="2"/>
  <c r="E24" i="8"/>
  <c r="C24" i="8"/>
  <c r="C25" i="7"/>
  <c r="E25" i="7"/>
  <c r="D9" i="7"/>
  <c r="C24" i="4"/>
  <c r="E24" i="4"/>
  <c r="C24" i="7"/>
  <c r="E24" i="7"/>
  <c r="D8" i="7"/>
  <c r="P318" i="2"/>
  <c r="P310" i="2"/>
  <c r="P315" i="2"/>
  <c r="P326" i="2"/>
  <c r="P324" i="2"/>
  <c r="P307" i="2"/>
  <c r="P333" i="2"/>
  <c r="P332" i="2"/>
  <c r="P305" i="2"/>
  <c r="P325" i="2"/>
  <c r="P311" i="2"/>
  <c r="P306" i="2"/>
  <c r="P334" i="2"/>
  <c r="P317" i="2"/>
  <c r="P338" i="2"/>
  <c r="P320" i="2"/>
  <c r="P323" i="2"/>
  <c r="P314" i="2"/>
  <c r="P313" i="2"/>
  <c r="P312" i="2"/>
  <c r="P308" i="2"/>
  <c r="P322" i="2"/>
  <c r="P316" i="2"/>
  <c r="P331" i="2"/>
  <c r="P309" i="2"/>
  <c r="P336" i="2"/>
  <c r="P337" i="2"/>
  <c r="P327" i="2"/>
  <c r="P321" i="2"/>
  <c r="P335" i="2"/>
  <c r="P328" i="2"/>
  <c r="P329" i="2"/>
  <c r="P330" i="2"/>
  <c r="K63" i="2"/>
  <c r="G11" i="1"/>
  <c r="D269" i="2"/>
  <c r="L269" i="2"/>
  <c r="D270" i="2"/>
  <c r="L270" i="2"/>
  <c r="D271" i="2"/>
  <c r="J271" i="2"/>
  <c r="J272" i="2"/>
  <c r="K271" i="2"/>
  <c r="L271" i="2"/>
  <c r="D272" i="2"/>
  <c r="K272" i="2"/>
  <c r="B273" i="2"/>
  <c r="C273" i="2"/>
  <c r="J79" i="2"/>
  <c r="J77" i="2"/>
  <c r="J76" i="2"/>
  <c r="J75" i="2"/>
  <c r="B79" i="2"/>
  <c r="B76" i="2"/>
  <c r="D24" i="1"/>
  <c r="B24" i="1"/>
  <c r="C11" i="1"/>
  <c r="C12" i="13"/>
  <c r="D12" i="13"/>
  <c r="K138" i="2"/>
  <c r="K147" i="2"/>
  <c r="C147" i="2"/>
  <c r="K120" i="2"/>
  <c r="C129" i="2"/>
  <c r="C201" i="2"/>
  <c r="K192" i="2"/>
  <c r="C12" i="4"/>
  <c r="D12" i="4"/>
  <c r="C23" i="2"/>
  <c r="C12" i="9"/>
  <c r="D12" i="9"/>
  <c r="C12" i="8"/>
  <c r="D12" i="8"/>
  <c r="C12" i="11"/>
  <c r="D12" i="11"/>
  <c r="C12" i="10"/>
  <c r="D12" i="10"/>
  <c r="C11" i="7"/>
  <c r="D11" i="7"/>
  <c r="B83" i="2"/>
  <c r="B102" i="2"/>
  <c r="J83" i="2"/>
  <c r="J92" i="2"/>
  <c r="J102" i="2"/>
  <c r="J111" i="2"/>
  <c r="L272" i="2"/>
  <c r="D273" i="2"/>
  <c r="K75" i="2"/>
  <c r="K77" i="2"/>
  <c r="K79" i="2"/>
  <c r="B111" i="2"/>
  <c r="C24" i="1"/>
  <c r="O304" i="2"/>
  <c r="T304" i="2"/>
  <c r="E24" i="1"/>
  <c r="B35" i="1"/>
  <c r="E34" i="2"/>
  <c r="H197" i="2"/>
  <c r="C83" i="2"/>
  <c r="C102" i="2"/>
  <c r="K102" i="2"/>
  <c r="K111" i="2"/>
  <c r="C111" i="2"/>
  <c r="C92" i="2"/>
  <c r="K83" i="2"/>
  <c r="K92" i="2"/>
  <c r="O316" i="2"/>
  <c r="T316" i="2"/>
  <c r="O315" i="2"/>
  <c r="T315" i="2"/>
  <c r="O337" i="2"/>
  <c r="T337" i="2"/>
  <c r="O336" i="2"/>
  <c r="T336" i="2"/>
  <c r="O334" i="2"/>
  <c r="T334" i="2"/>
  <c r="O308" i="2"/>
  <c r="T308" i="2"/>
  <c r="O338" i="2"/>
  <c r="T338" i="2"/>
  <c r="O313" i="2"/>
  <c r="T313" i="2"/>
  <c r="O328" i="2"/>
  <c r="T328" i="2"/>
  <c r="O329" i="2"/>
  <c r="T329" i="2"/>
  <c r="O326" i="2"/>
  <c r="T326" i="2"/>
  <c r="O331" i="2"/>
  <c r="T331" i="2"/>
  <c r="O322" i="2"/>
  <c r="T322" i="2"/>
  <c r="O320" i="2"/>
  <c r="T320" i="2"/>
  <c r="O321" i="2"/>
  <c r="T321" i="2"/>
  <c r="O335" i="2"/>
  <c r="T335" i="2"/>
  <c r="O318" i="2"/>
  <c r="T318" i="2"/>
  <c r="O305" i="2"/>
  <c r="T305" i="2"/>
  <c r="O314" i="2"/>
  <c r="T314" i="2"/>
  <c r="O324" i="2"/>
  <c r="T324" i="2"/>
  <c r="O310" i="2"/>
  <c r="T310" i="2"/>
  <c r="O306" i="2"/>
  <c r="T306" i="2"/>
  <c r="O312" i="2"/>
  <c r="T312" i="2"/>
  <c r="O330" i="2"/>
  <c r="T330" i="2"/>
  <c r="O327" i="2"/>
  <c r="T327" i="2"/>
  <c r="O323" i="2"/>
  <c r="T323" i="2"/>
  <c r="O319" i="2"/>
  <c r="T319" i="2"/>
  <c r="O333" i="2"/>
  <c r="T333" i="2"/>
  <c r="O307" i="2"/>
  <c r="T307" i="2"/>
  <c r="O311" i="2"/>
  <c r="T311" i="2"/>
  <c r="O325" i="2"/>
  <c r="T325" i="2"/>
  <c r="O309" i="2"/>
  <c r="T309" i="2"/>
  <c r="O317" i="2"/>
  <c r="T317" i="2"/>
  <c r="O332" i="2"/>
  <c r="T332" i="2"/>
  <c r="L64" i="2"/>
  <c r="L65" i="2"/>
  <c r="L63" i="2"/>
  <c r="U305" i="2"/>
  <c r="U325" i="2"/>
  <c r="U338" i="2"/>
  <c r="U329" i="2"/>
  <c r="U306" i="2"/>
  <c r="U309" i="2"/>
  <c r="U307" i="2"/>
  <c r="U327" i="2"/>
  <c r="U330" i="2"/>
  <c r="U323" i="2"/>
  <c r="U311" i="2"/>
  <c r="U322" i="2"/>
  <c r="U324" i="2"/>
  <c r="U333" i="2"/>
  <c r="U335" i="2"/>
  <c r="U321" i="2"/>
  <c r="U314" i="2"/>
  <c r="U332" i="2"/>
  <c r="U317" i="2"/>
  <c r="U312" i="2"/>
  <c r="U308" i="2"/>
  <c r="U310" i="2"/>
  <c r="U334" i="2"/>
  <c r="U331" i="2"/>
  <c r="U336" i="2"/>
  <c r="U320" i="2"/>
  <c r="U319" i="2"/>
  <c r="U326" i="2"/>
  <c r="U337" i="2"/>
  <c r="U316" i="2"/>
  <c r="U315" i="2"/>
  <c r="U318" i="2"/>
  <c r="U328" i="2"/>
  <c r="U313" i="2"/>
  <c r="M7" i="1"/>
  <c r="N7" i="1"/>
  <c r="U339" i="2"/>
  <c r="H303" i="2"/>
  <c r="D276" i="2"/>
  <c r="D275" i="2"/>
  <c r="C277" i="2"/>
  <c r="B277" i="2"/>
  <c r="L274" i="2"/>
  <c r="L275" i="2"/>
  <c r="K276" i="2"/>
  <c r="J276" i="2"/>
  <c r="N303" i="2"/>
  <c r="J303" i="2"/>
  <c r="K343" i="2"/>
  <c r="D277" i="2"/>
  <c r="L276" i="2"/>
  <c r="O40" i="2"/>
  <c r="E7" i="2"/>
  <c r="B291" i="2"/>
  <c r="P38" i="2"/>
  <c r="A294" i="2"/>
  <c r="A295" i="2"/>
  <c r="D7" i="1"/>
  <c r="A296" i="2"/>
  <c r="D76" i="1"/>
  <c r="H299" i="2"/>
  <c r="S32" i="3"/>
  <c r="T32" i="3"/>
  <c r="U32" i="3"/>
  <c r="B86" i="13"/>
  <c r="D86" i="13"/>
  <c r="B88" i="7"/>
  <c r="D88" i="7"/>
  <c r="B78" i="11"/>
  <c r="D78" i="11"/>
  <c r="F78" i="11"/>
  <c r="B87" i="8"/>
  <c r="D87" i="8"/>
  <c r="F87" i="8"/>
  <c r="B86" i="10"/>
  <c r="D86" i="10"/>
  <c r="F86" i="10"/>
  <c r="B85" i="9"/>
  <c r="D85" i="9"/>
  <c r="F85" i="9"/>
  <c r="B81" i="1"/>
  <c r="B86" i="4"/>
  <c r="A297" i="2"/>
  <c r="B25" i="1"/>
  <c r="G6" i="2"/>
  <c r="D10" i="1"/>
  <c r="D11" i="1"/>
  <c r="D35" i="1"/>
  <c r="J14" i="2"/>
  <c r="C33" i="1"/>
  <c r="A88" i="1"/>
  <c r="B10" i="6"/>
  <c r="J48" i="2"/>
  <c r="I49" i="2"/>
  <c r="I48" i="2"/>
  <c r="J46" i="2"/>
  <c r="I47" i="2"/>
  <c r="I46" i="2"/>
  <c r="F51" i="2"/>
  <c r="C50" i="2"/>
  <c r="D50" i="2"/>
  <c r="C48" i="2"/>
  <c r="D48" i="2"/>
  <c r="C49" i="2"/>
  <c r="C46" i="2"/>
  <c r="D46" i="2"/>
  <c r="C47" i="2"/>
  <c r="O31" i="2"/>
  <c r="P31" i="2"/>
  <c r="D17" i="2"/>
  <c r="L9" i="2"/>
  <c r="I9" i="2"/>
  <c r="J73" i="2"/>
  <c r="L8" i="2"/>
  <c r="I8" i="2"/>
  <c r="O9" i="11"/>
  <c r="O11" i="11"/>
  <c r="P11" i="11"/>
  <c r="L7" i="2"/>
  <c r="I7" i="2"/>
  <c r="E9" i="2"/>
  <c r="D9" i="2"/>
  <c r="A9" i="2"/>
  <c r="E8" i="2"/>
  <c r="D8" i="2"/>
  <c r="A8" i="2"/>
  <c r="D7" i="2"/>
  <c r="A7" i="2"/>
  <c r="E6" i="2"/>
  <c r="E18" i="2"/>
  <c r="F86" i="13"/>
  <c r="R15" i="2"/>
  <c r="S15" i="2"/>
  <c r="Q15" i="2"/>
  <c r="P15" i="2"/>
  <c r="D86" i="4"/>
  <c r="F86" i="4"/>
  <c r="D196" i="2"/>
  <c r="K15" i="2"/>
  <c r="J72" i="2"/>
  <c r="B73" i="2"/>
  <c r="C73" i="2"/>
  <c r="D73" i="2"/>
  <c r="J74" i="2"/>
  <c r="D25" i="1"/>
  <c r="K129" i="2"/>
  <c r="B72" i="2"/>
  <c r="C72" i="2"/>
  <c r="D72" i="2"/>
  <c r="D10" i="2"/>
  <c r="F10" i="2"/>
  <c r="D56" i="2"/>
  <c r="B75" i="2"/>
  <c r="J56" i="2"/>
  <c r="D78" i="7"/>
  <c r="D26" i="2"/>
  <c r="D31" i="2"/>
  <c r="B25" i="13"/>
  <c r="D27" i="2"/>
  <c r="D30" i="2"/>
  <c r="Q41" i="2"/>
  <c r="C51" i="2"/>
  <c r="A89" i="1"/>
  <c r="B11" i="6"/>
  <c r="Q36" i="2"/>
  <c r="D32" i="2"/>
  <c r="D28" i="2"/>
  <c r="Q35" i="2"/>
  <c r="D29" i="2"/>
  <c r="A298" i="2"/>
  <c r="Q32" i="2"/>
  <c r="D23" i="2"/>
  <c r="J15" i="2"/>
  <c r="J17" i="2"/>
  <c r="F9" i="2"/>
  <c r="Q38" i="2"/>
  <c r="Q31" i="2"/>
  <c r="Q37" i="2"/>
  <c r="Q33" i="2"/>
  <c r="Q34" i="2"/>
  <c r="E33" i="1"/>
  <c r="P39" i="2"/>
  <c r="F7" i="2"/>
  <c r="F8" i="2"/>
  <c r="B27" i="13"/>
  <c r="B50" i="13"/>
  <c r="D76" i="13"/>
  <c r="C24" i="11"/>
  <c r="D68" i="11"/>
  <c r="J14" i="11"/>
  <c r="D75" i="9"/>
  <c r="E75" i="9"/>
  <c r="D76" i="10"/>
  <c r="E76" i="10"/>
  <c r="D77" i="8"/>
  <c r="E77" i="8"/>
  <c r="B77" i="2"/>
  <c r="C77" i="2"/>
  <c r="C78" i="2"/>
  <c r="C75" i="2"/>
  <c r="C26" i="7"/>
  <c r="C28" i="7"/>
  <c r="J10" i="7"/>
  <c r="B78" i="7"/>
  <c r="E78" i="7"/>
  <c r="B26" i="7"/>
  <c r="D71" i="1"/>
  <c r="E71" i="1"/>
  <c r="D76" i="4"/>
  <c r="G25" i="2"/>
  <c r="P40" i="2"/>
  <c r="Q40" i="2"/>
  <c r="L15" i="2"/>
  <c r="A90" i="1"/>
  <c r="B12" i="6"/>
  <c r="A299" i="2"/>
  <c r="H28" i="2"/>
  <c r="Q39" i="2"/>
  <c r="C28" i="13"/>
  <c r="E76" i="13"/>
  <c r="J14" i="13"/>
  <c r="B76" i="13"/>
  <c r="C26" i="11"/>
  <c r="B49" i="11"/>
  <c r="E68" i="11"/>
  <c r="B68" i="11"/>
  <c r="J14" i="9"/>
  <c r="B76" i="10"/>
  <c r="J14" i="10"/>
  <c r="B75" i="9"/>
  <c r="J14" i="8"/>
  <c r="B77" i="8"/>
  <c r="B78" i="2"/>
  <c r="E76" i="2"/>
  <c r="B51" i="7"/>
  <c r="B28" i="7"/>
  <c r="C29" i="7"/>
  <c r="B53" i="7"/>
  <c r="E76" i="4"/>
  <c r="B76" i="4"/>
  <c r="J14" i="4"/>
  <c r="J10" i="1"/>
  <c r="C17" i="2"/>
  <c r="I16" i="2"/>
  <c r="B71" i="1"/>
  <c r="A91" i="1"/>
  <c r="B13" i="6"/>
  <c r="A300" i="2"/>
  <c r="X27" i="2"/>
  <c r="A218" i="2"/>
  <c r="C27" i="11"/>
  <c r="P16" i="2"/>
  <c r="P17" i="2"/>
  <c r="P18" i="2"/>
  <c r="C34" i="7"/>
  <c r="C16" i="2"/>
  <c r="A92" i="1"/>
  <c r="B14" i="6"/>
  <c r="A302" i="2"/>
  <c r="A236" i="2"/>
  <c r="L11" i="11"/>
  <c r="Z27" i="2"/>
  <c r="Z28" i="2"/>
  <c r="A93" i="1"/>
  <c r="B15" i="6"/>
  <c r="A303" i="2"/>
  <c r="C236" i="2"/>
  <c r="C241" i="2"/>
  <c r="C187" i="2"/>
  <c r="I236" i="2"/>
  <c r="A94" i="1"/>
  <c r="B16" i="6"/>
  <c r="A304" i="2"/>
  <c r="B236" i="2"/>
  <c r="D187" i="2"/>
  <c r="B33" i="13"/>
  <c r="A95" i="1"/>
  <c r="B17" i="6"/>
  <c r="A305" i="2"/>
  <c r="A96" i="1"/>
  <c r="B18" i="6"/>
  <c r="A306" i="2"/>
  <c r="A97" i="1"/>
  <c r="B19" i="6"/>
  <c r="A307" i="2"/>
  <c r="A98" i="1"/>
  <c r="B20" i="6"/>
  <c r="A308" i="2"/>
  <c r="A99" i="1"/>
  <c r="B21" i="6"/>
  <c r="A309" i="2"/>
  <c r="A100" i="1"/>
  <c r="B22" i="6"/>
  <c r="A310" i="2"/>
  <c r="A101" i="1"/>
  <c r="B23" i="6"/>
  <c r="A311" i="2"/>
  <c r="A102" i="1"/>
  <c r="B24" i="6"/>
  <c r="A312" i="2"/>
  <c r="A103" i="1"/>
  <c r="B25" i="6"/>
  <c r="A313" i="2"/>
  <c r="D81" i="1"/>
  <c r="A3" i="6"/>
  <c r="A104" i="1"/>
  <c r="B26" i="6"/>
  <c r="A314" i="2"/>
  <c r="A105" i="1"/>
  <c r="B27" i="6"/>
  <c r="A315" i="2"/>
  <c r="A106" i="1"/>
  <c r="B28" i="6"/>
  <c r="A316" i="2"/>
  <c r="A107" i="1"/>
  <c r="B29" i="6"/>
  <c r="A317" i="2"/>
  <c r="A108" i="1"/>
  <c r="B30" i="6"/>
  <c r="A318" i="2"/>
  <c r="A109" i="1"/>
  <c r="B31" i="6"/>
  <c r="A319" i="2"/>
  <c r="A110" i="1"/>
  <c r="B32" i="6"/>
  <c r="A320" i="2"/>
  <c r="A111" i="1"/>
  <c r="B33" i="6"/>
  <c r="A321" i="2"/>
  <c r="A112" i="1"/>
  <c r="B34" i="6"/>
  <c r="A322" i="2"/>
  <c r="A113" i="1"/>
  <c r="B35" i="6"/>
  <c r="A323" i="2"/>
  <c r="A114" i="1"/>
  <c r="B36" i="6"/>
  <c r="A324" i="2"/>
  <c r="A115" i="1"/>
  <c r="B37" i="6"/>
  <c r="A325" i="2"/>
  <c r="A116" i="1"/>
  <c r="B38" i="6"/>
  <c r="A326" i="2"/>
  <c r="A327" i="2"/>
  <c r="A328" i="2"/>
  <c r="A329" i="2"/>
  <c r="A330" i="2"/>
  <c r="A331" i="2"/>
  <c r="A332" i="2"/>
  <c r="A333" i="2"/>
  <c r="A334" i="2"/>
  <c r="A335" i="2"/>
  <c r="A336" i="2"/>
  <c r="A337" i="2"/>
  <c r="A338" i="2"/>
  <c r="C25" i="1"/>
  <c r="D9" i="1"/>
  <c r="B26" i="1"/>
  <c r="E25" i="1"/>
  <c r="C26" i="1"/>
  <c r="B28" i="1"/>
  <c r="P27" i="2"/>
  <c r="P28" i="2"/>
  <c r="B51" i="1"/>
  <c r="C28" i="1"/>
  <c r="C29" i="1"/>
  <c r="L11" i="13"/>
  <c r="L11" i="10"/>
  <c r="L11" i="9"/>
  <c r="C43" i="7"/>
  <c r="P23" i="2"/>
  <c r="Y23" i="2"/>
  <c r="L318" i="2"/>
  <c r="M11" i="13"/>
  <c r="F13" i="13"/>
  <c r="L12" i="13"/>
  <c r="M12" i="13"/>
  <c r="G13" i="13"/>
  <c r="K16" i="2"/>
  <c r="K17" i="2"/>
  <c r="N9" i="1"/>
  <c r="N10" i="1"/>
  <c r="O10" i="1"/>
  <c r="G12" i="1"/>
  <c r="O20" i="2"/>
  <c r="Z23" i="2"/>
  <c r="C41" i="11"/>
  <c r="A110" i="2"/>
  <c r="C110" i="2"/>
  <c r="C115" i="2"/>
  <c r="K27" i="2"/>
  <c r="K28" i="2"/>
  <c r="K23" i="2"/>
  <c r="J59" i="2"/>
  <c r="J61" i="2"/>
  <c r="A91" i="2"/>
  <c r="C91" i="2"/>
  <c r="C96" i="2"/>
  <c r="D59" i="2"/>
  <c r="B50" i="11"/>
  <c r="N9" i="7"/>
  <c r="N10" i="7"/>
  <c r="O10" i="7"/>
  <c r="G12" i="7"/>
  <c r="AA23" i="2"/>
  <c r="W23" i="2"/>
  <c r="U23" i="2"/>
  <c r="Z24" i="2"/>
  <c r="C34" i="11"/>
  <c r="S23" i="2"/>
  <c r="R23" i="2"/>
  <c r="M11" i="11"/>
  <c r="L12" i="11"/>
  <c r="M12" i="11"/>
  <c r="G13" i="11"/>
  <c r="M11" i="9"/>
  <c r="F13" i="9"/>
  <c r="L12" i="9"/>
  <c r="M12" i="9"/>
  <c r="G13" i="9"/>
  <c r="M11" i="10"/>
  <c r="F13" i="10"/>
  <c r="L12" i="10"/>
  <c r="M12" i="10"/>
  <c r="G13" i="10"/>
  <c r="L332" i="2"/>
  <c r="L338" i="2"/>
  <c r="L313" i="2"/>
  <c r="L310" i="2"/>
  <c r="L305" i="2"/>
  <c r="L324" i="2"/>
  <c r="L330" i="2"/>
  <c r="L328" i="2"/>
  <c r="L316" i="2"/>
  <c r="L322" i="2"/>
  <c r="L312" i="2"/>
  <c r="L337" i="2"/>
  <c r="L308" i="2"/>
  <c r="L314" i="2"/>
  <c r="L336" i="2"/>
  <c r="L333" i="2"/>
  <c r="L323" i="2"/>
  <c r="L335" i="2"/>
  <c r="L311" i="2"/>
  <c r="L317" i="2"/>
  <c r="L320" i="2"/>
  <c r="L315" i="2"/>
  <c r="L329" i="2"/>
  <c r="L334" i="2"/>
  <c r="L309" i="2"/>
  <c r="L331" i="2"/>
  <c r="L306" i="2"/>
  <c r="L327" i="2"/>
  <c r="L325" i="2"/>
  <c r="L319" i="2"/>
  <c r="L307" i="2"/>
  <c r="L321" i="2"/>
  <c r="L326" i="2"/>
  <c r="K18" i="2"/>
  <c r="F13" i="11"/>
  <c r="B52" i="1"/>
  <c r="I110" i="2"/>
  <c r="K110" i="2"/>
  <c r="K113" i="2"/>
  <c r="B51" i="9"/>
  <c r="B51" i="13"/>
  <c r="B51" i="10"/>
  <c r="B61" i="11"/>
  <c r="B69" i="13"/>
  <c r="B92" i="2"/>
  <c r="B52" i="13"/>
  <c r="B91" i="2"/>
  <c r="B47" i="7"/>
  <c r="P24" i="2"/>
  <c r="C36" i="7"/>
  <c r="I91" i="2"/>
  <c r="K91" i="2"/>
  <c r="O9" i="1"/>
  <c r="F12" i="1"/>
  <c r="C43" i="1"/>
  <c r="B52" i="8"/>
  <c r="B52" i="10"/>
  <c r="B52" i="9"/>
  <c r="B51" i="11"/>
  <c r="B53" i="8"/>
  <c r="B53" i="1"/>
  <c r="M292" i="2"/>
  <c r="M293" i="2"/>
  <c r="C113" i="2"/>
  <c r="B64" i="1"/>
  <c r="G179" i="2"/>
  <c r="B70" i="8"/>
  <c r="B69" i="10"/>
  <c r="B68" i="9"/>
  <c r="C94" i="2"/>
  <c r="B71" i="7"/>
  <c r="O9" i="7"/>
  <c r="F12" i="7"/>
  <c r="E12" i="7"/>
  <c r="B12" i="7"/>
  <c r="H160" i="2"/>
  <c r="H161" i="2"/>
  <c r="C34" i="1"/>
  <c r="D12" i="1"/>
  <c r="P9" i="1"/>
  <c r="K115" i="2"/>
  <c r="N304" i="2"/>
  <c r="N308" i="2"/>
  <c r="C97" i="2"/>
  <c r="B36" i="7"/>
  <c r="D12" i="7"/>
  <c r="P9" i="7"/>
  <c r="C16" i="7"/>
  <c r="E27" i="7"/>
  <c r="B16" i="7"/>
  <c r="K96" i="2"/>
  <c r="K94" i="2"/>
  <c r="J91" i="2"/>
  <c r="J96" i="2"/>
  <c r="N305" i="2"/>
  <c r="N309" i="2"/>
  <c r="N321" i="2"/>
  <c r="N326" i="2"/>
  <c r="N336" i="2"/>
  <c r="N307" i="2"/>
  <c r="N338" i="2"/>
  <c r="N306" i="2"/>
  <c r="N313" i="2"/>
  <c r="N318" i="2"/>
  <c r="N317" i="2"/>
  <c r="N319" i="2"/>
  <c r="N335" i="2"/>
  <c r="N330" i="2"/>
  <c r="N334" i="2"/>
  <c r="N325" i="2"/>
  <c r="N329" i="2"/>
  <c r="N331" i="2"/>
  <c r="N311" i="2"/>
  <c r="N332" i="2"/>
  <c r="N314" i="2"/>
  <c r="N315" i="2"/>
  <c r="N316" i="2"/>
  <c r="N310" i="2"/>
  <c r="N333" i="2"/>
  <c r="N337" i="2"/>
  <c r="N323" i="2"/>
  <c r="N328" i="2"/>
  <c r="N327" i="2"/>
  <c r="N320" i="2"/>
  <c r="N324" i="2"/>
  <c r="N312" i="2"/>
  <c r="N322" i="2"/>
  <c r="D16" i="7"/>
  <c r="D27" i="7"/>
  <c r="D57" i="7"/>
  <c r="G304" i="2"/>
  <c r="L96" i="2"/>
  <c r="C42" i="7"/>
  <c r="C38" i="11"/>
  <c r="C35" i="11"/>
  <c r="L81" i="2"/>
  <c r="L100" i="2"/>
  <c r="D25" i="13"/>
  <c r="D57" i="1"/>
  <c r="D74" i="7"/>
  <c r="D89" i="7"/>
  <c r="D122" i="7"/>
  <c r="E16" i="7"/>
  <c r="D26" i="7"/>
  <c r="E26" i="7"/>
  <c r="E28" i="7"/>
  <c r="J304" i="2"/>
  <c r="E16" i="1"/>
  <c r="D119" i="7"/>
  <c r="D24" i="11"/>
  <c r="D67" i="1"/>
  <c r="D111" i="7"/>
  <c r="D118" i="7"/>
  <c r="D94" i="7"/>
  <c r="D108" i="7"/>
  <c r="D95" i="7"/>
  <c r="D113" i="7"/>
  <c r="D104" i="7"/>
  <c r="D110" i="7"/>
  <c r="D112" i="7"/>
  <c r="D114" i="7"/>
  <c r="D101" i="7"/>
  <c r="D116" i="7"/>
  <c r="D98" i="7"/>
  <c r="D109" i="7"/>
  <c r="D99" i="7"/>
  <c r="D117" i="7"/>
  <c r="D115" i="7"/>
  <c r="D100" i="7"/>
  <c r="D106" i="7"/>
  <c r="D107" i="7"/>
  <c r="D120" i="7"/>
  <c r="D105" i="7"/>
  <c r="D96" i="7"/>
  <c r="D123" i="7"/>
  <c r="D97" i="7"/>
  <c r="D102" i="7"/>
  <c r="D121" i="7"/>
  <c r="D103" i="7"/>
  <c r="D28" i="7"/>
  <c r="E29" i="7"/>
  <c r="Q27" i="2"/>
  <c r="Q28" i="2"/>
  <c r="D51" i="7"/>
  <c r="E51" i="7"/>
  <c r="F51" i="7"/>
  <c r="E51" i="1"/>
  <c r="F51" i="1"/>
  <c r="D69" i="13"/>
  <c r="D51" i="13"/>
  <c r="E51" i="13"/>
  <c r="D52" i="13"/>
  <c r="E52" i="13"/>
  <c r="Q16" i="2"/>
  <c r="Q17" i="2"/>
  <c r="Q18" i="2"/>
  <c r="E34" i="7"/>
  <c r="L59" i="2"/>
  <c r="D53" i="7"/>
  <c r="A82" i="2"/>
  <c r="L18" i="2"/>
  <c r="L30" i="2"/>
  <c r="L40" i="2"/>
  <c r="H106" i="2"/>
  <c r="H107" i="2"/>
  <c r="E42" i="13"/>
  <c r="E43" i="7"/>
  <c r="Q23" i="2"/>
  <c r="I82" i="2"/>
  <c r="C82" i="2"/>
  <c r="C104" i="2"/>
  <c r="E53" i="7"/>
  <c r="F53" i="7"/>
  <c r="D51" i="11"/>
  <c r="E51" i="11"/>
  <c r="E52" i="9"/>
  <c r="E52" i="10"/>
  <c r="E53" i="8"/>
  <c r="E41" i="11"/>
  <c r="E51" i="10"/>
  <c r="E52" i="8"/>
  <c r="D50" i="11"/>
  <c r="E50" i="11"/>
  <c r="E51" i="9"/>
  <c r="D68" i="9"/>
  <c r="D69" i="10"/>
  <c r="D70" i="8"/>
  <c r="D61" i="11"/>
  <c r="D71" i="7"/>
  <c r="H179" i="2"/>
  <c r="L31" i="2"/>
  <c r="L33" i="2"/>
  <c r="E40" i="2"/>
  <c r="G18" i="2"/>
  <c r="E53" i="1"/>
  <c r="F53" i="1"/>
  <c r="E52" i="1"/>
  <c r="F52" i="1"/>
  <c r="K305" i="2"/>
  <c r="K312" i="2"/>
  <c r="K320" i="2"/>
  <c r="K328" i="2"/>
  <c r="K313" i="2"/>
  <c r="K321" i="2"/>
  <c r="K329" i="2"/>
  <c r="K337" i="2"/>
  <c r="K314" i="2"/>
  <c r="K330" i="2"/>
  <c r="K315" i="2"/>
  <c r="K331" i="2"/>
  <c r="K336" i="2"/>
  <c r="K308" i="2"/>
  <c r="K316" i="2"/>
  <c r="K324" i="2"/>
  <c r="K332" i="2"/>
  <c r="K309" i="2"/>
  <c r="K317" i="2"/>
  <c r="K325" i="2"/>
  <c r="K333" i="2"/>
  <c r="K335" i="2"/>
  <c r="K310" i="2"/>
  <c r="K318" i="2"/>
  <c r="K326" i="2"/>
  <c r="K334" i="2"/>
  <c r="K338" i="2"/>
  <c r="K311" i="2"/>
  <c r="K319" i="2"/>
  <c r="K327" i="2"/>
  <c r="K306" i="2"/>
  <c r="K322" i="2"/>
  <c r="K307" i="2"/>
  <c r="K323" i="2"/>
  <c r="E25" i="2"/>
  <c r="K82" i="2"/>
  <c r="J82" i="2"/>
  <c r="B82" i="2"/>
  <c r="D47" i="7"/>
  <c r="Q24" i="2"/>
  <c r="E36" i="7"/>
  <c r="C87" i="2"/>
  <c r="C85" i="2"/>
  <c r="C88" i="2"/>
  <c r="D36" i="7"/>
  <c r="J320" i="2"/>
  <c r="G320" i="2"/>
  <c r="J318" i="2"/>
  <c r="G318" i="2"/>
  <c r="J319" i="2"/>
  <c r="G319" i="2"/>
  <c r="J336" i="2"/>
  <c r="G336" i="2"/>
  <c r="J311" i="2"/>
  <c r="G311" i="2"/>
  <c r="J325" i="2"/>
  <c r="G325" i="2"/>
  <c r="J331" i="2"/>
  <c r="G331" i="2"/>
  <c r="J328" i="2"/>
  <c r="G328" i="2"/>
  <c r="J315" i="2"/>
  <c r="G315" i="2"/>
  <c r="J323" i="2"/>
  <c r="G323" i="2"/>
  <c r="J334" i="2"/>
  <c r="G334" i="2"/>
  <c r="J309" i="2"/>
  <c r="G309" i="2"/>
  <c r="J330" i="2"/>
  <c r="G330" i="2"/>
  <c r="J312" i="2"/>
  <c r="G312" i="2"/>
  <c r="J307" i="2"/>
  <c r="G307" i="2"/>
  <c r="J326" i="2"/>
  <c r="G326" i="2"/>
  <c r="J332" i="2"/>
  <c r="G332" i="2"/>
  <c r="J314" i="2"/>
  <c r="G314" i="2"/>
  <c r="J305" i="2"/>
  <c r="G305" i="2"/>
  <c r="J337" i="2"/>
  <c r="G337" i="2"/>
  <c r="J317" i="2"/>
  <c r="G317" i="2"/>
  <c r="J322" i="2"/>
  <c r="G322" i="2"/>
  <c r="J310" i="2"/>
  <c r="G310" i="2"/>
  <c r="J316" i="2"/>
  <c r="G316" i="2"/>
  <c r="J329" i="2"/>
  <c r="G329" i="2"/>
  <c r="J338" i="2"/>
  <c r="G338" i="2"/>
  <c r="J324" i="2"/>
  <c r="G324" i="2"/>
  <c r="J306" i="2"/>
  <c r="G306" i="2"/>
  <c r="J327" i="2"/>
  <c r="G327" i="2"/>
  <c r="J335" i="2"/>
  <c r="G335" i="2"/>
  <c r="J308" i="2"/>
  <c r="G308" i="2"/>
  <c r="J321" i="2"/>
  <c r="G321" i="2"/>
  <c r="J333" i="2"/>
  <c r="G333" i="2"/>
  <c r="J313" i="2"/>
  <c r="G313" i="2"/>
  <c r="L41" i="2"/>
  <c r="L42" i="2"/>
  <c r="E41" i="2"/>
  <c r="E42" i="2"/>
  <c r="D25" i="2"/>
  <c r="B110" i="2"/>
  <c r="B46" i="13"/>
  <c r="B44" i="13"/>
  <c r="E13" i="2"/>
  <c r="D32" i="13"/>
  <c r="K87" i="2"/>
  <c r="J87" i="2"/>
  <c r="L82" i="2"/>
  <c r="D45" i="7"/>
  <c r="B84" i="2"/>
  <c r="J84" i="2"/>
  <c r="J85" i="2"/>
  <c r="J340" i="2"/>
  <c r="J347" i="2"/>
  <c r="D82" i="1"/>
  <c r="C116" i="2"/>
  <c r="D24" i="2"/>
  <c r="B45" i="11"/>
  <c r="B43" i="11"/>
  <c r="D31" i="11"/>
  <c r="D33" i="7"/>
  <c r="L101" i="2"/>
  <c r="B103" i="2"/>
  <c r="B104" i="2"/>
  <c r="D13" i="2"/>
  <c r="B32" i="13"/>
  <c r="K31" i="2"/>
  <c r="K41" i="2"/>
  <c r="J110" i="2"/>
  <c r="J115" i="2"/>
  <c r="B47" i="1"/>
  <c r="K24" i="2"/>
  <c r="L87" i="2"/>
  <c r="E42" i="7"/>
  <c r="B87" i="2"/>
  <c r="D87" i="2"/>
  <c r="E87" i="2"/>
  <c r="E88" i="2"/>
  <c r="E89" i="2"/>
  <c r="F89" i="2"/>
  <c r="B85" i="2"/>
  <c r="D85" i="2"/>
  <c r="D39" i="7"/>
  <c r="J342" i="2"/>
  <c r="L298" i="2"/>
  <c r="B33" i="7"/>
  <c r="B32" i="9"/>
  <c r="B31" i="11"/>
  <c r="B32" i="10"/>
  <c r="B33" i="8"/>
  <c r="E37" i="7"/>
  <c r="E40" i="7"/>
  <c r="B45" i="7"/>
  <c r="B93" i="2"/>
  <c r="B96" i="2"/>
  <c r="K30" i="2"/>
  <c r="K40" i="2"/>
  <c r="K42" i="2"/>
  <c r="L115" i="2"/>
  <c r="B112" i="2"/>
  <c r="B113" i="2"/>
  <c r="D41" i="2"/>
  <c r="B33" i="1"/>
  <c r="B32" i="4"/>
  <c r="B36" i="1"/>
  <c r="B45" i="1"/>
  <c r="C36" i="1"/>
  <c r="K25" i="2"/>
  <c r="K32" i="2"/>
  <c r="J103" i="2"/>
  <c r="J104" i="2"/>
  <c r="D34" i="7"/>
  <c r="D37" i="7"/>
  <c r="D40" i="7"/>
  <c r="D41" i="7"/>
  <c r="D46" i="7"/>
  <c r="F88" i="2"/>
  <c r="D96" i="2"/>
  <c r="E96" i="2"/>
  <c r="E97" i="2"/>
  <c r="F97" i="2"/>
  <c r="K33" i="2"/>
  <c r="D40" i="2"/>
  <c r="D42" i="2"/>
  <c r="C42" i="1"/>
  <c r="J93" i="2"/>
  <c r="J94" i="2"/>
  <c r="L94" i="2"/>
  <c r="C39" i="7"/>
  <c r="B94" i="2"/>
  <c r="D94" i="2"/>
  <c r="B39" i="7"/>
  <c r="E106" i="2"/>
  <c r="E107" i="2"/>
  <c r="B115" i="2"/>
  <c r="E37" i="1"/>
  <c r="J112" i="2"/>
  <c r="J113" i="2"/>
  <c r="L113" i="2"/>
  <c r="D113" i="2"/>
  <c r="D104" i="2"/>
  <c r="C37" i="1"/>
  <c r="C40" i="1"/>
  <c r="B34" i="7"/>
  <c r="B37" i="7"/>
  <c r="B40" i="7"/>
  <c r="B41" i="7"/>
  <c r="B46" i="7"/>
  <c r="E160" i="2"/>
  <c r="C37" i="7"/>
  <c r="C40" i="7"/>
  <c r="C46" i="7"/>
  <c r="D115" i="2"/>
  <c r="E115" i="2"/>
  <c r="E116" i="2"/>
  <c r="F116" i="2"/>
  <c r="F107" i="2"/>
  <c r="E108" i="2"/>
  <c r="F108" i="2"/>
  <c r="C39" i="1"/>
  <c r="C46" i="1"/>
  <c r="B39" i="1"/>
  <c r="B50" i="7"/>
  <c r="B34" i="1"/>
  <c r="B37" i="1"/>
  <c r="B40" i="1"/>
  <c r="B41" i="1"/>
  <c r="B46" i="1"/>
  <c r="B50" i="1"/>
  <c r="B54" i="1"/>
  <c r="B63" i="1"/>
  <c r="B65" i="1"/>
  <c r="L118" i="2"/>
  <c r="G347" i="2"/>
  <c r="N298" i="2"/>
  <c r="B20" i="7"/>
  <c r="D58" i="7"/>
  <c r="D65" i="7"/>
  <c r="D66" i="7"/>
  <c r="E84" i="7"/>
  <c r="E79" i="7"/>
  <c r="E80" i="7"/>
  <c r="E81" i="7"/>
  <c r="W48" i="3"/>
  <c r="H7" i="8"/>
  <c r="B147" i="2"/>
  <c r="F8" i="8"/>
  <c r="G8" i="8"/>
  <c r="R16" i="2"/>
  <c r="R17" i="2"/>
  <c r="R18" i="2"/>
  <c r="L11" i="8"/>
  <c r="M11" i="8"/>
  <c r="F13" i="8"/>
  <c r="R24" i="2"/>
  <c r="H151" i="2"/>
  <c r="H152" i="2"/>
  <c r="L12" i="8"/>
  <c r="M12" i="8"/>
  <c r="G13" i="8"/>
  <c r="E161" i="2"/>
  <c r="E162" i="2"/>
  <c r="L9" i="13"/>
  <c r="M9" i="13"/>
  <c r="E13" i="13"/>
  <c r="B13" i="13"/>
  <c r="D13" i="10"/>
  <c r="D13" i="13"/>
  <c r="C14" i="13"/>
  <c r="B14" i="13"/>
  <c r="D14" i="10"/>
  <c r="D26" i="13"/>
  <c r="D14" i="13"/>
  <c r="C18" i="13"/>
  <c r="E26" i="13"/>
  <c r="D56" i="10"/>
  <c r="R297" i="2"/>
  <c r="D16" i="10"/>
  <c r="C18" i="10"/>
  <c r="F51" i="10"/>
  <c r="E50" i="10"/>
  <c r="F50" i="10"/>
  <c r="Y16" i="2"/>
  <c r="Y17" i="2"/>
  <c r="Y18" i="2"/>
  <c r="F52" i="10"/>
  <c r="B19" i="10"/>
  <c r="D63" i="10"/>
  <c r="D64" i="10"/>
  <c r="E25" i="13"/>
  <c r="D16" i="13"/>
  <c r="C19" i="13"/>
  <c r="F52" i="13"/>
  <c r="F51" i="13"/>
  <c r="E33" i="13"/>
  <c r="D27" i="13"/>
  <c r="D46" i="13"/>
  <c r="D56" i="13"/>
  <c r="S297" i="2"/>
  <c r="B19" i="13"/>
  <c r="E50" i="9"/>
  <c r="D47" i="10"/>
  <c r="D87" i="10"/>
  <c r="D72" i="10"/>
  <c r="C19" i="10"/>
  <c r="D44" i="13"/>
  <c r="D47" i="13"/>
  <c r="E27" i="13"/>
  <c r="D50" i="13"/>
  <c r="E50" i="13"/>
  <c r="F50" i="13"/>
  <c r="D72" i="13"/>
  <c r="D87" i="13"/>
  <c r="D63" i="13"/>
  <c r="D64" i="13"/>
  <c r="E82" i="13"/>
  <c r="D107" i="10"/>
  <c r="D99" i="10"/>
  <c r="D105" i="10"/>
  <c r="D113" i="10"/>
  <c r="D108" i="10"/>
  <c r="D102" i="10"/>
  <c r="D94" i="10"/>
  <c r="D120" i="10"/>
  <c r="D112" i="10"/>
  <c r="D101" i="10"/>
  <c r="D93" i="10"/>
  <c r="F87" i="10"/>
  <c r="D115" i="10"/>
  <c r="D100" i="10"/>
  <c r="D92" i="10"/>
  <c r="D118" i="10"/>
  <c r="D110" i="10"/>
  <c r="D103" i="10"/>
  <c r="D95" i="10"/>
  <c r="D117" i="10"/>
  <c r="D109" i="10"/>
  <c r="D98" i="10"/>
  <c r="D121" i="10"/>
  <c r="D116" i="10"/>
  <c r="D111" i="10"/>
  <c r="D97" i="10"/>
  <c r="D119" i="10"/>
  <c r="D104" i="10"/>
  <c r="D96" i="10"/>
  <c r="D106" i="10"/>
  <c r="D114" i="10"/>
  <c r="X28" i="2"/>
  <c r="Y24" i="2"/>
  <c r="E35" i="13"/>
  <c r="E28" i="13"/>
  <c r="A209" i="2"/>
  <c r="F85" i="13"/>
  <c r="F91" i="13"/>
  <c r="E77" i="13"/>
  <c r="D105" i="13"/>
  <c r="D120" i="13"/>
  <c r="D103" i="13"/>
  <c r="D93" i="13"/>
  <c r="D112" i="13"/>
  <c r="D101" i="13"/>
  <c r="D104" i="13"/>
  <c r="D95" i="13"/>
  <c r="D121" i="13"/>
  <c r="D116" i="13"/>
  <c r="D102" i="13"/>
  <c r="D106" i="13"/>
  <c r="D107" i="13"/>
  <c r="D117" i="13"/>
  <c r="D96" i="13"/>
  <c r="D94" i="13"/>
  <c r="D98" i="13"/>
  <c r="D97" i="13"/>
  <c r="D114" i="13"/>
  <c r="D113" i="13"/>
  <c r="D92" i="13"/>
  <c r="D119" i="13"/>
  <c r="D99" i="13"/>
  <c r="D108" i="13"/>
  <c r="D109" i="13"/>
  <c r="F87" i="13"/>
  <c r="D111" i="13"/>
  <c r="D115" i="13"/>
  <c r="D118" i="13"/>
  <c r="D100" i="13"/>
  <c r="D110" i="13"/>
  <c r="C209" i="2"/>
  <c r="B209" i="2"/>
  <c r="X23" i="2"/>
  <c r="X24" i="2"/>
  <c r="C35" i="13"/>
  <c r="C42" i="13"/>
  <c r="F88" i="13"/>
  <c r="E78" i="13"/>
  <c r="E79" i="13"/>
  <c r="J91" i="13"/>
  <c r="F92" i="13"/>
  <c r="J92" i="13"/>
  <c r="F93" i="13"/>
  <c r="E39" i="13"/>
  <c r="E36" i="13"/>
  <c r="E74" i="11"/>
  <c r="E82" i="10"/>
  <c r="J93" i="13"/>
  <c r="F94" i="13"/>
  <c r="E77" i="10"/>
  <c r="F91" i="10"/>
  <c r="F85" i="10"/>
  <c r="F88" i="10"/>
  <c r="F77" i="11"/>
  <c r="E69" i="11"/>
  <c r="F83" i="11"/>
  <c r="E36" i="10"/>
  <c r="F95" i="13"/>
  <c r="J94" i="13"/>
  <c r="J83" i="11"/>
  <c r="E70" i="11"/>
  <c r="E71" i="11"/>
  <c r="J91" i="10"/>
  <c r="F92" i="10"/>
  <c r="E78" i="10"/>
  <c r="E79" i="10"/>
  <c r="F96" i="13"/>
  <c r="J95" i="13"/>
  <c r="J92" i="10"/>
  <c r="F93" i="10"/>
  <c r="F97" i="13"/>
  <c r="J96" i="13"/>
  <c r="J93" i="10"/>
  <c r="F94" i="10"/>
  <c r="F98" i="13"/>
  <c r="J97" i="13"/>
  <c r="J94" i="10"/>
  <c r="F95" i="10"/>
  <c r="J98" i="13"/>
  <c r="F99" i="13"/>
  <c r="J95" i="10"/>
  <c r="F96" i="10"/>
  <c r="J99" i="13"/>
  <c r="F100" i="13"/>
  <c r="F97" i="10"/>
  <c r="J96" i="10"/>
  <c r="F101" i="13"/>
  <c r="J100" i="13"/>
  <c r="J97" i="10"/>
  <c r="F98" i="10"/>
  <c r="J101" i="13"/>
  <c r="F102" i="13"/>
  <c r="F99" i="10"/>
  <c r="J98" i="10"/>
  <c r="J102" i="13"/>
  <c r="F103" i="13"/>
  <c r="J99" i="10"/>
  <c r="F100" i="10"/>
  <c r="F104" i="13"/>
  <c r="J103" i="13"/>
  <c r="F101" i="10"/>
  <c r="J100" i="10"/>
  <c r="F105" i="13"/>
  <c r="J104" i="13"/>
  <c r="J101" i="10"/>
  <c r="F102" i="10"/>
  <c r="J105" i="13"/>
  <c r="F106" i="13"/>
  <c r="J102" i="10"/>
  <c r="F103" i="10"/>
  <c r="J106" i="13"/>
  <c r="F107" i="13"/>
  <c r="J103" i="10"/>
  <c r="F104" i="10"/>
  <c r="F108" i="13"/>
  <c r="J107" i="13"/>
  <c r="F105" i="10"/>
  <c r="J104" i="10"/>
  <c r="J108" i="13"/>
  <c r="F109" i="13"/>
  <c r="J105" i="10"/>
  <c r="F106" i="10"/>
  <c r="J109" i="13"/>
  <c r="F110" i="13"/>
  <c r="J106" i="10"/>
  <c r="F107" i="10"/>
  <c r="J110" i="13"/>
  <c r="F111" i="13"/>
  <c r="J107" i="10"/>
  <c r="F108" i="10"/>
  <c r="F112" i="13"/>
  <c r="J111" i="13"/>
  <c r="F109" i="10"/>
  <c r="J108" i="10"/>
  <c r="F113" i="13"/>
  <c r="J112" i="13"/>
  <c r="F110" i="10"/>
  <c r="J109" i="10"/>
  <c r="J113" i="13"/>
  <c r="F114" i="13"/>
  <c r="J110" i="10"/>
  <c r="F111" i="10"/>
  <c r="F115" i="13"/>
  <c r="J114" i="13"/>
  <c r="J111" i="10"/>
  <c r="F112" i="10"/>
  <c r="F116" i="13"/>
  <c r="J115" i="13"/>
  <c r="J112" i="10"/>
  <c r="F113" i="10"/>
  <c r="F117" i="13"/>
  <c r="J116" i="13"/>
  <c r="J113" i="10"/>
  <c r="F114" i="10"/>
  <c r="J117" i="13"/>
  <c r="F118" i="13"/>
  <c r="J114" i="10"/>
  <c r="F115" i="10"/>
  <c r="J118" i="13"/>
  <c r="F119" i="13"/>
  <c r="F116" i="10"/>
  <c r="J115" i="10"/>
  <c r="F120" i="13"/>
  <c r="J119" i="13"/>
  <c r="J116" i="10"/>
  <c r="F117" i="10"/>
  <c r="J120" i="13"/>
  <c r="F121" i="13"/>
  <c r="J121" i="13"/>
  <c r="J117" i="10"/>
  <c r="F118" i="10"/>
  <c r="J118" i="10"/>
  <c r="F119" i="10"/>
  <c r="J119" i="10"/>
  <c r="F120" i="10"/>
  <c r="J120" i="10"/>
  <c r="F121" i="10"/>
  <c r="J121" i="10"/>
  <c r="J343" i="2"/>
  <c r="B20" i="1"/>
  <c r="E77" i="1"/>
  <c r="E72" i="1"/>
  <c r="E73" i="1"/>
  <c r="E74" i="1"/>
  <c r="A4" i="6"/>
  <c r="D92" i="1"/>
  <c r="D115" i="1"/>
  <c r="D104" i="1"/>
  <c r="D91" i="1"/>
  <c r="D101" i="1"/>
  <c r="D100" i="1"/>
  <c r="D96" i="1"/>
  <c r="D114" i="1"/>
  <c r="D95" i="1"/>
  <c r="D110" i="1"/>
  <c r="D93" i="1"/>
  <c r="D98" i="1"/>
  <c r="D90" i="1"/>
  <c r="D107" i="1"/>
  <c r="D113" i="1"/>
  <c r="D111" i="1"/>
  <c r="D112" i="1"/>
  <c r="D105" i="1"/>
  <c r="D102" i="1"/>
  <c r="D106" i="1"/>
  <c r="D99" i="1"/>
  <c r="D103" i="1"/>
  <c r="D94" i="1"/>
  <c r="D87" i="1"/>
  <c r="D116" i="1"/>
  <c r="D97" i="1"/>
  <c r="D89" i="1"/>
  <c r="D88" i="1"/>
  <c r="D108" i="1"/>
  <c r="D109" i="1"/>
  <c r="A2" i="6"/>
  <c r="A5" i="6"/>
  <c r="A8" i="6"/>
  <c r="A9" i="6"/>
  <c r="F8" i="6"/>
  <c r="F9" i="6"/>
  <c r="A10" i="6"/>
  <c r="F10" i="6"/>
  <c r="A11" i="6"/>
  <c r="A12" i="6"/>
  <c r="F11" i="6"/>
  <c r="A13" i="6"/>
  <c r="F12" i="6"/>
  <c r="A14" i="6"/>
  <c r="F13" i="6"/>
  <c r="F14" i="6"/>
  <c r="A15" i="6"/>
  <c r="A16" i="6"/>
  <c r="F15" i="6"/>
  <c r="A17" i="6"/>
  <c r="F16" i="6"/>
  <c r="A18" i="6"/>
  <c r="F17" i="6"/>
  <c r="A19" i="6"/>
  <c r="F18" i="6"/>
  <c r="A20" i="6"/>
  <c r="F19" i="6"/>
  <c r="A21" i="6"/>
  <c r="F20" i="6"/>
  <c r="A22" i="6"/>
  <c r="F21" i="6"/>
  <c r="F22" i="6"/>
  <c r="A23" i="6"/>
  <c r="F23" i="6"/>
  <c r="A24" i="6"/>
  <c r="F24" i="6"/>
  <c r="A25" i="6"/>
  <c r="F25" i="6"/>
  <c r="A26" i="6"/>
  <c r="F26" i="6"/>
  <c r="A27" i="6"/>
  <c r="F27" i="6"/>
  <c r="A28" i="6"/>
  <c r="F28" i="6"/>
  <c r="A29" i="6"/>
  <c r="F29" i="6"/>
  <c r="A30" i="6"/>
  <c r="A31" i="6"/>
  <c r="F30" i="6"/>
  <c r="F31" i="6"/>
  <c r="A32" i="6"/>
  <c r="A33" i="6"/>
  <c r="F32" i="6"/>
  <c r="A34" i="6"/>
  <c r="F33" i="6"/>
  <c r="F34" i="6"/>
  <c r="A35" i="6"/>
  <c r="A36" i="6"/>
  <c r="F35" i="6"/>
  <c r="F36" i="6"/>
  <c r="A37" i="6"/>
  <c r="F37" i="6"/>
  <c r="A38" i="6"/>
  <c r="F38" i="6"/>
  <c r="I218" i="2"/>
  <c r="B205" i="2"/>
  <c r="C205" i="2"/>
  <c r="C36" i="9"/>
  <c r="K169" i="2"/>
  <c r="D205" i="2"/>
  <c r="E223" i="2"/>
  <c r="E224" i="2"/>
  <c r="L169" i="2"/>
  <c r="E205" i="2"/>
  <c r="E206" i="2"/>
  <c r="E187" i="2"/>
  <c r="E188" i="2"/>
  <c r="C36" i="10"/>
  <c r="C36" i="13"/>
  <c r="C39" i="13"/>
  <c r="I209" i="2"/>
  <c r="B212" i="2"/>
  <c r="D214" i="2"/>
  <c r="E214" i="2"/>
  <c r="E215" i="2"/>
  <c r="E216" i="2"/>
  <c r="H9" i="4"/>
  <c r="I8" i="4"/>
  <c r="B60" i="4"/>
  <c r="B7" i="4"/>
  <c r="B63" i="4"/>
  <c r="D63" i="4"/>
  <c r="D60" i="4"/>
  <c r="F8" i="4"/>
  <c r="G8" i="4"/>
  <c r="N21" i="2"/>
  <c r="M21" i="2"/>
  <c r="B9" i="4"/>
  <c r="B34" i="13"/>
  <c r="B192" i="2"/>
  <c r="D9" i="4"/>
  <c r="B120" i="2"/>
  <c r="D23" i="4"/>
  <c r="B23" i="4"/>
  <c r="N9" i="4"/>
  <c r="B19" i="2"/>
  <c r="C218" i="2"/>
  <c r="B33" i="11"/>
  <c r="J120" i="2"/>
  <c r="J129" i="2"/>
  <c r="B129" i="2"/>
  <c r="J192" i="2"/>
  <c r="J201" i="2"/>
  <c r="B201" i="2"/>
  <c r="C151" i="2"/>
  <c r="C152" i="2"/>
  <c r="B239" i="2"/>
  <c r="B241" i="2"/>
  <c r="D241" i="2"/>
  <c r="E178" i="2"/>
  <c r="E179" i="2"/>
  <c r="E180" i="2"/>
  <c r="E196" i="2"/>
  <c r="E197" i="2"/>
  <c r="E198" i="2"/>
  <c r="D33" i="13"/>
  <c r="D151" i="2"/>
  <c r="A200" i="2"/>
  <c r="K85" i="2"/>
  <c r="L85" i="2"/>
  <c r="E39" i="7"/>
  <c r="E46" i="7"/>
  <c r="H133" i="2"/>
  <c r="H134" i="2"/>
  <c r="J27" i="2"/>
  <c r="J28" i="2"/>
  <c r="J23" i="2"/>
  <c r="O16" i="2"/>
  <c r="L11" i="4"/>
  <c r="M11" i="4"/>
  <c r="F13" i="4"/>
  <c r="C200" i="2"/>
  <c r="C206" i="2"/>
  <c r="I200" i="2"/>
  <c r="C224" i="2"/>
  <c r="B35" i="13"/>
  <c r="B36" i="13"/>
  <c r="B39" i="13"/>
  <c r="B218" i="2"/>
  <c r="B221" i="2"/>
  <c r="L12" i="4"/>
  <c r="M12" i="4"/>
  <c r="G13" i="4"/>
  <c r="K104" i="2"/>
  <c r="L104" i="2"/>
  <c r="J62" i="2"/>
  <c r="B69" i="4"/>
  <c r="B32" i="11"/>
  <c r="E241" i="2"/>
  <c r="E242" i="2"/>
  <c r="E169" i="2"/>
  <c r="E170" i="2"/>
  <c r="E151" i="2"/>
  <c r="E152" i="2"/>
  <c r="C37" i="8"/>
  <c r="D50" i="7"/>
  <c r="E47" i="7"/>
  <c r="F47" i="7"/>
  <c r="C19" i="4"/>
  <c r="B68" i="10"/>
  <c r="B70" i="10"/>
  <c r="B200" i="2"/>
  <c r="B203" i="2"/>
  <c r="E47" i="1"/>
  <c r="F47" i="1"/>
  <c r="F54" i="1"/>
  <c r="C36" i="4"/>
  <c r="D54" i="7"/>
  <c r="B52" i="7"/>
  <c r="E50" i="7"/>
  <c r="E50" i="1"/>
  <c r="B67" i="9"/>
  <c r="B69" i="9"/>
  <c r="L78" i="2"/>
  <c r="E52" i="7"/>
  <c r="F52" i="7"/>
  <c r="F54" i="7"/>
  <c r="B54" i="7"/>
  <c r="B70" i="7"/>
  <c r="B72" i="7"/>
  <c r="D13" i="8"/>
  <c r="D14" i="8"/>
  <c r="D13" i="9"/>
  <c r="D133" i="2"/>
  <c r="B56" i="7"/>
  <c r="B57" i="7"/>
  <c r="D70" i="7"/>
  <c r="D72" i="7"/>
  <c r="B74" i="7"/>
  <c r="E54" i="7"/>
  <c r="F53" i="8"/>
  <c r="F52" i="8"/>
  <c r="E54" i="1"/>
  <c r="B69" i="8"/>
  <c r="B71" i="8"/>
  <c r="D57" i="8"/>
  <c r="D14" i="9"/>
  <c r="D48" i="8"/>
  <c r="E133" i="2"/>
  <c r="E134" i="2"/>
  <c r="C74" i="7"/>
  <c r="J12" i="7"/>
  <c r="H18" i="7"/>
  <c r="N292" i="2"/>
  <c r="F304" i="2"/>
  <c r="C57" i="7"/>
  <c r="M297" i="2"/>
  <c r="B19" i="8"/>
  <c r="D73" i="8"/>
  <c r="D88" i="8"/>
  <c r="E51" i="8"/>
  <c r="F51" i="8"/>
  <c r="V32" i="3"/>
  <c r="W32" i="3"/>
  <c r="H304" i="2"/>
  <c r="C57" i="1"/>
  <c r="C67" i="1"/>
  <c r="D56" i="9"/>
  <c r="U16" i="2"/>
  <c r="U17" i="2"/>
  <c r="U18" i="2"/>
  <c r="F52" i="9"/>
  <c r="F51" i="9"/>
  <c r="F50" i="9"/>
  <c r="D13" i="4"/>
  <c r="B68" i="4"/>
  <c r="B70" i="4"/>
  <c r="F331" i="2"/>
  <c r="F307" i="2"/>
  <c r="F306" i="2"/>
  <c r="F312" i="2"/>
  <c r="F310" i="2"/>
  <c r="F330" i="2"/>
  <c r="F336" i="2"/>
  <c r="F309" i="2"/>
  <c r="F322" i="2"/>
  <c r="J11" i="7"/>
  <c r="W47" i="3"/>
  <c r="F321" i="2"/>
  <c r="F305" i="2"/>
  <c r="F313" i="2"/>
  <c r="F337" i="2"/>
  <c r="F332" i="2"/>
  <c r="F323" i="2"/>
  <c r="F308" i="2"/>
  <c r="F314" i="2"/>
  <c r="F315" i="2"/>
  <c r="F327" i="2"/>
  <c r="F334" i="2"/>
  <c r="F317" i="2"/>
  <c r="F320" i="2"/>
  <c r="F328" i="2"/>
  <c r="F318" i="2"/>
  <c r="F335" i="2"/>
  <c r="F316" i="2"/>
  <c r="F329" i="2"/>
  <c r="F324" i="2"/>
  <c r="F333" i="2"/>
  <c r="F326" i="2"/>
  <c r="F319" i="2"/>
  <c r="F338" i="2"/>
  <c r="F311" i="2"/>
  <c r="F325" i="2"/>
  <c r="S16" i="2"/>
  <c r="S17" i="2"/>
  <c r="S18" i="2"/>
  <c r="S24" i="2"/>
  <c r="D118" i="8"/>
  <c r="D102" i="8"/>
  <c r="D103" i="8"/>
  <c r="D106" i="8"/>
  <c r="D122" i="8"/>
  <c r="D119" i="8"/>
  <c r="D101" i="8"/>
  <c r="D94" i="8"/>
  <c r="D96" i="8"/>
  <c r="D100" i="8"/>
  <c r="D93" i="8"/>
  <c r="D111" i="8"/>
  <c r="D121" i="8"/>
  <c r="D110" i="8"/>
  <c r="D116" i="8"/>
  <c r="D95" i="8"/>
  <c r="D108" i="8"/>
  <c r="D115" i="8"/>
  <c r="D112" i="8"/>
  <c r="D98" i="8"/>
  <c r="D97" i="8"/>
  <c r="D99" i="8"/>
  <c r="D107" i="8"/>
  <c r="D120" i="8"/>
  <c r="D117" i="8"/>
  <c r="D114" i="8"/>
  <c r="D105" i="8"/>
  <c r="D109" i="8"/>
  <c r="F88" i="8"/>
  <c r="D104" i="8"/>
  <c r="D113" i="8"/>
  <c r="D64" i="8"/>
  <c r="D65" i="8"/>
  <c r="E83" i="8"/>
  <c r="J344" i="2"/>
  <c r="I295" i="2"/>
  <c r="J346" i="2"/>
  <c r="J12" i="1"/>
  <c r="H336" i="2"/>
  <c r="H310" i="2"/>
  <c r="H338" i="2"/>
  <c r="H330" i="2"/>
  <c r="H333" i="2"/>
  <c r="H334" i="2"/>
  <c r="H308" i="2"/>
  <c r="H314" i="2"/>
  <c r="H319" i="2"/>
  <c r="H335" i="2"/>
  <c r="H311" i="2"/>
  <c r="H313" i="2"/>
  <c r="H320" i="2"/>
  <c r="H312" i="2"/>
  <c r="H322" i="2"/>
  <c r="H309" i="2"/>
  <c r="H305" i="2"/>
  <c r="H324" i="2"/>
  <c r="H326" i="2"/>
  <c r="H317" i="2"/>
  <c r="H328" i="2"/>
  <c r="H332" i="2"/>
  <c r="H315" i="2"/>
  <c r="H325" i="2"/>
  <c r="H307" i="2"/>
  <c r="H331" i="2"/>
  <c r="H306" i="2"/>
  <c r="H327" i="2"/>
  <c r="H329" i="2"/>
  <c r="H316" i="2"/>
  <c r="H321" i="2"/>
  <c r="H318" i="2"/>
  <c r="H337" i="2"/>
  <c r="H323" i="2"/>
  <c r="J11" i="1"/>
  <c r="D71" i="9"/>
  <c r="Q297" i="2"/>
  <c r="B19" i="9"/>
  <c r="D86" i="9"/>
  <c r="D47" i="4"/>
  <c r="D14" i="4"/>
  <c r="F347" i="2"/>
  <c r="B58" i="7"/>
  <c r="H20" i="7"/>
  <c r="H17" i="10"/>
  <c r="H17" i="9"/>
  <c r="H17" i="4"/>
  <c r="H17" i="8"/>
  <c r="H17" i="11"/>
  <c r="H17" i="13"/>
  <c r="H20" i="1"/>
  <c r="F92" i="8"/>
  <c r="E78" i="8"/>
  <c r="E79" i="8"/>
  <c r="E80" i="8"/>
  <c r="F86" i="8"/>
  <c r="F89" i="8"/>
  <c r="H347" i="2"/>
  <c r="B87" i="4"/>
  <c r="H18" i="1"/>
  <c r="D34" i="3"/>
  <c r="L9" i="11"/>
  <c r="M9" i="11"/>
  <c r="D25" i="3"/>
  <c r="Z6" i="3"/>
  <c r="L8" i="4"/>
  <c r="D109" i="9"/>
  <c r="D114" i="9"/>
  <c r="D119" i="9"/>
  <c r="D120" i="9"/>
  <c r="D93" i="9"/>
  <c r="D95" i="9"/>
  <c r="D107" i="9"/>
  <c r="D115" i="9"/>
  <c r="D105" i="9"/>
  <c r="D98" i="9"/>
  <c r="D103" i="9"/>
  <c r="D96" i="9"/>
  <c r="D99" i="9"/>
  <c r="D97" i="9"/>
  <c r="D116" i="9"/>
  <c r="D108" i="9"/>
  <c r="D101" i="9"/>
  <c r="D106" i="9"/>
  <c r="F86" i="9"/>
  <c r="D91" i="9"/>
  <c r="D94" i="9"/>
  <c r="D118" i="9"/>
  <c r="D100" i="9"/>
  <c r="D113" i="9"/>
  <c r="D92" i="9"/>
  <c r="D112" i="9"/>
  <c r="D111" i="9"/>
  <c r="D104" i="9"/>
  <c r="D110" i="9"/>
  <c r="D102" i="9"/>
  <c r="D117" i="9"/>
  <c r="D63" i="9"/>
  <c r="D64" i="9"/>
  <c r="E81" i="9"/>
  <c r="D47" i="9"/>
  <c r="E13" i="11"/>
  <c r="B13" i="11"/>
  <c r="E50" i="4"/>
  <c r="F50" i="4"/>
  <c r="D56" i="4"/>
  <c r="N293" i="2"/>
  <c r="B81" i="7"/>
  <c r="B79" i="7"/>
  <c r="B84" i="7"/>
  <c r="F93" i="8"/>
  <c r="J92" i="8"/>
  <c r="B82" i="1"/>
  <c r="B87" i="1"/>
  <c r="B87" i="10"/>
  <c r="B115" i="10"/>
  <c r="B87" i="13"/>
  <c r="B95" i="13"/>
  <c r="B79" i="11"/>
  <c r="B100" i="11"/>
  <c r="B86" i="9"/>
  <c r="B99" i="9"/>
  <c r="B89" i="7"/>
  <c r="B98" i="7"/>
  <c r="B88" i="8"/>
  <c r="B104" i="8"/>
  <c r="B96" i="1"/>
  <c r="B98" i="8"/>
  <c r="B94" i="8"/>
  <c r="B93" i="8"/>
  <c r="B122" i="8"/>
  <c r="W8" i="3"/>
  <c r="Y3" i="3"/>
  <c r="Y5" i="3"/>
  <c r="Y6" i="3"/>
  <c r="X6" i="3"/>
  <c r="B79" i="4"/>
  <c r="B120" i="4"/>
  <c r="B100" i="4"/>
  <c r="B119" i="4"/>
  <c r="B121" i="4"/>
  <c r="B106" i="4"/>
  <c r="B108" i="4"/>
  <c r="B116" i="4"/>
  <c r="B93" i="4"/>
  <c r="B114" i="4"/>
  <c r="B118" i="4"/>
  <c r="B96" i="4"/>
  <c r="B109" i="4"/>
  <c r="B104" i="4"/>
  <c r="B99" i="4"/>
  <c r="B103" i="4"/>
  <c r="B115" i="4"/>
  <c r="B112" i="4"/>
  <c r="B92" i="4"/>
  <c r="B107" i="4"/>
  <c r="B97" i="4"/>
  <c r="B102" i="4"/>
  <c r="B117" i="4"/>
  <c r="B113" i="4"/>
  <c r="B94" i="4"/>
  <c r="B110" i="4"/>
  <c r="B95" i="4"/>
  <c r="B98" i="4"/>
  <c r="B111" i="4"/>
  <c r="B105" i="4"/>
  <c r="B101" i="4"/>
  <c r="B116" i="7"/>
  <c r="B107" i="7"/>
  <c r="B96" i="7"/>
  <c r="B120" i="7"/>
  <c r="B110" i="7"/>
  <c r="B104" i="7"/>
  <c r="B95" i="7"/>
  <c r="B117" i="9"/>
  <c r="B120" i="9"/>
  <c r="B121" i="7"/>
  <c r="B103" i="7"/>
  <c r="B110" i="9"/>
  <c r="B102" i="7"/>
  <c r="B94" i="7"/>
  <c r="B115" i="7"/>
  <c r="B112" i="7"/>
  <c r="B105" i="9"/>
  <c r="B101" i="7"/>
  <c r="B108" i="7"/>
  <c r="B111" i="7"/>
  <c r="B99" i="7"/>
  <c r="B109" i="11"/>
  <c r="B117" i="7"/>
  <c r="B109" i="7"/>
  <c r="B123" i="7"/>
  <c r="B122" i="7"/>
  <c r="B114" i="7"/>
  <c r="B113" i="7"/>
  <c r="B118" i="7"/>
  <c r="B100" i="9"/>
  <c r="B106" i="7"/>
  <c r="B97" i="7"/>
  <c r="B119" i="7"/>
  <c r="B112" i="9"/>
  <c r="B105" i="11"/>
  <c r="B109" i="9"/>
  <c r="B100" i="8"/>
  <c r="B109" i="8"/>
  <c r="B106" i="8"/>
  <c r="B105" i="8"/>
  <c r="B119" i="8"/>
  <c r="B121" i="8"/>
  <c r="B113" i="8"/>
  <c r="B116" i="8"/>
  <c r="B99" i="8"/>
  <c r="B110" i="8"/>
  <c r="B95" i="8"/>
  <c r="B97" i="8"/>
  <c r="B107" i="8"/>
  <c r="B115" i="8"/>
  <c r="B118" i="8"/>
  <c r="B112" i="8"/>
  <c r="B103" i="8"/>
  <c r="B101" i="8"/>
  <c r="B96" i="8"/>
  <c r="B111" i="8"/>
  <c r="B102" i="8"/>
  <c r="B114" i="8"/>
  <c r="B120" i="8"/>
  <c r="B117" i="8"/>
  <c r="B108" i="8"/>
  <c r="B118" i="9"/>
  <c r="B97" i="9"/>
  <c r="B119" i="9"/>
  <c r="B116" i="9"/>
  <c r="B95" i="11"/>
  <c r="B111" i="9"/>
  <c r="B104" i="9"/>
  <c r="B94" i="9"/>
  <c r="B92" i="9"/>
  <c r="B103" i="9"/>
  <c r="B96" i="9"/>
  <c r="B95" i="9"/>
  <c r="B97" i="11"/>
  <c r="B114" i="9"/>
  <c r="B108" i="9"/>
  <c r="B88" i="11"/>
  <c r="B113" i="11"/>
  <c r="B104" i="11"/>
  <c r="B101" i="11"/>
  <c r="B92" i="11"/>
  <c r="B84" i="11"/>
  <c r="B87" i="11"/>
  <c r="B112" i="11"/>
  <c r="B96" i="11"/>
  <c r="B98" i="9"/>
  <c r="B102" i="9"/>
  <c r="B86" i="11"/>
  <c r="B113" i="9"/>
  <c r="B93" i="11"/>
  <c r="B89" i="11"/>
  <c r="B101" i="9"/>
  <c r="B93" i="9"/>
  <c r="B85" i="11"/>
  <c r="B108" i="11"/>
  <c r="B94" i="11"/>
  <c r="B111" i="11"/>
  <c r="B99" i="11"/>
  <c r="B107" i="11"/>
  <c r="B106" i="9"/>
  <c r="B90" i="11"/>
  <c r="B91" i="11"/>
  <c r="B103" i="11"/>
  <c r="B110" i="11"/>
  <c r="B98" i="11"/>
  <c r="B102" i="11"/>
  <c r="B106" i="11"/>
  <c r="F84" i="9"/>
  <c r="F87" i="9"/>
  <c r="F90" i="9"/>
  <c r="E76" i="9"/>
  <c r="E77" i="9"/>
  <c r="E78" i="9"/>
  <c r="D13" i="11"/>
  <c r="C14" i="11"/>
  <c r="B14" i="11"/>
  <c r="B100" i="7"/>
  <c r="B105" i="7"/>
  <c r="B98" i="13"/>
  <c r="B102" i="13"/>
  <c r="B92" i="13"/>
  <c r="B105" i="13"/>
  <c r="B99" i="1"/>
  <c r="B97" i="13"/>
  <c r="B100" i="13"/>
  <c r="B114" i="13"/>
  <c r="B103" i="13"/>
  <c r="B94" i="13"/>
  <c r="B113" i="13"/>
  <c r="B112" i="13"/>
  <c r="B106" i="13"/>
  <c r="B99" i="13"/>
  <c r="B110" i="13"/>
  <c r="B93" i="13"/>
  <c r="B108" i="13"/>
  <c r="B120" i="13"/>
  <c r="B119" i="13"/>
  <c r="B111" i="13"/>
  <c r="B101" i="13"/>
  <c r="B107" i="13"/>
  <c r="B117" i="13"/>
  <c r="B104" i="13"/>
  <c r="B109" i="13"/>
  <c r="B116" i="13"/>
  <c r="B115" i="13"/>
  <c r="B91" i="9"/>
  <c r="B107" i="9"/>
  <c r="B115" i="9"/>
  <c r="B121" i="13"/>
  <c r="B96" i="13"/>
  <c r="B118" i="13"/>
  <c r="B112" i="10"/>
  <c r="B104" i="10"/>
  <c r="B111" i="10"/>
  <c r="B100" i="10"/>
  <c r="B96" i="10"/>
  <c r="B92" i="1"/>
  <c r="B101" i="10"/>
  <c r="B108" i="10"/>
  <c r="B103" i="10"/>
  <c r="B120" i="10"/>
  <c r="B116" i="10"/>
  <c r="B99" i="10"/>
  <c r="B110" i="10"/>
  <c r="B94" i="10"/>
  <c r="B102" i="10"/>
  <c r="B107" i="10"/>
  <c r="B119" i="10"/>
  <c r="B106" i="10"/>
  <c r="B114" i="10"/>
  <c r="B97" i="10"/>
  <c r="B109" i="10"/>
  <c r="B98" i="10"/>
  <c r="B113" i="10"/>
  <c r="B121" i="10"/>
  <c r="B93" i="10"/>
  <c r="B118" i="10"/>
  <c r="B105" i="10"/>
  <c r="B95" i="10"/>
  <c r="B92" i="10"/>
  <c r="B117" i="10"/>
  <c r="B104" i="1"/>
  <c r="I18" i="2"/>
  <c r="F18" i="2"/>
  <c r="L297" i="2"/>
  <c r="F16" i="7"/>
  <c r="D72" i="4"/>
  <c r="D87" i="4"/>
  <c r="K191" i="2"/>
  <c r="B78" i="9"/>
  <c r="B76" i="9"/>
  <c r="B81" i="9"/>
  <c r="B110" i="1"/>
  <c r="B90" i="1"/>
  <c r="B106" i="1"/>
  <c r="B79" i="13"/>
  <c r="D79" i="13"/>
  <c r="D77" i="13"/>
  <c r="B101" i="1"/>
  <c r="B79" i="10"/>
  <c r="B77" i="10"/>
  <c r="B82" i="10"/>
  <c r="B103" i="1"/>
  <c r="B107" i="1"/>
  <c r="B112" i="1"/>
  <c r="B105" i="1"/>
  <c r="B80" i="8"/>
  <c r="D80" i="8"/>
  <c r="D78" i="8"/>
  <c r="B115" i="1"/>
  <c r="K219" i="2"/>
  <c r="K218" i="2"/>
  <c r="K209" i="2"/>
  <c r="B88" i="1"/>
  <c r="B116" i="1"/>
  <c r="B102" i="1"/>
  <c r="B97" i="1"/>
  <c r="K201" i="2"/>
  <c r="B71" i="11"/>
  <c r="B69" i="11"/>
  <c r="B74" i="11"/>
  <c r="B91" i="1"/>
  <c r="B108" i="1"/>
  <c r="B111" i="1"/>
  <c r="B94" i="1"/>
  <c r="B98" i="1"/>
  <c r="H293" i="2"/>
  <c r="B286" i="2"/>
  <c r="B109" i="1"/>
  <c r="B93" i="1"/>
  <c r="B113" i="1"/>
  <c r="B100" i="1"/>
  <c r="B114" i="1"/>
  <c r="B95" i="1"/>
  <c r="B89" i="1"/>
  <c r="D81" i="7"/>
  <c r="D79" i="7"/>
  <c r="D80" i="7"/>
  <c r="C93" i="7"/>
  <c r="B19" i="7"/>
  <c r="B65" i="7"/>
  <c r="B66" i="7"/>
  <c r="B87" i="7"/>
  <c r="B90" i="7"/>
  <c r="C90" i="7"/>
  <c r="L137" i="2"/>
  <c r="F94" i="8"/>
  <c r="J93" i="8"/>
  <c r="G233" i="2"/>
  <c r="G215" i="2"/>
  <c r="D74" i="1"/>
  <c r="D72" i="1"/>
  <c r="D14" i="11"/>
  <c r="K227" i="2"/>
  <c r="D25" i="11"/>
  <c r="E25" i="11"/>
  <c r="C18" i="11"/>
  <c r="W10" i="3"/>
  <c r="W13" i="3"/>
  <c r="W12" i="3"/>
  <c r="W9" i="3"/>
  <c r="W11" i="3"/>
  <c r="J23" i="3"/>
  <c r="C203" i="2"/>
  <c r="D203" i="2"/>
  <c r="D79" i="4"/>
  <c r="D77" i="4"/>
  <c r="B77" i="4"/>
  <c r="B82" i="4"/>
  <c r="D79" i="10"/>
  <c r="D77" i="10"/>
  <c r="D82" i="10"/>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L155" i="2"/>
  <c r="K62" i="2"/>
  <c r="D69" i="4"/>
  <c r="C215" i="2"/>
  <c r="C143" i="2"/>
  <c r="F91" i="9"/>
  <c r="J90" i="9"/>
  <c r="C212" i="2"/>
  <c r="D212" i="2"/>
  <c r="D38" i="13"/>
  <c r="K212" i="2"/>
  <c r="K214" i="2"/>
  <c r="J209" i="2"/>
  <c r="D78" i="9"/>
  <c r="D76" i="9"/>
  <c r="D77" i="9"/>
  <c r="C221" i="2"/>
  <c r="D221" i="2"/>
  <c r="B38" i="13"/>
  <c r="B78" i="8"/>
  <c r="B83" i="8"/>
  <c r="C239" i="2"/>
  <c r="D239" i="2"/>
  <c r="B37" i="11"/>
  <c r="K237" i="2"/>
  <c r="B77" i="13"/>
  <c r="B82" i="13"/>
  <c r="C91" i="13"/>
  <c r="D71" i="11"/>
  <c r="D69" i="11"/>
  <c r="D70" i="11"/>
  <c r="D118" i="4"/>
  <c r="F87" i="4"/>
  <c r="D113" i="4"/>
  <c r="D104" i="4"/>
  <c r="D97" i="4"/>
  <c r="D114" i="4"/>
  <c r="D93" i="4"/>
  <c r="D105" i="4"/>
  <c r="D98" i="4"/>
  <c r="D108" i="4"/>
  <c r="D119" i="4"/>
  <c r="D107" i="4"/>
  <c r="D115" i="4"/>
  <c r="D101" i="4"/>
  <c r="D92" i="4"/>
  <c r="D111" i="4"/>
  <c r="D110" i="4"/>
  <c r="D106" i="4"/>
  <c r="D120" i="4"/>
  <c r="D109" i="4"/>
  <c r="D99" i="4"/>
  <c r="D102" i="4"/>
  <c r="D94" i="4"/>
  <c r="D100" i="4"/>
  <c r="D95" i="4"/>
  <c r="D117" i="4"/>
  <c r="D103" i="4"/>
  <c r="D121" i="4"/>
  <c r="D96" i="4"/>
  <c r="D112" i="4"/>
  <c r="D116" i="4"/>
  <c r="C20" i="7"/>
  <c r="D20" i="7"/>
  <c r="C20" i="1"/>
  <c r="D20" i="1"/>
  <c r="B19" i="4"/>
  <c r="F179" i="2"/>
  <c r="F224" i="2"/>
  <c r="F161" i="2"/>
  <c r="F180" i="2"/>
  <c r="A191" i="2"/>
  <c r="F198" i="2"/>
  <c r="F170" i="2"/>
  <c r="F197" i="2"/>
  <c r="F242" i="2"/>
  <c r="F143" i="2"/>
  <c r="F188" i="2"/>
  <c r="E51" i="4"/>
  <c r="F51" i="4"/>
  <c r="F215" i="2"/>
  <c r="E52" i="4"/>
  <c r="F52" i="4"/>
  <c r="F144" i="2"/>
  <c r="F134" i="2"/>
  <c r="F216" i="2"/>
  <c r="F162" i="2"/>
  <c r="F206" i="2"/>
  <c r="F152" i="2"/>
  <c r="K194" i="2"/>
  <c r="K196" i="2"/>
  <c r="D84"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J94" i="8"/>
  <c r="F95" i="8"/>
  <c r="K200" i="2"/>
  <c r="B40" i="13"/>
  <c r="B45" i="13"/>
  <c r="B77" i="11"/>
  <c r="B80" i="11"/>
  <c r="C80" i="11"/>
  <c r="C83" i="11"/>
  <c r="B80" i="1"/>
  <c r="B83" i="1"/>
  <c r="C86" i="1"/>
  <c r="B85" i="10"/>
  <c r="B88" i="10"/>
  <c r="C88" i="10"/>
  <c r="C91" i="10"/>
  <c r="AA16" i="2"/>
  <c r="AA17" i="2"/>
  <c r="AA18" i="2"/>
  <c r="E32" i="11"/>
  <c r="D55" i="11"/>
  <c r="F16" i="1"/>
  <c r="D26" i="11"/>
  <c r="D45" i="11"/>
  <c r="D73" i="1"/>
  <c r="D77" i="1"/>
  <c r="D78" i="13"/>
  <c r="D82" i="13"/>
  <c r="F51" i="11"/>
  <c r="F50" i="11"/>
  <c r="D16" i="11"/>
  <c r="E24" i="11"/>
  <c r="B84" i="9"/>
  <c r="B87" i="9"/>
  <c r="C87" i="9"/>
  <c r="C90" i="9"/>
  <c r="C91" i="4"/>
  <c r="B85" i="4"/>
  <c r="D79" i="8"/>
  <c r="D83" i="8"/>
  <c r="K223" i="2"/>
  <c r="J218" i="2"/>
  <c r="V17" i="3"/>
  <c r="V22" i="3"/>
  <c r="V19" i="3"/>
  <c r="V21" i="3"/>
  <c r="V23" i="3"/>
  <c r="V20" i="3"/>
  <c r="V18" i="3"/>
  <c r="E58" i="5"/>
  <c r="D39" i="5"/>
  <c r="J25" i="3"/>
  <c r="K221" i="2"/>
  <c r="D78" i="4"/>
  <c r="D82" i="4"/>
  <c r="K232" i="2"/>
  <c r="K230" i="2"/>
  <c r="B287" i="2"/>
  <c r="D286" i="2"/>
  <c r="D287" i="2"/>
  <c r="G286" i="2"/>
  <c r="G287" i="2"/>
  <c r="C286" i="2"/>
  <c r="C287" i="2"/>
  <c r="F286" i="2"/>
  <c r="F287" i="2"/>
  <c r="H286" i="2"/>
  <c r="H287" i="2"/>
  <c r="E286" i="2"/>
  <c r="E287" i="2"/>
  <c r="B86" i="8"/>
  <c r="B89" i="8"/>
  <c r="C89" i="8"/>
  <c r="C92" i="8"/>
  <c r="D74" i="11"/>
  <c r="D78" i="10"/>
  <c r="D81" i="9"/>
  <c r="C122" i="7"/>
  <c r="C123" i="7"/>
  <c r="B91" i="7"/>
  <c r="D35" i="13"/>
  <c r="D36" i="13"/>
  <c r="D39" i="13"/>
  <c r="D40" i="13"/>
  <c r="D45" i="13"/>
  <c r="F92" i="9"/>
  <c r="J91" i="9"/>
  <c r="K236" i="2"/>
  <c r="D46" i="11"/>
  <c r="D43" i="11"/>
  <c r="J214" i="2"/>
  <c r="L214" i="2"/>
  <c r="E41" i="13"/>
  <c r="J212" i="2"/>
  <c r="L212" i="2"/>
  <c r="E38" i="13"/>
  <c r="L209" i="2"/>
  <c r="B85" i="13"/>
  <c r="B88" i="13"/>
  <c r="C88" i="13"/>
  <c r="D87" i="7"/>
  <c r="D90" i="7"/>
  <c r="E90" i="7"/>
  <c r="E36" i="9"/>
  <c r="E37" i="8"/>
  <c r="I191" i="2"/>
  <c r="J191" i="2"/>
  <c r="C191" i="2"/>
  <c r="S49" i="3"/>
  <c r="D64" i="4"/>
  <c r="D65" i="4"/>
  <c r="C53" i="3"/>
  <c r="E82" i="4"/>
  <c r="H124" i="2"/>
  <c r="H125" i="2"/>
  <c r="D91" i="7"/>
  <c r="E122" i="7"/>
  <c r="E123" i="7"/>
  <c r="J95" i="8"/>
  <c r="F96" i="8"/>
  <c r="J200" i="2"/>
  <c r="K203" i="2"/>
  <c r="K205" i="2"/>
  <c r="H92" i="8"/>
  <c r="C93" i="8"/>
  <c r="B289" i="2"/>
  <c r="B296" i="2"/>
  <c r="B334" i="2"/>
  <c r="B310" i="2"/>
  <c r="B304" i="2"/>
  <c r="B328" i="2"/>
  <c r="B315" i="2"/>
  <c r="B314" i="2"/>
  <c r="B318" i="2"/>
  <c r="B311" i="2"/>
  <c r="B329" i="2"/>
  <c r="B337" i="2"/>
  <c r="B307" i="2"/>
  <c r="B330" i="2"/>
  <c r="B333" i="2"/>
  <c r="B300" i="2"/>
  <c r="B305" i="2"/>
  <c r="B297" i="2"/>
  <c r="B321" i="2"/>
  <c r="B293" i="2"/>
  <c r="B324" i="2"/>
  <c r="B313" i="2"/>
  <c r="B303" i="2"/>
  <c r="B306" i="2"/>
  <c r="B326" i="2"/>
  <c r="B302" i="2"/>
  <c r="B319" i="2"/>
  <c r="B312" i="2"/>
  <c r="B332" i="2"/>
  <c r="B309" i="2"/>
  <c r="B298" i="2"/>
  <c r="B320" i="2"/>
  <c r="B295" i="2"/>
  <c r="B317" i="2"/>
  <c r="B322" i="2"/>
  <c r="B335" i="2"/>
  <c r="B294" i="2"/>
  <c r="B325" i="2"/>
  <c r="B336" i="2"/>
  <c r="B316" i="2"/>
  <c r="B323" i="2"/>
  <c r="B299" i="2"/>
  <c r="B308" i="2"/>
  <c r="B331" i="2"/>
  <c r="B338" i="2"/>
  <c r="B327" i="2"/>
  <c r="F58" i="5"/>
  <c r="F61" i="5"/>
  <c r="F63" i="5"/>
  <c r="F64" i="5"/>
  <c r="F65" i="5"/>
  <c r="E61" i="5"/>
  <c r="E63" i="5"/>
  <c r="E64" i="5"/>
  <c r="E65" i="5"/>
  <c r="J223" i="2"/>
  <c r="L223" i="2"/>
  <c r="C41" i="13"/>
  <c r="J221" i="2"/>
  <c r="L221" i="2"/>
  <c r="C38" i="13"/>
  <c r="D64" i="11"/>
  <c r="D79" i="11"/>
  <c r="G16" i="1"/>
  <c r="W52" i="3"/>
  <c r="X52" i="3"/>
  <c r="E47" i="3"/>
  <c r="C8" i="6"/>
  <c r="C87" i="1"/>
  <c r="D86" i="8"/>
  <c r="D89" i="8"/>
  <c r="E89" i="8"/>
  <c r="E92" i="8"/>
  <c r="H91" i="13"/>
  <c r="C92" i="13"/>
  <c r="C83" i="1"/>
  <c r="H297" i="2"/>
  <c r="H83" i="11"/>
  <c r="C84" i="11"/>
  <c r="D85" i="13"/>
  <c r="D88" i="13"/>
  <c r="E88" i="13"/>
  <c r="E91" i="13"/>
  <c r="D84" i="9"/>
  <c r="D87" i="9"/>
  <c r="E87" i="9"/>
  <c r="E90" i="9"/>
  <c r="F289" i="2"/>
  <c r="F288" i="2"/>
  <c r="B88" i="4"/>
  <c r="C88" i="4"/>
  <c r="D85" i="10"/>
  <c r="D88" i="10"/>
  <c r="E88" i="10"/>
  <c r="E91" i="10"/>
  <c r="D85" i="4"/>
  <c r="D88" i="4"/>
  <c r="E88" i="4"/>
  <c r="E91" i="4"/>
  <c r="C331" i="2"/>
  <c r="C308" i="2"/>
  <c r="C323" i="2"/>
  <c r="C322" i="2"/>
  <c r="C334" i="2"/>
  <c r="C333" i="2"/>
  <c r="C317" i="2"/>
  <c r="C328" i="2"/>
  <c r="C319" i="2"/>
  <c r="C329" i="2"/>
  <c r="C318" i="2"/>
  <c r="C335" i="2"/>
  <c r="C312" i="2"/>
  <c r="C302" i="2"/>
  <c r="C338" i="2"/>
  <c r="C305" i="2"/>
  <c r="C309" i="2"/>
  <c r="C300" i="2"/>
  <c r="C337" i="2"/>
  <c r="C332" i="2"/>
  <c r="C320" i="2"/>
  <c r="C313" i="2"/>
  <c r="C326" i="2"/>
  <c r="C325" i="2"/>
  <c r="C306" i="2"/>
  <c r="C316" i="2"/>
  <c r="C336" i="2"/>
  <c r="C310" i="2"/>
  <c r="C321" i="2"/>
  <c r="C298" i="2"/>
  <c r="C327" i="2"/>
  <c r="C311" i="2"/>
  <c r="C289" i="2"/>
  <c r="C307" i="2"/>
  <c r="C303" i="2"/>
  <c r="C330" i="2"/>
  <c r="C299" i="2"/>
  <c r="C288" i="2"/>
  <c r="C315" i="2"/>
  <c r="C314" i="2"/>
  <c r="C304" i="2"/>
  <c r="C324" i="2"/>
  <c r="H91" i="4"/>
  <c r="C92" i="4"/>
  <c r="C91" i="9"/>
  <c r="H90" i="9"/>
  <c r="E26" i="11"/>
  <c r="E27" i="11"/>
  <c r="D49" i="11"/>
  <c r="E49" i="11"/>
  <c r="F49" i="11"/>
  <c r="D80" i="1"/>
  <c r="E86" i="1"/>
  <c r="D77" i="11"/>
  <c r="E83" i="11"/>
  <c r="E288" i="2"/>
  <c r="E289" i="2"/>
  <c r="G289" i="2"/>
  <c r="G288" i="2"/>
  <c r="H91" i="10"/>
  <c r="C92" i="10"/>
  <c r="H289" i="2"/>
  <c r="H288" i="2"/>
  <c r="Z51" i="3"/>
  <c r="K26" i="3"/>
  <c r="E46" i="3"/>
  <c r="B49" i="3"/>
  <c r="K25" i="3"/>
  <c r="B47" i="3"/>
  <c r="C56" i="4"/>
  <c r="J15" i="4"/>
  <c r="E48" i="3"/>
  <c r="D288" i="2"/>
  <c r="D289" i="2"/>
  <c r="D42" i="5"/>
  <c r="D43" i="5"/>
  <c r="D44" i="5"/>
  <c r="D45" i="5"/>
  <c r="E39" i="5"/>
  <c r="O13" i="11"/>
  <c r="P13" i="11"/>
  <c r="E46" i="9"/>
  <c r="F46" i="9"/>
  <c r="F53" i="9"/>
  <c r="E45" i="13"/>
  <c r="D49" i="13"/>
  <c r="F93" i="9"/>
  <c r="J92" i="9"/>
  <c r="E46" i="10"/>
  <c r="F46" i="10"/>
  <c r="F53" i="10"/>
  <c r="J236" i="2"/>
  <c r="K239" i="2"/>
  <c r="K241" i="2"/>
  <c r="B191" i="2"/>
  <c r="B194" i="2"/>
  <c r="C194" i="2"/>
  <c r="C197" i="2"/>
  <c r="J196" i="2"/>
  <c r="L196" i="2"/>
  <c r="J194" i="2"/>
  <c r="L194" i="2"/>
  <c r="E36" i="4"/>
  <c r="F85" i="4"/>
  <c r="F88" i="4"/>
  <c r="E77" i="4"/>
  <c r="E78" i="4"/>
  <c r="E79" i="4"/>
  <c r="F91" i="4"/>
  <c r="C45" i="13"/>
  <c r="B49" i="13"/>
  <c r="B53" i="13"/>
  <c r="B68" i="13"/>
  <c r="B70" i="13"/>
  <c r="J96" i="8"/>
  <c r="F97" i="8"/>
  <c r="J205" i="2"/>
  <c r="L205" i="2"/>
  <c r="J203" i="2"/>
  <c r="L203" i="2"/>
  <c r="AA24" i="2"/>
  <c r="E34" i="11"/>
  <c r="A227" i="2"/>
  <c r="H91" i="9"/>
  <c r="C92" i="9"/>
  <c r="F39" i="5"/>
  <c r="F42" i="5"/>
  <c r="F43" i="5"/>
  <c r="F44" i="5"/>
  <c r="F45" i="5"/>
  <c r="E42" i="5"/>
  <c r="E43" i="5"/>
  <c r="E44" i="5"/>
  <c r="E45" i="5"/>
  <c r="I83" i="11"/>
  <c r="H92" i="4"/>
  <c r="C93" i="4"/>
  <c r="D53" i="13"/>
  <c r="D94" i="11"/>
  <c r="D109" i="11"/>
  <c r="D110" i="11"/>
  <c r="D93" i="11"/>
  <c r="D87" i="11"/>
  <c r="D102" i="11"/>
  <c r="D107" i="11"/>
  <c r="D98" i="11"/>
  <c r="D84" i="11"/>
  <c r="E84" i="11"/>
  <c r="F79" i="11"/>
  <c r="F80" i="11"/>
  <c r="D104" i="11"/>
  <c r="D99" i="11"/>
  <c r="D80" i="11"/>
  <c r="E80" i="11"/>
  <c r="D92" i="11"/>
  <c r="D101" i="11"/>
  <c r="D85" i="11"/>
  <c r="D112" i="11"/>
  <c r="D108" i="11"/>
  <c r="D103" i="11"/>
  <c r="D95" i="11"/>
  <c r="D88" i="11"/>
  <c r="D91" i="11"/>
  <c r="D86" i="11"/>
  <c r="D96" i="11"/>
  <c r="D113" i="11"/>
  <c r="D106" i="11"/>
  <c r="D111" i="11"/>
  <c r="D90" i="11"/>
  <c r="D97" i="11"/>
  <c r="D105" i="11"/>
  <c r="D89" i="11"/>
  <c r="D100" i="11"/>
  <c r="F84" i="11"/>
  <c r="I90" i="9"/>
  <c r="E91" i="9"/>
  <c r="H92" i="13"/>
  <c r="C93" i="13"/>
  <c r="I91" i="10"/>
  <c r="E92" i="10"/>
  <c r="D8" i="6"/>
  <c r="E87" i="1"/>
  <c r="D83" i="1"/>
  <c r="E83" i="1"/>
  <c r="O293" i="2"/>
  <c r="I91" i="13"/>
  <c r="E92" i="13"/>
  <c r="I92" i="8"/>
  <c r="E93" i="8"/>
  <c r="H92" i="10"/>
  <c r="C93" i="10"/>
  <c r="I91" i="4"/>
  <c r="E92" i="4"/>
  <c r="U49" i="3"/>
  <c r="U51" i="3"/>
  <c r="C94" i="8"/>
  <c r="H93" i="8"/>
  <c r="H84" i="11"/>
  <c r="C85" i="11"/>
  <c r="C88" i="1"/>
  <c r="C9" i="6"/>
  <c r="Y52" i="3"/>
  <c r="Z52" i="3"/>
  <c r="X53" i="3"/>
  <c r="F46" i="3"/>
  <c r="X32" i="3"/>
  <c r="Y32" i="3"/>
  <c r="K292" i="2"/>
  <c r="J341" i="2"/>
  <c r="O297" i="2"/>
  <c r="O295" i="2"/>
  <c r="L292" i="2"/>
  <c r="L293" i="2"/>
  <c r="H295" i="2"/>
  <c r="E49" i="10"/>
  <c r="F94" i="9"/>
  <c r="J93" i="9"/>
  <c r="C227" i="2"/>
  <c r="C232" i="2"/>
  <c r="J241" i="2"/>
  <c r="L241" i="2"/>
  <c r="C40" i="11"/>
  <c r="J239" i="2"/>
  <c r="L239" i="2"/>
  <c r="C37" i="11"/>
  <c r="E46" i="13"/>
  <c r="F46" i="13"/>
  <c r="F53" i="13"/>
  <c r="E49" i="13"/>
  <c r="L119" i="2"/>
  <c r="E49" i="9"/>
  <c r="F92" i="4"/>
  <c r="J91" i="4"/>
  <c r="D194" i="2"/>
  <c r="F98" i="8"/>
  <c r="J97" i="8"/>
  <c r="J292" i="2"/>
  <c r="J293" i="2"/>
  <c r="J294" i="2"/>
  <c r="I84" i="11"/>
  <c r="E85" i="11"/>
  <c r="H93" i="10"/>
  <c r="C94" i="10"/>
  <c r="D9" i="6"/>
  <c r="E88" i="1"/>
  <c r="I91" i="9"/>
  <c r="E92" i="9"/>
  <c r="H94" i="8"/>
  <c r="C95" i="8"/>
  <c r="I93" i="8"/>
  <c r="E94" i="8"/>
  <c r="J84" i="11"/>
  <c r="F85" i="11"/>
  <c r="K293" i="2"/>
  <c r="H92" i="9"/>
  <c r="C93" i="9"/>
  <c r="I92" i="13"/>
  <c r="E93" i="13"/>
  <c r="I92" i="10"/>
  <c r="E93" i="10"/>
  <c r="D68" i="13"/>
  <c r="D70" i="13"/>
  <c r="B72" i="13"/>
  <c r="C72" i="13"/>
  <c r="K14" i="13"/>
  <c r="B55" i="13"/>
  <c r="B56" i="13"/>
  <c r="E53" i="13"/>
  <c r="H300" i="2"/>
  <c r="H298" i="2"/>
  <c r="C89" i="1"/>
  <c r="C10" i="6"/>
  <c r="H93" i="4"/>
  <c r="C94" i="4"/>
  <c r="H85" i="11"/>
  <c r="C86" i="11"/>
  <c r="I92" i="4"/>
  <c r="E93" i="4"/>
  <c r="O298" i="2"/>
  <c r="O300" i="2"/>
  <c r="H93" i="13"/>
  <c r="C94" i="13"/>
  <c r="I227" i="2"/>
  <c r="E38" i="11"/>
  <c r="E35" i="11"/>
  <c r="C44" i="11"/>
  <c r="J94" i="9"/>
  <c r="F95" i="9"/>
  <c r="E53" i="10"/>
  <c r="D68" i="10"/>
  <c r="D70" i="10"/>
  <c r="B72" i="10"/>
  <c r="C72" i="10"/>
  <c r="K14" i="10"/>
  <c r="B227" i="2"/>
  <c r="B232" i="2"/>
  <c r="D232" i="2"/>
  <c r="E47" i="8"/>
  <c r="F47" i="8"/>
  <c r="F54" i="8"/>
  <c r="J92" i="4"/>
  <c r="F93" i="4"/>
  <c r="E124" i="2"/>
  <c r="E125" i="2"/>
  <c r="E53" i="9"/>
  <c r="D67" i="9"/>
  <c r="D69" i="9"/>
  <c r="B71" i="9"/>
  <c r="C71" i="9"/>
  <c r="K14" i="9"/>
  <c r="J98" i="8"/>
  <c r="F99" i="8"/>
  <c r="E50" i="8"/>
  <c r="C94" i="9"/>
  <c r="H93" i="9"/>
  <c r="J85" i="11"/>
  <c r="F86" i="11"/>
  <c r="D10" i="6"/>
  <c r="E89" i="1"/>
  <c r="I93" i="4"/>
  <c r="E94" i="4"/>
  <c r="C56" i="13"/>
  <c r="J15" i="13"/>
  <c r="B18" i="13"/>
  <c r="B63" i="13"/>
  <c r="B64" i="13"/>
  <c r="I94" i="8"/>
  <c r="E95" i="8"/>
  <c r="H94" i="10"/>
  <c r="C95" i="10"/>
  <c r="C96" i="8"/>
  <c r="H95" i="8"/>
  <c r="H94" i="4"/>
  <c r="C95" i="4"/>
  <c r="C90" i="1"/>
  <c r="C11" i="6"/>
  <c r="H86" i="11"/>
  <c r="C87" i="11"/>
  <c r="I93" i="10"/>
  <c r="E94" i="10"/>
  <c r="J227" i="2"/>
  <c r="I85" i="11"/>
  <c r="E86" i="11"/>
  <c r="C233" i="2"/>
  <c r="D34" i="11"/>
  <c r="C230" i="2"/>
  <c r="H94" i="13"/>
  <c r="C95" i="13"/>
  <c r="I93" i="13"/>
  <c r="E94" i="13"/>
  <c r="I92" i="9"/>
  <c r="E93" i="9"/>
  <c r="C56" i="10"/>
  <c r="J15" i="10"/>
  <c r="B18" i="10"/>
  <c r="B63" i="10"/>
  <c r="B64" i="10"/>
  <c r="E126" i="2"/>
  <c r="F126" i="2"/>
  <c r="G125" i="2"/>
  <c r="F125" i="2"/>
  <c r="J95" i="9"/>
  <c r="F96" i="9"/>
  <c r="E232" i="2"/>
  <c r="E233" i="2"/>
  <c r="D32" i="11"/>
  <c r="D35" i="11"/>
  <c r="D38" i="11"/>
  <c r="B18" i="9"/>
  <c r="B63" i="9"/>
  <c r="B64" i="9"/>
  <c r="C56" i="9"/>
  <c r="J15" i="9"/>
  <c r="J93" i="4"/>
  <c r="F94" i="4"/>
  <c r="B230" i="2"/>
  <c r="D230" i="2"/>
  <c r="D37" i="11"/>
  <c r="C242" i="2"/>
  <c r="B34" i="11"/>
  <c r="B35" i="11"/>
  <c r="B38" i="11"/>
  <c r="B39" i="11"/>
  <c r="B44" i="11"/>
  <c r="B48" i="11"/>
  <c r="B52" i="11"/>
  <c r="B60" i="11"/>
  <c r="B62" i="11"/>
  <c r="J99" i="8"/>
  <c r="F100" i="8"/>
  <c r="D69" i="8"/>
  <c r="D71" i="8"/>
  <c r="B73" i="8"/>
  <c r="C73" i="8"/>
  <c r="K14" i="8"/>
  <c r="E54" i="8"/>
  <c r="I95" i="8"/>
  <c r="E96" i="8"/>
  <c r="H95" i="13"/>
  <c r="C96" i="13"/>
  <c r="L173" i="2"/>
  <c r="C91" i="1"/>
  <c r="C12" i="6"/>
  <c r="D11" i="6"/>
  <c r="E90" i="1"/>
  <c r="J230" i="2"/>
  <c r="L230" i="2"/>
  <c r="E37" i="11"/>
  <c r="J232" i="2"/>
  <c r="L232" i="2"/>
  <c r="E40" i="11"/>
  <c r="L227" i="2"/>
  <c r="J86" i="11"/>
  <c r="F87" i="11"/>
  <c r="I93" i="9"/>
  <c r="E94" i="9"/>
  <c r="C97" i="8"/>
  <c r="H96" i="8"/>
  <c r="H95" i="4"/>
  <c r="C96" i="4"/>
  <c r="I94" i="13"/>
  <c r="E95" i="13"/>
  <c r="I94" i="10"/>
  <c r="E95" i="10"/>
  <c r="I86" i="11"/>
  <c r="E87" i="11"/>
  <c r="H87" i="11"/>
  <c r="C88" i="11"/>
  <c r="H95" i="10"/>
  <c r="C96" i="10"/>
  <c r="I94" i="4"/>
  <c r="E95" i="4"/>
  <c r="C95" i="9"/>
  <c r="H94" i="9"/>
  <c r="E234" i="2"/>
  <c r="F234" i="2"/>
  <c r="F233" i="2"/>
  <c r="F97" i="9"/>
  <c r="J96" i="9"/>
  <c r="L10" i="11"/>
  <c r="M10" i="11"/>
  <c r="L10" i="10"/>
  <c r="M10" i="10"/>
  <c r="L10" i="8"/>
  <c r="M10" i="8"/>
  <c r="L10" i="4"/>
  <c r="M10" i="4"/>
  <c r="L10" i="9"/>
  <c r="M10" i="9"/>
  <c r="L10" i="13"/>
  <c r="M10" i="13"/>
  <c r="D39" i="11"/>
  <c r="D44" i="11"/>
  <c r="J94" i="4"/>
  <c r="F95" i="4"/>
  <c r="E46" i="4"/>
  <c r="J100" i="8"/>
  <c r="F101" i="8"/>
  <c r="C57" i="8"/>
  <c r="J15" i="8"/>
  <c r="B18" i="8"/>
  <c r="B64" i="8"/>
  <c r="B65" i="8"/>
  <c r="H96" i="10"/>
  <c r="C97" i="10"/>
  <c r="I95" i="13"/>
  <c r="E96" i="13"/>
  <c r="C13" i="6"/>
  <c r="C92" i="1"/>
  <c r="L172" i="2"/>
  <c r="H88" i="11"/>
  <c r="C89" i="11"/>
  <c r="J87" i="11"/>
  <c r="F88" i="11"/>
  <c r="E44" i="11"/>
  <c r="H96" i="13"/>
  <c r="C97" i="13"/>
  <c r="H96" i="4"/>
  <c r="C97" i="4"/>
  <c r="I87" i="11"/>
  <c r="E88" i="11"/>
  <c r="C96" i="9"/>
  <c r="H95" i="9"/>
  <c r="H97" i="8"/>
  <c r="C98" i="8"/>
  <c r="D12" i="6"/>
  <c r="E91" i="1"/>
  <c r="I95" i="10"/>
  <c r="E96" i="10"/>
  <c r="I96" i="8"/>
  <c r="E97" i="8"/>
  <c r="I95" i="4"/>
  <c r="E96" i="4"/>
  <c r="I94" i="9"/>
  <c r="E95" i="9"/>
  <c r="J97" i="9"/>
  <c r="F98" i="9"/>
  <c r="E45" i="11"/>
  <c r="F45" i="11"/>
  <c r="F52" i="11"/>
  <c r="F46" i="4"/>
  <c r="F53" i="4"/>
  <c r="G143" i="2"/>
  <c r="E49" i="4"/>
  <c r="J95" i="4"/>
  <c r="F96" i="4"/>
  <c r="J101" i="8"/>
  <c r="F102" i="8"/>
  <c r="I88" i="11"/>
  <c r="E89" i="11"/>
  <c r="C93" i="1"/>
  <c r="C14" i="6"/>
  <c r="D13" i="6"/>
  <c r="E92" i="1"/>
  <c r="H89" i="11"/>
  <c r="C90" i="11"/>
  <c r="I96" i="4"/>
  <c r="E97" i="4"/>
  <c r="H97" i="4"/>
  <c r="C98" i="4"/>
  <c r="H98" i="8"/>
  <c r="C99" i="8"/>
  <c r="H97" i="13"/>
  <c r="C98" i="13"/>
  <c r="I96" i="13"/>
  <c r="E97" i="13"/>
  <c r="H97" i="10"/>
  <c r="C98" i="10"/>
  <c r="I97" i="8"/>
  <c r="E98" i="8"/>
  <c r="I95" i="9"/>
  <c r="E96" i="9"/>
  <c r="I96" i="10"/>
  <c r="E97" i="10"/>
  <c r="D48" i="11"/>
  <c r="H96" i="9"/>
  <c r="C97" i="9"/>
  <c r="J88" i="11"/>
  <c r="F89" i="11"/>
  <c r="J98" i="9"/>
  <c r="F99" i="9"/>
  <c r="F97" i="4"/>
  <c r="J96" i="4"/>
  <c r="D68" i="4"/>
  <c r="D70" i="4"/>
  <c r="B72" i="4"/>
  <c r="C72" i="4"/>
  <c r="K14" i="4"/>
  <c r="E53" i="4"/>
  <c r="F103" i="8"/>
  <c r="J102" i="8"/>
  <c r="I96" i="9"/>
  <c r="E97" i="9"/>
  <c r="H98" i="13"/>
  <c r="C99" i="13"/>
  <c r="H90" i="11"/>
  <c r="C91" i="11"/>
  <c r="D14" i="6"/>
  <c r="E93" i="1"/>
  <c r="C100" i="8"/>
  <c r="H99" i="8"/>
  <c r="J89" i="11"/>
  <c r="F90" i="11"/>
  <c r="I98" i="8"/>
  <c r="E99" i="8"/>
  <c r="D52" i="11"/>
  <c r="E48" i="11"/>
  <c r="C15" i="6"/>
  <c r="C94" i="1"/>
  <c r="C98" i="9"/>
  <c r="H97" i="9"/>
  <c r="H98" i="4"/>
  <c r="C99" i="4"/>
  <c r="H98" i="10"/>
  <c r="C99" i="10"/>
  <c r="I97" i="4"/>
  <c r="E98" i="4"/>
  <c r="I89" i="11"/>
  <c r="E90" i="11"/>
  <c r="I97" i="10"/>
  <c r="E98" i="10"/>
  <c r="I97" i="13"/>
  <c r="E98" i="13"/>
  <c r="J99" i="9"/>
  <c r="F100" i="9"/>
  <c r="F98" i="4"/>
  <c r="J97" i="4"/>
  <c r="F104" i="8"/>
  <c r="J103" i="8"/>
  <c r="H99" i="10"/>
  <c r="C100" i="10"/>
  <c r="C100" i="4"/>
  <c r="H99" i="4"/>
  <c r="D60" i="11"/>
  <c r="D62" i="11"/>
  <c r="B64" i="11"/>
  <c r="C64" i="11"/>
  <c r="J16" i="11"/>
  <c r="K14" i="11"/>
  <c r="B54" i="11"/>
  <c r="B55" i="11"/>
  <c r="C55" i="11"/>
  <c r="J15" i="11"/>
  <c r="E52" i="11"/>
  <c r="I98" i="13"/>
  <c r="E99" i="13"/>
  <c r="H91" i="11"/>
  <c r="C92" i="11"/>
  <c r="C101" i="8"/>
  <c r="H100" i="8"/>
  <c r="H99" i="13"/>
  <c r="C100" i="13"/>
  <c r="I90" i="11"/>
  <c r="E91" i="11"/>
  <c r="H98" i="9"/>
  <c r="C99" i="9"/>
  <c r="D15" i="6"/>
  <c r="E94" i="1"/>
  <c r="C16" i="6"/>
  <c r="C95" i="1"/>
  <c r="J90" i="11"/>
  <c r="F91" i="11"/>
  <c r="I97" i="9"/>
  <c r="E98" i="9"/>
  <c r="I98" i="10"/>
  <c r="E99" i="10"/>
  <c r="I99" i="8"/>
  <c r="E100" i="8"/>
  <c r="I98" i="4"/>
  <c r="E99" i="4"/>
  <c r="F101" i="9"/>
  <c r="J100" i="9"/>
  <c r="F99" i="4"/>
  <c r="J98" i="4"/>
  <c r="B18" i="4"/>
  <c r="C19" i="7"/>
  <c r="D19" i="7"/>
  <c r="S50" i="3"/>
  <c r="J104" i="8"/>
  <c r="F105" i="8"/>
  <c r="C96" i="1"/>
  <c r="C17" i="6"/>
  <c r="H100" i="13"/>
  <c r="C101" i="13"/>
  <c r="E100" i="4"/>
  <c r="I99" i="4"/>
  <c r="H99" i="9"/>
  <c r="C100" i="9"/>
  <c r="H100" i="4"/>
  <c r="C101" i="4"/>
  <c r="I99" i="10"/>
  <c r="E100" i="10"/>
  <c r="D16" i="6"/>
  <c r="E95" i="1"/>
  <c r="C102" i="8"/>
  <c r="H101" i="8"/>
  <c r="H100" i="10"/>
  <c r="C101" i="10"/>
  <c r="I98" i="9"/>
  <c r="E99" i="9"/>
  <c r="H92" i="11"/>
  <c r="C93" i="11"/>
  <c r="I100" i="8"/>
  <c r="E101" i="8"/>
  <c r="J91" i="11"/>
  <c r="F92" i="11"/>
  <c r="I91" i="11"/>
  <c r="E92" i="11"/>
  <c r="I99" i="13"/>
  <c r="E100" i="13"/>
  <c r="G34" i="3"/>
  <c r="E19" i="7"/>
  <c r="E20" i="7"/>
  <c r="J101" i="9"/>
  <c r="F102" i="9"/>
  <c r="F47" i="3"/>
  <c r="E19" i="1"/>
  <c r="E20" i="1"/>
  <c r="B64" i="4"/>
  <c r="B65" i="4"/>
  <c r="T49" i="3"/>
  <c r="F100" i="4"/>
  <c r="J99" i="4"/>
  <c r="F106" i="8"/>
  <c r="J105" i="8"/>
  <c r="H100" i="9"/>
  <c r="C101" i="9"/>
  <c r="H102" i="8"/>
  <c r="C103" i="8"/>
  <c r="H101" i="13"/>
  <c r="C102" i="13"/>
  <c r="I100" i="13"/>
  <c r="E101" i="13"/>
  <c r="I92" i="11"/>
  <c r="E93" i="11"/>
  <c r="E101" i="4"/>
  <c r="I100" i="4"/>
  <c r="H93" i="11"/>
  <c r="C94" i="11"/>
  <c r="D17" i="6"/>
  <c r="E96" i="1"/>
  <c r="H101" i="10"/>
  <c r="C102" i="10"/>
  <c r="I99" i="9"/>
  <c r="E100" i="9"/>
  <c r="J92" i="11"/>
  <c r="F93" i="11"/>
  <c r="I100" i="10"/>
  <c r="E101" i="10"/>
  <c r="I101" i="8"/>
  <c r="E102" i="8"/>
  <c r="H101" i="4"/>
  <c r="C102" i="4"/>
  <c r="C97" i="1"/>
  <c r="C18" i="6"/>
  <c r="C47" i="3"/>
  <c r="C48" i="3"/>
  <c r="J102" i="9"/>
  <c r="F103" i="9"/>
  <c r="J100" i="4"/>
  <c r="F101" i="4"/>
  <c r="V49" i="3"/>
  <c r="F107" i="8"/>
  <c r="J106" i="8"/>
  <c r="D18" i="6"/>
  <c r="E97" i="1"/>
  <c r="I101" i="13"/>
  <c r="E102" i="13"/>
  <c r="C98" i="1"/>
  <c r="C19" i="6"/>
  <c r="H102" i="13"/>
  <c r="C103" i="13"/>
  <c r="H103" i="8"/>
  <c r="C104" i="8"/>
  <c r="I101" i="10"/>
  <c r="E102" i="10"/>
  <c r="H102" i="4"/>
  <c r="C103" i="4"/>
  <c r="I100" i="9"/>
  <c r="E101" i="9"/>
  <c r="J93" i="11"/>
  <c r="F94" i="11"/>
  <c r="I102" i="8"/>
  <c r="E103" i="8"/>
  <c r="H102" i="10"/>
  <c r="C103" i="10"/>
  <c r="C102" i="9"/>
  <c r="H101" i="9"/>
  <c r="H94" i="11"/>
  <c r="C95" i="11"/>
  <c r="E102" i="4"/>
  <c r="I101" i="4"/>
  <c r="I93" i="11"/>
  <c r="E94" i="11"/>
  <c r="AA51" i="3"/>
  <c r="AA53" i="3"/>
  <c r="C49" i="3"/>
  <c r="F48" i="3"/>
  <c r="T50" i="3"/>
  <c r="B48" i="3"/>
  <c r="S48" i="3"/>
  <c r="S51" i="3"/>
  <c r="T51" i="3"/>
  <c r="W51" i="3"/>
  <c r="W53" i="3"/>
  <c r="Z53" i="3"/>
  <c r="B60" i="3"/>
  <c r="F104" i="9"/>
  <c r="J103" i="9"/>
  <c r="C52" i="3"/>
  <c r="C50" i="3"/>
  <c r="C51" i="3"/>
  <c r="F102" i="4"/>
  <c r="J101" i="4"/>
  <c r="J107" i="8"/>
  <c r="F108" i="8"/>
  <c r="H103" i="13"/>
  <c r="C104" i="13"/>
  <c r="I101" i="9"/>
  <c r="E102" i="9"/>
  <c r="I94" i="11"/>
  <c r="E95" i="11"/>
  <c r="I102" i="13"/>
  <c r="E103" i="13"/>
  <c r="H103" i="4"/>
  <c r="C104" i="4"/>
  <c r="I103" i="8"/>
  <c r="E104" i="8"/>
  <c r="C99" i="1"/>
  <c r="C20" i="6"/>
  <c r="J94" i="11"/>
  <c r="F95" i="11"/>
  <c r="D19" i="6"/>
  <c r="E98" i="1"/>
  <c r="C103" i="9"/>
  <c r="H102" i="9"/>
  <c r="H103" i="10"/>
  <c r="C104" i="10"/>
  <c r="I102" i="10"/>
  <c r="E103" i="10"/>
  <c r="I102" i="4"/>
  <c r="E103" i="4"/>
  <c r="H95" i="11"/>
  <c r="C96" i="11"/>
  <c r="H104" i="8"/>
  <c r="C105" i="8"/>
  <c r="Y51" i="3"/>
  <c r="Y53" i="3"/>
  <c r="E49" i="3"/>
  <c r="E60" i="3"/>
  <c r="G60" i="3"/>
  <c r="T48" i="3"/>
  <c r="F49" i="3"/>
  <c r="D49" i="3"/>
  <c r="J104" i="9"/>
  <c r="F105" i="9"/>
  <c r="F103" i="4"/>
  <c r="J102" i="4"/>
  <c r="J108" i="8"/>
  <c r="F109" i="8"/>
  <c r="H105" i="8"/>
  <c r="C106" i="8"/>
  <c r="I103" i="13"/>
  <c r="E104" i="13"/>
  <c r="H104" i="10"/>
  <c r="C105" i="10"/>
  <c r="C100" i="1"/>
  <c r="C21" i="6"/>
  <c r="I104" i="8"/>
  <c r="E105" i="8"/>
  <c r="H96" i="11"/>
  <c r="C97" i="11"/>
  <c r="H103" i="9"/>
  <c r="C104" i="9"/>
  <c r="I103" i="4"/>
  <c r="E104" i="4"/>
  <c r="D20" i="6"/>
  <c r="E99" i="1"/>
  <c r="I103" i="10"/>
  <c r="E104" i="10"/>
  <c r="H104" i="13"/>
  <c r="C105" i="13"/>
  <c r="I95" i="11"/>
  <c r="E96" i="11"/>
  <c r="I102" i="9"/>
  <c r="E103" i="9"/>
  <c r="J95" i="11"/>
  <c r="F96" i="11"/>
  <c r="H104" i="4"/>
  <c r="C105" i="4"/>
  <c r="G49" i="3"/>
  <c r="F19" i="7"/>
  <c r="F19" i="1"/>
  <c r="F20" i="1"/>
  <c r="F20" i="7"/>
  <c r="J105" i="9"/>
  <c r="F106" i="9"/>
  <c r="F104" i="4"/>
  <c r="J103" i="4"/>
  <c r="J109" i="8"/>
  <c r="F110" i="8"/>
  <c r="H105" i="4"/>
  <c r="C106" i="4"/>
  <c r="C22" i="6"/>
  <c r="C101" i="1"/>
  <c r="H105" i="13"/>
  <c r="C106" i="13"/>
  <c r="H105" i="10"/>
  <c r="C106" i="10"/>
  <c r="I104" i="13"/>
  <c r="E105" i="13"/>
  <c r="C105" i="9"/>
  <c r="H104" i="9"/>
  <c r="H97" i="11"/>
  <c r="C98" i="11"/>
  <c r="I103" i="9"/>
  <c r="E104" i="9"/>
  <c r="I104" i="10"/>
  <c r="E105" i="10"/>
  <c r="D21" i="6"/>
  <c r="E100" i="1"/>
  <c r="I96" i="11"/>
  <c r="E97" i="11"/>
  <c r="H106" i="8"/>
  <c r="C107" i="8"/>
  <c r="J96" i="11"/>
  <c r="F97" i="11"/>
  <c r="I105" i="8"/>
  <c r="E106" i="8"/>
  <c r="I104" i="4"/>
  <c r="E105" i="4"/>
  <c r="F107" i="9"/>
  <c r="J106" i="9"/>
  <c r="F105" i="4"/>
  <c r="J104" i="4"/>
  <c r="F111" i="8"/>
  <c r="J110" i="8"/>
  <c r="I104" i="9"/>
  <c r="E105" i="9"/>
  <c r="H106" i="10"/>
  <c r="C107" i="10"/>
  <c r="C108" i="8"/>
  <c r="H107" i="8"/>
  <c r="E106" i="4"/>
  <c r="I105" i="4"/>
  <c r="C23" i="6"/>
  <c r="C102" i="1"/>
  <c r="H98" i="11"/>
  <c r="C99" i="11"/>
  <c r="D22" i="6"/>
  <c r="E101" i="1"/>
  <c r="I97" i="11"/>
  <c r="E98" i="11"/>
  <c r="I106" i="8"/>
  <c r="E107" i="8"/>
  <c r="J97" i="11"/>
  <c r="F98" i="11"/>
  <c r="H106" i="4"/>
  <c r="C107" i="4"/>
  <c r="H106" i="13"/>
  <c r="C107" i="13"/>
  <c r="C106" i="9"/>
  <c r="H105" i="9"/>
  <c r="I105" i="10"/>
  <c r="E106" i="10"/>
  <c r="I105" i="13"/>
  <c r="E106" i="13"/>
  <c r="F108" i="9"/>
  <c r="J107" i="9"/>
  <c r="J105" i="4"/>
  <c r="F106" i="4"/>
  <c r="F112" i="8"/>
  <c r="J111" i="8"/>
  <c r="H107" i="4"/>
  <c r="C108" i="4"/>
  <c r="I106" i="4"/>
  <c r="E107" i="4"/>
  <c r="H107" i="10"/>
  <c r="C108" i="10"/>
  <c r="I106" i="10"/>
  <c r="E107" i="10"/>
  <c r="C109" i="8"/>
  <c r="H108" i="8"/>
  <c r="J98" i="11"/>
  <c r="F99" i="11"/>
  <c r="I107" i="8"/>
  <c r="E108" i="8"/>
  <c r="I98" i="11"/>
  <c r="E99" i="11"/>
  <c r="I105" i="9"/>
  <c r="E106" i="9"/>
  <c r="I106" i="13"/>
  <c r="E107" i="13"/>
  <c r="D23" i="6"/>
  <c r="E102" i="1"/>
  <c r="H99" i="11"/>
  <c r="C100" i="11"/>
  <c r="H106" i="9"/>
  <c r="C107" i="9"/>
  <c r="H107" i="13"/>
  <c r="C108" i="13"/>
  <c r="C24" i="6"/>
  <c r="C103" i="1"/>
  <c r="F109" i="9"/>
  <c r="J108" i="9"/>
  <c r="F107" i="4"/>
  <c r="J106" i="4"/>
  <c r="J112" i="8"/>
  <c r="F113" i="8"/>
  <c r="D24" i="6"/>
  <c r="E103" i="1"/>
  <c r="H108" i="10"/>
  <c r="C109" i="10"/>
  <c r="C104" i="1"/>
  <c r="C25" i="6"/>
  <c r="H108" i="13"/>
  <c r="C109" i="13"/>
  <c r="I106" i="9"/>
  <c r="E107" i="9"/>
  <c r="J99" i="11"/>
  <c r="F100" i="11"/>
  <c r="H107" i="9"/>
  <c r="C108" i="9"/>
  <c r="C110" i="8"/>
  <c r="H109" i="8"/>
  <c r="I107" i="13"/>
  <c r="E108" i="13"/>
  <c r="E108" i="4"/>
  <c r="I107" i="4"/>
  <c r="G197" i="2"/>
  <c r="I107" i="10"/>
  <c r="E108" i="10"/>
  <c r="I108" i="8"/>
  <c r="E109" i="8"/>
  <c r="H100" i="11"/>
  <c r="C101" i="11"/>
  <c r="I99" i="11"/>
  <c r="E100" i="11"/>
  <c r="H108" i="4"/>
  <c r="C109" i="4"/>
  <c r="J109" i="9"/>
  <c r="F110" i="9"/>
  <c r="J107" i="4"/>
  <c r="F108" i="4"/>
  <c r="F114" i="8"/>
  <c r="J113" i="8"/>
  <c r="H109" i="13"/>
  <c r="C110" i="13"/>
  <c r="I100" i="11"/>
  <c r="E101" i="11"/>
  <c r="I108" i="10"/>
  <c r="E109" i="10"/>
  <c r="H108" i="9"/>
  <c r="C109" i="9"/>
  <c r="H109" i="10"/>
  <c r="C110" i="10"/>
  <c r="C105" i="1"/>
  <c r="C26" i="6"/>
  <c r="I107" i="9"/>
  <c r="E108" i="9"/>
  <c r="D25" i="6"/>
  <c r="E104" i="1"/>
  <c r="H110" i="8"/>
  <c r="C111" i="8"/>
  <c r="H101" i="11"/>
  <c r="C102" i="11"/>
  <c r="J100" i="11"/>
  <c r="F101" i="11"/>
  <c r="I108" i="4"/>
  <c r="E109" i="4"/>
  <c r="I108" i="13"/>
  <c r="E109" i="13"/>
  <c r="H109" i="4"/>
  <c r="C110" i="4"/>
  <c r="I109" i="8"/>
  <c r="E110" i="8"/>
  <c r="J110" i="9"/>
  <c r="F111" i="9"/>
  <c r="F109" i="4"/>
  <c r="J108" i="4"/>
  <c r="J114" i="8"/>
  <c r="F115" i="8"/>
  <c r="C110" i="9"/>
  <c r="H109" i="9"/>
  <c r="I110" i="8"/>
  <c r="E111" i="8"/>
  <c r="D26" i="6"/>
  <c r="E105" i="1"/>
  <c r="H110" i="4"/>
  <c r="C111" i="4"/>
  <c r="J101" i="11"/>
  <c r="F102" i="11"/>
  <c r="H102" i="11"/>
  <c r="C103" i="11"/>
  <c r="I109" i="10"/>
  <c r="E110" i="10"/>
  <c r="I109" i="13"/>
  <c r="E110" i="13"/>
  <c r="C112" i="8"/>
  <c r="H111" i="8"/>
  <c r="H110" i="13"/>
  <c r="C111" i="13"/>
  <c r="E110" i="4"/>
  <c r="I109" i="4"/>
  <c r="I108" i="9"/>
  <c r="E109" i="9"/>
  <c r="I101" i="11"/>
  <c r="E102" i="11"/>
  <c r="C27" i="6"/>
  <c r="C106" i="1"/>
  <c r="H110" i="10"/>
  <c r="C111" i="10"/>
  <c r="F112" i="9"/>
  <c r="J111" i="9"/>
  <c r="J109" i="4"/>
  <c r="F110" i="4"/>
  <c r="F116" i="8"/>
  <c r="J115" i="8"/>
  <c r="H111" i="4"/>
  <c r="C112" i="4"/>
  <c r="I109" i="9"/>
  <c r="E110" i="9"/>
  <c r="E111" i="4"/>
  <c r="I110" i="4"/>
  <c r="D27" i="6"/>
  <c r="E106" i="1"/>
  <c r="I111" i="8"/>
  <c r="E112" i="8"/>
  <c r="I110" i="13"/>
  <c r="E111" i="13"/>
  <c r="H111" i="10"/>
  <c r="C112" i="10"/>
  <c r="H111" i="13"/>
  <c r="C112" i="13"/>
  <c r="I110" i="10"/>
  <c r="E111" i="10"/>
  <c r="H103" i="11"/>
  <c r="C104" i="11"/>
  <c r="J102" i="11"/>
  <c r="F103" i="11"/>
  <c r="C107" i="1"/>
  <c r="C28" i="6"/>
  <c r="I102" i="11"/>
  <c r="E103" i="11"/>
  <c r="H112" i="8"/>
  <c r="C113" i="8"/>
  <c r="C111" i="9"/>
  <c r="H110" i="9"/>
  <c r="F113" i="9"/>
  <c r="J112" i="9"/>
  <c r="J110" i="4"/>
  <c r="F111" i="4"/>
  <c r="J116" i="8"/>
  <c r="F117" i="8"/>
  <c r="H112" i="10"/>
  <c r="C113" i="10"/>
  <c r="J103" i="11"/>
  <c r="F104" i="11"/>
  <c r="I111" i="4"/>
  <c r="E112" i="4"/>
  <c r="I110" i="9"/>
  <c r="E111" i="9"/>
  <c r="H111" i="9"/>
  <c r="C112" i="9"/>
  <c r="H113" i="8"/>
  <c r="C114" i="8"/>
  <c r="I103" i="11"/>
  <c r="E104" i="11"/>
  <c r="H104" i="11"/>
  <c r="C105" i="11"/>
  <c r="I112" i="8"/>
  <c r="E113" i="8"/>
  <c r="D28" i="6"/>
  <c r="E107" i="1"/>
  <c r="H112" i="4"/>
  <c r="C113" i="4"/>
  <c r="I111" i="13"/>
  <c r="E112" i="13"/>
  <c r="I111" i="10"/>
  <c r="E112" i="10"/>
  <c r="H112" i="13"/>
  <c r="C113" i="13"/>
  <c r="C29" i="6"/>
  <c r="C108" i="1"/>
  <c r="F114" i="9"/>
  <c r="J113" i="9"/>
  <c r="J111" i="4"/>
  <c r="F112" i="4"/>
  <c r="F118" i="8"/>
  <c r="J117" i="8"/>
  <c r="I104" i="11"/>
  <c r="E105" i="11"/>
  <c r="I112" i="4"/>
  <c r="E113" i="4"/>
  <c r="H113" i="4"/>
  <c r="C114" i="4"/>
  <c r="J104" i="11"/>
  <c r="F105" i="11"/>
  <c r="H114" i="8"/>
  <c r="C115" i="8"/>
  <c r="H112" i="9"/>
  <c r="C113" i="9"/>
  <c r="D29" i="6"/>
  <c r="E108" i="1"/>
  <c r="I112" i="10"/>
  <c r="E113" i="10"/>
  <c r="C30" i="6"/>
  <c r="C109" i="1"/>
  <c r="L191" i="2"/>
  <c r="I112" i="13"/>
  <c r="E113" i="13"/>
  <c r="H113" i="10"/>
  <c r="C114" i="10"/>
  <c r="H113" i="13"/>
  <c r="C114" i="13"/>
  <c r="I113" i="8"/>
  <c r="E114" i="8"/>
  <c r="H105" i="11"/>
  <c r="C106" i="11"/>
  <c r="I111" i="9"/>
  <c r="E112" i="9"/>
  <c r="J114" i="9"/>
  <c r="F115" i="9"/>
  <c r="J112" i="4"/>
  <c r="F113" i="4"/>
  <c r="F119" i="8"/>
  <c r="J118" i="8"/>
  <c r="J105" i="11"/>
  <c r="F106" i="11"/>
  <c r="H106" i="11"/>
  <c r="C107" i="11"/>
  <c r="I113" i="10"/>
  <c r="E114" i="10"/>
  <c r="H114" i="4"/>
  <c r="C115" i="4"/>
  <c r="I113" i="4"/>
  <c r="E114" i="4"/>
  <c r="I114" i="8"/>
  <c r="E115" i="8"/>
  <c r="H114" i="13"/>
  <c r="C115" i="13"/>
  <c r="I113" i="13"/>
  <c r="E114" i="13"/>
  <c r="C31" i="6"/>
  <c r="C110" i="1"/>
  <c r="L190" i="2"/>
  <c r="C116" i="8"/>
  <c r="H115" i="8"/>
  <c r="I105" i="11"/>
  <c r="E106" i="11"/>
  <c r="D30" i="6"/>
  <c r="E109" i="1"/>
  <c r="H113" i="9"/>
  <c r="C114" i="9"/>
  <c r="I112" i="9"/>
  <c r="E113" i="9"/>
  <c r="H114" i="10"/>
  <c r="C115" i="10"/>
  <c r="F116" i="9"/>
  <c r="J115" i="9"/>
  <c r="J113" i="4"/>
  <c r="F114" i="4"/>
  <c r="J119" i="8"/>
  <c r="F120" i="8"/>
  <c r="H115" i="4"/>
  <c r="C116" i="4"/>
  <c r="I106" i="11"/>
  <c r="E107" i="11"/>
  <c r="H107" i="11"/>
  <c r="C108" i="11"/>
  <c r="I114" i="13"/>
  <c r="E115" i="13"/>
  <c r="I114" i="10"/>
  <c r="E115" i="10"/>
  <c r="C115" i="9"/>
  <c r="H114" i="9"/>
  <c r="I113" i="9"/>
  <c r="E114" i="9"/>
  <c r="H116" i="8"/>
  <c r="C117" i="8"/>
  <c r="C32" i="6"/>
  <c r="C111" i="1"/>
  <c r="J106" i="11"/>
  <c r="F107" i="11"/>
  <c r="H115" i="10"/>
  <c r="C116" i="10"/>
  <c r="H115" i="13"/>
  <c r="C116" i="13"/>
  <c r="I115" i="8"/>
  <c r="E116" i="8"/>
  <c r="I114" i="4"/>
  <c r="E115" i="4"/>
  <c r="D31" i="6"/>
  <c r="E110" i="1"/>
  <c r="J116" i="9"/>
  <c r="F117" i="9"/>
  <c r="F115" i="4"/>
  <c r="J114" i="4"/>
  <c r="J120" i="8"/>
  <c r="F121" i="8"/>
  <c r="H108" i="11"/>
  <c r="C109" i="11"/>
  <c r="I115" i="4"/>
  <c r="E116" i="4"/>
  <c r="I115" i="10"/>
  <c r="E116" i="10"/>
  <c r="D32" i="6"/>
  <c r="E111" i="1"/>
  <c r="I107" i="11"/>
  <c r="E108" i="11"/>
  <c r="I116" i="8"/>
  <c r="E117" i="8"/>
  <c r="I114" i="9"/>
  <c r="E115" i="9"/>
  <c r="J107" i="11"/>
  <c r="F108" i="11"/>
  <c r="H115" i="9"/>
  <c r="C116" i="9"/>
  <c r="C112" i="1"/>
  <c r="C33" i="6"/>
  <c r="H117" i="8"/>
  <c r="C118" i="8"/>
  <c r="H116" i="4"/>
  <c r="C117" i="4"/>
  <c r="H116" i="10"/>
  <c r="C117" i="10"/>
  <c r="H116" i="13"/>
  <c r="C117" i="13"/>
  <c r="I115" i="13"/>
  <c r="E116" i="13"/>
  <c r="F118" i="9"/>
  <c r="J117" i="9"/>
  <c r="J115" i="4"/>
  <c r="F116" i="4"/>
  <c r="F122" i="8"/>
  <c r="J122" i="8"/>
  <c r="J121" i="8"/>
  <c r="I116" i="13"/>
  <c r="E117" i="13"/>
  <c r="D33" i="6"/>
  <c r="E112" i="1"/>
  <c r="H117" i="4"/>
  <c r="C118" i="4"/>
  <c r="I116" i="10"/>
  <c r="E117" i="10"/>
  <c r="I116" i="4"/>
  <c r="E117" i="4"/>
  <c r="I115" i="9"/>
  <c r="E116" i="9"/>
  <c r="C119" i="8"/>
  <c r="H118" i="8"/>
  <c r="H117" i="10"/>
  <c r="C118" i="10"/>
  <c r="H109" i="11"/>
  <c r="C110" i="11"/>
  <c r="J108" i="11"/>
  <c r="F109" i="11"/>
  <c r="H117" i="13"/>
  <c r="C118" i="13"/>
  <c r="I117" i="8"/>
  <c r="E118" i="8"/>
  <c r="C113" i="1"/>
  <c r="C34" i="6"/>
  <c r="H116" i="9"/>
  <c r="C117" i="9"/>
  <c r="I108" i="11"/>
  <c r="E109" i="11"/>
  <c r="F119" i="9"/>
  <c r="J118" i="9"/>
  <c r="J116" i="4"/>
  <c r="F117" i="4"/>
  <c r="I117" i="10"/>
  <c r="E118" i="10"/>
  <c r="H118" i="13"/>
  <c r="C119" i="13"/>
  <c r="C120" i="8"/>
  <c r="H119" i="8"/>
  <c r="C118" i="9"/>
  <c r="H117" i="9"/>
  <c r="I116" i="9"/>
  <c r="E117" i="9"/>
  <c r="J109" i="11"/>
  <c r="F110" i="11"/>
  <c r="C114" i="1"/>
  <c r="C35" i="6"/>
  <c r="I118" i="8"/>
  <c r="E119" i="8"/>
  <c r="I117" i="13"/>
  <c r="E118" i="13"/>
  <c r="I109" i="11"/>
  <c r="E110" i="11"/>
  <c r="H118" i="4"/>
  <c r="C119" i="4"/>
  <c r="H110" i="11"/>
  <c r="C111" i="11"/>
  <c r="D34" i="6"/>
  <c r="E113" i="1"/>
  <c r="H118" i="10"/>
  <c r="C119" i="10"/>
  <c r="E118" i="4"/>
  <c r="I117" i="4"/>
  <c r="F120" i="9"/>
  <c r="J120" i="9"/>
  <c r="J119" i="9"/>
  <c r="J117" i="4"/>
  <c r="F118" i="4"/>
  <c r="B89" i="4"/>
  <c r="H119" i="4"/>
  <c r="C120" i="4"/>
  <c r="J110" i="11"/>
  <c r="F111" i="11"/>
  <c r="I110" i="11"/>
  <c r="E111" i="11"/>
  <c r="C121" i="8"/>
  <c r="B90" i="8"/>
  <c r="H120" i="8"/>
  <c r="H118" i="9"/>
  <c r="C119" i="9"/>
  <c r="B88" i="9"/>
  <c r="D35" i="6"/>
  <c r="E114" i="1"/>
  <c r="B81" i="11"/>
  <c r="H111" i="11"/>
  <c r="C112" i="11"/>
  <c r="I118" i="10"/>
  <c r="E119" i="10"/>
  <c r="E119" i="4"/>
  <c r="I118" i="4"/>
  <c r="B89" i="10"/>
  <c r="H119" i="10"/>
  <c r="C120" i="10"/>
  <c r="C115" i="1"/>
  <c r="C36" i="6"/>
  <c r="B84" i="1"/>
  <c r="I118" i="13"/>
  <c r="E119" i="13"/>
  <c r="H119" i="13"/>
  <c r="B89" i="13"/>
  <c r="C120" i="13"/>
  <c r="I119" i="8"/>
  <c r="E120" i="8"/>
  <c r="I117" i="9"/>
  <c r="E118" i="9"/>
  <c r="F119" i="4"/>
  <c r="J118" i="4"/>
  <c r="H121" i="8"/>
  <c r="C122" i="8"/>
  <c r="H122" i="8"/>
  <c r="I111" i="11"/>
  <c r="D81" i="11"/>
  <c r="E112" i="11"/>
  <c r="J111" i="11"/>
  <c r="F112" i="11"/>
  <c r="I119" i="10"/>
  <c r="D89" i="10"/>
  <c r="E120" i="10"/>
  <c r="D89" i="4"/>
  <c r="I119" i="4"/>
  <c r="E120" i="4"/>
  <c r="C121" i="4"/>
  <c r="H121" i="4"/>
  <c r="H120" i="4"/>
  <c r="D36" i="6"/>
  <c r="D84" i="1"/>
  <c r="E115" i="1"/>
  <c r="I118" i="9"/>
  <c r="D88" i="9"/>
  <c r="E119" i="9"/>
  <c r="C116" i="1"/>
  <c r="C38" i="6"/>
  <c r="C37" i="6"/>
  <c r="E120" i="13"/>
  <c r="I119" i="13"/>
  <c r="D89" i="13"/>
  <c r="C120" i="9"/>
  <c r="H120" i="9"/>
  <c r="H119" i="9"/>
  <c r="I120" i="8"/>
  <c r="D90" i="8"/>
  <c r="E121" i="8"/>
  <c r="H112" i="11"/>
  <c r="C113" i="11"/>
  <c r="H113" i="11"/>
  <c r="C121" i="13"/>
  <c r="H121" i="13"/>
  <c r="H120" i="13"/>
  <c r="C121" i="10"/>
  <c r="H121" i="10"/>
  <c r="H120" i="10"/>
  <c r="F120" i="4"/>
  <c r="J119" i="4"/>
  <c r="I120" i="13"/>
  <c r="E121" i="13"/>
  <c r="I121" i="13"/>
  <c r="J112" i="11"/>
  <c r="F113" i="11"/>
  <c r="J113" i="11"/>
  <c r="I112" i="11"/>
  <c r="E113" i="11"/>
  <c r="I113" i="11"/>
  <c r="I120" i="4"/>
  <c r="E121" i="4"/>
  <c r="I121" i="4"/>
  <c r="I119" i="9"/>
  <c r="E120" i="9"/>
  <c r="I120" i="9"/>
  <c r="I120" i="10"/>
  <c r="E121" i="10"/>
  <c r="I121" i="10"/>
  <c r="E122" i="8"/>
  <c r="I122" i="8"/>
  <c r="I121" i="8"/>
  <c r="E116" i="1"/>
  <c r="D38" i="6"/>
  <c r="D37" i="6"/>
  <c r="J120" i="4"/>
  <c r="F121" i="4"/>
  <c r="J12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Jean-Francois Robert</author>
  </authors>
  <commentList>
    <comment ref="B4" authorId="0" shapeId="0" xr:uid="{00000000-0006-0000-0000-000001000000}">
      <text>
        <r>
          <rPr>
            <b/>
            <sz val="9"/>
            <color indexed="81"/>
            <rFont val="Tahoma"/>
            <family val="2"/>
          </rPr>
          <t>Si vous vivez seul inscrire 1; si vous vivez en couple inscrire 2</t>
        </r>
      </text>
    </comment>
    <comment ref="B7" authorId="1" shapeId="0" xr:uid="{F08E63DE-E076-4DFA-91F7-EF955707841F}">
      <text>
        <r>
          <rPr>
            <sz val="9"/>
            <color indexed="81"/>
            <rFont val="Tahoma"/>
            <family val="2"/>
          </rPr>
          <t xml:space="preserve">Vous êtes </t>
        </r>
        <r>
          <rPr>
            <b/>
            <sz val="9"/>
            <color indexed="81"/>
            <rFont val="Tahoma"/>
            <family val="2"/>
          </rPr>
          <t>salarié,</t>
        </r>
        <r>
          <rPr>
            <sz val="9"/>
            <color indexed="81"/>
            <rFont val="Tahoma"/>
            <family val="2"/>
          </rPr>
          <t xml:space="preserve"> inscrire votre revenu actuel
Vous êtes déjà </t>
        </r>
        <r>
          <rPr>
            <b/>
            <sz val="9"/>
            <color indexed="81"/>
            <rFont val="Tahoma"/>
            <family val="2"/>
          </rPr>
          <t>retraité</t>
        </r>
        <r>
          <rPr>
            <sz val="9"/>
            <color indexed="81"/>
            <rFont val="Tahoma"/>
            <family val="2"/>
          </rPr>
          <t xml:space="preserve">, inscrire les revenus que vous aviez juste avant la retraite.
Faites de même pour le conjoint s'il y a lieu.
</t>
        </r>
      </text>
    </comment>
    <comment ref="B8" authorId="2" shapeId="0" xr:uid="{58F279D4-93FB-465A-B5C7-B40EE6C51661}">
      <text>
        <r>
          <rPr>
            <b/>
            <sz val="9"/>
            <color indexed="81"/>
            <rFont val="Tahoma"/>
            <family val="2"/>
          </rPr>
          <t>Si vous êtes déjà retraités et recevez la PSV, veuillez inscrire le montant officiel</t>
        </r>
      </text>
    </comment>
    <comment ref="B9" authorId="0" shapeId="0" xr:uid="{00000000-0006-0000-0000-000002000000}">
      <text>
        <r>
          <rPr>
            <b/>
            <sz val="9"/>
            <color indexed="81"/>
            <rFont val="Tahoma"/>
            <family val="2"/>
          </rPr>
          <t>Inscrivez le montant réel de votre rente annuelle au RRQ si disponible</t>
        </r>
      </text>
    </comment>
    <comment ref="C9" authorId="0" shapeId="0" xr:uid="{00000000-0006-0000-0000-000003000000}">
      <text>
        <r>
          <rPr>
            <b/>
            <sz val="9"/>
            <color indexed="81"/>
            <rFont val="Tahoma"/>
            <family val="2"/>
          </rPr>
          <t>Inscrivez le montant réel de la rente annuelle de votre conjoint au RRQ si disponible</t>
        </r>
      </text>
    </comment>
    <comment ref="B10" authorId="1" shapeId="0" xr:uid="{C8275DD7-F5B1-40F0-9776-787CB224A732}">
      <text>
        <r>
          <rPr>
            <b/>
            <sz val="9"/>
            <color indexed="81"/>
            <rFont val="Tahoma"/>
            <family val="2"/>
          </rPr>
          <t>Inscrire le montant actuel de vos frais médicaux, excluant le coût de votre régime d'assurance</t>
        </r>
      </text>
    </comment>
    <comment ref="B11" authorId="1" shapeId="0" xr:uid="{8B8DD7C1-29ED-4AD6-9152-CCF1BF3D61C5}">
      <text>
        <r>
          <rPr>
            <b/>
            <sz val="9"/>
            <color indexed="81"/>
            <rFont val="Tahoma"/>
            <family val="2"/>
          </rPr>
          <t>Presque tous les travailleurs devront, à partir de 65 ans, payer la cotisation à la RAMQ !</t>
        </r>
      </text>
    </comment>
    <comment ref="E12" authorId="1" shapeId="0" xr:uid="{51871BC7-6F66-4567-8F1C-D3EE3BB882B0}">
      <text>
        <r>
          <rPr>
            <b/>
            <sz val="9"/>
            <color indexed="81"/>
            <rFont val="Tahoma"/>
            <family val="2"/>
          </rPr>
          <t>Généralement, il est question d'un taux de remplacement du revenu préretraite de 60%, 70% ou 80%. 
Ici, je vous suggère de comparer le taux que vous visiez avec ce taux OPTIMAL situé juste à côté (F10)</t>
        </r>
        <r>
          <rPr>
            <sz val="9"/>
            <color indexed="81"/>
            <rFont val="Tahoma"/>
            <family val="2"/>
          </rPr>
          <t xml:space="preserve">
</t>
        </r>
      </text>
    </comment>
    <comment ref="B13" authorId="2" shapeId="0" xr:uid="{E46EA778-E303-4DE9-87DC-4179EBD43F74}">
      <text>
        <r>
          <rPr>
            <b/>
            <sz val="9"/>
            <color indexed="81"/>
            <rFont val="Tahoma"/>
            <family val="2"/>
          </rPr>
          <t xml:space="preserve">Si vous bénéficiez d'un régime de pension d'un employeur ou ex-employeur, inscrire le montant que vous devriez recevoir à partir de 65 ans.
</t>
        </r>
      </text>
    </comment>
    <comment ref="C13" authorId="2" shapeId="0" xr:uid="{001DCE10-5595-4780-AABF-DD043FE21730}">
      <text>
        <r>
          <rPr>
            <b/>
            <sz val="9"/>
            <color indexed="81"/>
            <rFont val="Tahoma"/>
            <family val="2"/>
          </rPr>
          <t>Si vous bénéficiez d'un régime de pension d'un employeur ou ex-employeur, inscrire le montant que vous devriez recevoir à partir de 65 ans.</t>
        </r>
      </text>
    </comment>
    <comment ref="B14" authorId="2" shapeId="0" xr:uid="{FA4C8EF9-EEA8-48B3-A488-790469BB7D95}">
      <text>
        <r>
          <rPr>
            <b/>
            <sz val="9"/>
            <color indexed="81"/>
            <rFont val="Tahoma"/>
            <family val="2"/>
          </rPr>
          <t>La majorité des régimes de pension n'offre qu'une indexation partielle par rapport à l'inflation. Si votre régime offre une pleine indexation, comme chez Hydro Québec, inscrire 100</t>
        </r>
      </text>
    </comment>
    <comment ref="B15" authorId="2" shapeId="0" xr:uid="{5CBB126B-A27E-48DD-97C0-37083313EEFC}">
      <text>
        <r>
          <rPr>
            <b/>
            <sz val="9"/>
            <color indexed="81"/>
            <rFont val="Tahoma"/>
            <family val="2"/>
          </rPr>
          <t xml:space="preserve">Inscrire les revenus locatifs NETS soit, après dépenses (assurance, intérêts, taxes foncières, etc.)
</t>
        </r>
      </text>
    </comment>
    <comment ref="B16" authorId="1" shapeId="0" xr:uid="{6385BBEC-62F7-48DD-9922-AAD7F6699391}">
      <text>
        <r>
          <rPr>
            <b/>
            <sz val="9"/>
            <color indexed="81"/>
            <rFont val="Tahoma"/>
            <family val="2"/>
          </rPr>
          <t xml:space="preserve">Normalement, ce calcul se fait automatiquement, en fonction tu taux visé (E10), par contre si vous désirez voir l'incidence de votre retrait FERR, vous pouvez l'inscrire ici. </t>
        </r>
      </text>
    </comment>
    <comment ref="F18" authorId="2" shapeId="0" xr:uid="{340BCD79-1863-42D4-9361-A03781A13FC1}">
      <text>
        <r>
          <rPr>
            <b/>
            <sz val="9"/>
            <color indexed="81"/>
            <rFont val="Tahoma"/>
            <family val="2"/>
          </rPr>
          <t>Pour voir le montant annuel à épargner vous devez remplir onglet "Épargne"</t>
        </r>
        <r>
          <rPr>
            <sz val="9"/>
            <color indexed="81"/>
            <rFont val="Tahoma"/>
            <family val="2"/>
          </rPr>
          <t xml:space="preserve">
</t>
        </r>
      </text>
    </comment>
    <comment ref="B19" authorId="2" shapeId="0" xr:uid="{57D18655-CC36-47C8-9665-19657F4C503F}">
      <text>
        <r>
          <rPr>
            <b/>
            <sz val="9"/>
            <color indexed="81"/>
            <rFont val="Tahoma"/>
            <family val="2"/>
          </rPr>
          <t xml:space="preserve">
Ce montant dépend de l'objectif de revenus de retraite visé ! 
Il s'agit ici de l'épargne CELI pour combler vos besoins de retraite.
Voir ligne 55 pour vous assurez que vos revenus après impôts &amp; mesures sociofiscales seront suffisant </t>
        </r>
      </text>
    </comment>
    <comment ref="B20" authorId="2" shapeId="0" xr:uid="{64BF93C2-69D2-4D5E-AF82-EE5CB8931193}">
      <text>
        <r>
          <rPr>
            <b/>
            <sz val="9"/>
            <color indexed="81"/>
            <rFont val="Tahoma"/>
            <family val="2"/>
          </rPr>
          <t xml:space="preserve">Ce montant dépend de l'objectif de revenus de retraite visé ! 
Il s'agit ici de l'épargne REER pour combler vos besoins de retraite.
Voir ligne 55 pour vous assurez que vos revenus après impôts &amp; mesures sociofiscales seront suffisant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Jean-Francois Robert</author>
  </authors>
  <commentList>
    <comment ref="B4" authorId="0" shapeId="0" xr:uid="{F49ED38A-A573-415E-A536-39EC005D0A61}">
      <text>
        <r>
          <rPr>
            <b/>
            <sz val="9"/>
            <color indexed="81"/>
            <rFont val="Tahoma"/>
            <family val="2"/>
          </rPr>
          <t>Si vous vivez seul inscrire 1; si vous vivez en couple inscrire 2</t>
        </r>
      </text>
    </comment>
    <comment ref="B8" authorId="1" shapeId="0" xr:uid="{96B04843-E35B-4F5F-903B-F5928BA37586}">
      <text>
        <r>
          <rPr>
            <sz val="9"/>
            <color indexed="81"/>
            <rFont val="Tahoma"/>
            <family val="2"/>
          </rPr>
          <t xml:space="preserve">Vous êtes </t>
        </r>
        <r>
          <rPr>
            <b/>
            <sz val="9"/>
            <color indexed="81"/>
            <rFont val="Tahoma"/>
            <family val="2"/>
          </rPr>
          <t>salarié,</t>
        </r>
        <r>
          <rPr>
            <sz val="9"/>
            <color indexed="81"/>
            <rFont val="Tahoma"/>
            <family val="2"/>
          </rPr>
          <t xml:space="preserve"> inscrire votre revenu actuel
Vous êtes déjà </t>
        </r>
        <r>
          <rPr>
            <b/>
            <sz val="9"/>
            <color indexed="81"/>
            <rFont val="Tahoma"/>
            <family val="2"/>
          </rPr>
          <t>retraité</t>
        </r>
        <r>
          <rPr>
            <sz val="9"/>
            <color indexed="81"/>
            <rFont val="Tahoma"/>
            <family val="2"/>
          </rPr>
          <t xml:space="preserve">, inscrire les revenus que vous aviez juste avant la retraite.
Faites de même pour le conjoint s'il y a lieu.
</t>
        </r>
      </text>
    </comment>
    <comment ref="B9" authorId="2" shapeId="0" xr:uid="{F5500356-7F68-41A1-96AF-F877DE101D83}">
      <text>
        <r>
          <rPr>
            <b/>
            <sz val="9"/>
            <color indexed="81"/>
            <rFont val="Tahoma"/>
            <family val="2"/>
          </rPr>
          <t>Si vous êtes déjà retraités et recevez la PSV, veuillez inscrire le montant officiel</t>
        </r>
      </text>
    </comment>
    <comment ref="C9" authorId="2" shapeId="0" xr:uid="{6B4B69C4-602B-446C-A7CC-DA13D8F22D7C}">
      <text>
        <r>
          <rPr>
            <b/>
            <sz val="9"/>
            <color indexed="81"/>
            <rFont val="Tahoma"/>
            <family val="2"/>
          </rPr>
          <t>Si vous êtes déjà retraités et recevez la PSV, veuillez inscrire le montant officiel</t>
        </r>
      </text>
    </comment>
    <comment ref="B10" authorId="0" shapeId="0" xr:uid="{D70BABEB-45AC-41FD-882C-A991B0C27394}">
      <text>
        <r>
          <rPr>
            <b/>
            <sz val="9"/>
            <color indexed="81"/>
            <rFont val="Tahoma"/>
            <family val="2"/>
          </rPr>
          <t>Inscrivez le montant réel de votre rente annuelle au RRQ si disponible</t>
        </r>
      </text>
    </comment>
    <comment ref="C10" authorId="0" shapeId="0" xr:uid="{F678ED97-0E8B-4542-A7E2-6C929C503BA0}">
      <text>
        <r>
          <rPr>
            <b/>
            <sz val="9"/>
            <color indexed="81"/>
            <rFont val="Tahoma"/>
            <family val="2"/>
          </rPr>
          <t>Inscrivez le montant réel de la rente annuelle de votre conjoint au RRQ si disponible</t>
        </r>
      </text>
    </comment>
    <comment ref="B11" authorId="1" shapeId="0" xr:uid="{0057E12B-3AC0-453B-B568-A258AC8C35E5}">
      <text>
        <r>
          <rPr>
            <b/>
            <sz val="9"/>
            <color indexed="81"/>
            <rFont val="Tahoma"/>
            <family val="2"/>
          </rPr>
          <t>Inscrire le montant actuel de vos frais médicaux, excluant le coût de votre régime d'assurance</t>
        </r>
      </text>
    </comment>
    <comment ref="B12" authorId="1" shapeId="0" xr:uid="{B9F40701-D066-4FC7-A10A-C63B8F1BD380}">
      <text>
        <r>
          <rPr>
            <b/>
            <sz val="9"/>
            <color indexed="81"/>
            <rFont val="Tahoma"/>
            <family val="2"/>
          </rPr>
          <t>Presque tous les travailleurs devront, à partir de 65 ans, payer la cotisation à la RAMQ !</t>
        </r>
      </text>
    </comment>
    <comment ref="E13" authorId="1" shapeId="0" xr:uid="{81B0FA03-3418-4BDB-8DB5-A020798072A5}">
      <text>
        <r>
          <rPr>
            <b/>
            <sz val="9"/>
            <color indexed="81"/>
            <rFont val="Tahoma"/>
            <family val="2"/>
          </rPr>
          <t>Généralement, il est question d'un taux de remplacement du revenu préretraite de 60%, 70% ou 80%. 
Ici, je vous suggère de comparer le taux que vous visiez avec ce taux OPTIMAL situé juste à côté (F10)</t>
        </r>
        <r>
          <rPr>
            <sz val="9"/>
            <color indexed="81"/>
            <rFont val="Tahoma"/>
            <family val="2"/>
          </rPr>
          <t xml:space="preserve">
</t>
        </r>
      </text>
    </comment>
    <comment ref="B14" authorId="1" shapeId="0" xr:uid="{280470F5-76D2-40AE-B3BF-AF901B01576E}">
      <text>
        <r>
          <rPr>
            <b/>
            <sz val="9"/>
            <color indexed="81"/>
            <rFont val="Tahoma"/>
            <family val="2"/>
          </rPr>
          <t xml:space="preserve">Normalement, ce calcul se fait automatiquement, en fonction tu taux visé (E10), par contre si vous désirez voir l'incidence de votre retrait FERR, vous pouvez l'inscrire ici. </t>
        </r>
      </text>
    </comment>
    <comment ref="B15" authorId="2" shapeId="0" xr:uid="{A5BA9862-9644-465A-81ED-01E0F39C8A13}">
      <text>
        <r>
          <rPr>
            <b/>
            <sz val="9"/>
            <color indexed="81"/>
            <rFont val="Tahoma"/>
            <family val="2"/>
          </rPr>
          <t xml:space="preserve">Si vous bénéficiez d'un régime de pension d'un employeur ou ex-employeur, inscrire le montant que vous devriez recevoir à partir de 65 ans.
</t>
        </r>
      </text>
    </comment>
    <comment ref="C15" authorId="2" shapeId="0" xr:uid="{17068831-E54A-40F7-9065-E01792C639F4}">
      <text>
        <r>
          <rPr>
            <b/>
            <sz val="9"/>
            <color indexed="81"/>
            <rFont val="Tahoma"/>
            <family val="2"/>
          </rPr>
          <t>Si vous bénéficiez d'un régime de pension d'un employeur ou ex-employeur, inscrire le montant que vous devriez recevoir à partir de 65 ans.</t>
        </r>
      </text>
    </comment>
    <comment ref="B16" authorId="2" shapeId="0" xr:uid="{5CC7921D-19DC-4C99-B431-D700ED573FEB}">
      <text>
        <r>
          <rPr>
            <b/>
            <sz val="9"/>
            <color indexed="81"/>
            <rFont val="Tahoma"/>
            <family val="2"/>
          </rPr>
          <t>La majorité des régimes de pension n'offre qu'une indexation partielle par rapport à l'inflation. Si votre régime offre une pleine indexation, comme chez Hydro Québec, inscrire 100</t>
        </r>
      </text>
    </comment>
    <comment ref="B17" authorId="2" shapeId="0" xr:uid="{E9B8D756-BDFB-409B-A029-A4EAE03657D9}">
      <text>
        <r>
          <rPr>
            <b/>
            <sz val="9"/>
            <color indexed="81"/>
            <rFont val="Tahoma"/>
            <family val="2"/>
          </rPr>
          <t xml:space="preserve">Inscrire les revenus locatifs NETS soit, après dépenses (assurance, intérêts, taxes foncières,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Jean-Francois Robert</author>
  </authors>
  <commentList>
    <comment ref="C6" authorId="0" shapeId="0" xr:uid="{B2268A1E-AAE3-4D00-BA30-BCE090A7EA32}">
      <text>
        <r>
          <rPr>
            <b/>
            <sz val="9"/>
            <color indexed="81"/>
            <rFont val="Tahoma"/>
            <family val="2"/>
          </rPr>
          <t>Inscrire chiffre (colone A) correspondant à votre profil d'investisseur</t>
        </r>
      </text>
    </comment>
    <comment ref="G30" authorId="0" shapeId="0" xr:uid="{53F0F145-F242-43BF-B6FD-F9CD50CF1286}">
      <text>
        <r>
          <rPr>
            <b/>
            <sz val="9"/>
            <color indexed="81"/>
            <rFont val="Tahoma"/>
            <family val="2"/>
          </rPr>
          <t xml:space="preserve">Si votre solde hypothécaire ne sera pas remboursé d'ici votre retraite, inscrire le montant de votre paiement hypothécaire.
N.B. Pour vos besoins financiers actuels (onglet optimisation) considérer votre train de vie actuel. Ceci permet de considérer que suite à votre remboursement hypothécaire que votre coût de la vie sera plus faible. </t>
        </r>
      </text>
    </comment>
    <comment ref="G31" authorId="0" shapeId="0" xr:uid="{81415E57-1CD3-4230-BD73-AD47570F9DCB}">
      <text>
        <r>
          <rPr>
            <b/>
            <sz val="9"/>
            <color indexed="81"/>
            <rFont val="Tahoma"/>
            <family val="2"/>
          </rPr>
          <t>Nombre de paiements/an
12 si mensuels
52 si hebdomadaires
26 si aux deux semaines</t>
        </r>
      </text>
    </comment>
    <comment ref="G32" authorId="0" shapeId="0" xr:uid="{13DFA8CA-4F99-4026-AB1C-91805E685750}">
      <text>
        <r>
          <rPr>
            <b/>
            <sz val="9"/>
            <color indexed="81"/>
            <rFont val="Tahoma"/>
            <family val="2"/>
          </rPr>
          <t>Nombre d'années restantes pour  rembourser totalement l'hypothèque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Jean-Francois Robert</author>
  </authors>
  <commentList>
    <comment ref="E23" authorId="0" shapeId="0" xr:uid="{52D475EE-1579-42A4-AB03-58A2B3FED8C3}">
      <text>
        <r>
          <rPr>
            <b/>
            <sz val="9"/>
            <color indexed="81"/>
            <rFont val="Tahoma"/>
            <family val="2"/>
          </rPr>
          <t>Crédit pour frais médicaux 3% du revenu ou ce montant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Jean-Francois Robert</author>
  </authors>
  <commentList>
    <comment ref="B4" authorId="0" shapeId="0" xr:uid="{A380F24C-99C9-45F0-A312-2141F929EB85}">
      <text>
        <r>
          <rPr>
            <b/>
            <sz val="9"/>
            <color indexed="81"/>
            <rFont val="Tahoma"/>
            <family val="2"/>
          </rPr>
          <t>Si vous vivez seul inscrire 1; si vous vivez en couple inscrire 2</t>
        </r>
      </text>
    </comment>
    <comment ref="B7" authorId="1" shapeId="0" xr:uid="{EE04CD59-1EB7-472D-810D-E3DD1A25EDC7}">
      <text>
        <r>
          <rPr>
            <sz val="9"/>
            <color indexed="81"/>
            <rFont val="Tahoma"/>
            <family val="2"/>
          </rPr>
          <t xml:space="preserve">Vous êtes </t>
        </r>
        <r>
          <rPr>
            <b/>
            <sz val="9"/>
            <color indexed="81"/>
            <rFont val="Tahoma"/>
            <family val="2"/>
          </rPr>
          <t>salarié,</t>
        </r>
        <r>
          <rPr>
            <sz val="9"/>
            <color indexed="81"/>
            <rFont val="Tahoma"/>
            <family val="2"/>
          </rPr>
          <t xml:space="preserve"> inscrire votre revenu actuel
Vous êtes déjà </t>
        </r>
        <r>
          <rPr>
            <b/>
            <sz val="9"/>
            <color indexed="81"/>
            <rFont val="Tahoma"/>
            <family val="2"/>
          </rPr>
          <t>retraité</t>
        </r>
        <r>
          <rPr>
            <sz val="9"/>
            <color indexed="81"/>
            <rFont val="Tahoma"/>
            <family val="2"/>
          </rPr>
          <t xml:space="preserve">, inscrire les revenus que vous aviez juste avant la retraite.
Faites de même pour le conjoint s'il y a lieu.
</t>
        </r>
      </text>
    </comment>
    <comment ref="B8" authorId="2" shapeId="0" xr:uid="{274CA964-9B8C-4F52-9562-451F564E5CBB}">
      <text>
        <r>
          <rPr>
            <b/>
            <sz val="9"/>
            <color indexed="81"/>
            <rFont val="Tahoma"/>
            <family val="2"/>
          </rPr>
          <t>Si vous êtes déjà retraités et recevez la PSV, veuillez inscrire le montant officiel</t>
        </r>
      </text>
    </comment>
    <comment ref="B9" authorId="0" shapeId="0" xr:uid="{D94FD94F-6C62-4F70-8CEC-91535540BB4A}">
      <text>
        <r>
          <rPr>
            <b/>
            <sz val="9"/>
            <color indexed="81"/>
            <rFont val="Tahoma"/>
            <family val="2"/>
          </rPr>
          <t>Inscrivez le montant réel de votre rente annuelle au RRQ si disponible</t>
        </r>
      </text>
    </comment>
    <comment ref="C9" authorId="0" shapeId="0" xr:uid="{76AA0C52-83E5-4000-9A0B-0ADDC9682BA1}">
      <text>
        <r>
          <rPr>
            <b/>
            <sz val="9"/>
            <color indexed="81"/>
            <rFont val="Tahoma"/>
            <family val="2"/>
          </rPr>
          <t>Inscrivez le montant réel de la rente annuelle de votre conjoint au RRQ si disponible</t>
        </r>
      </text>
    </comment>
    <comment ref="B10" authorId="1" shapeId="0" xr:uid="{77AD8BC8-A3D6-4BAA-B26D-17A8968155C3}">
      <text>
        <r>
          <rPr>
            <b/>
            <sz val="9"/>
            <color indexed="81"/>
            <rFont val="Tahoma"/>
            <family val="2"/>
          </rPr>
          <t>Inscrire le montant actuel de vos frais médicaux, excluant le coût de votre régime d'assurance</t>
        </r>
      </text>
    </comment>
    <comment ref="B11" authorId="1" shapeId="0" xr:uid="{C63C3F0C-FC85-447E-94C3-E2215B1D2E4E}">
      <text>
        <r>
          <rPr>
            <b/>
            <sz val="9"/>
            <color indexed="81"/>
            <rFont val="Tahoma"/>
            <family val="2"/>
          </rPr>
          <t>Presque tous les travailleurs devront, à partir de 65 ans, payer la cotisation à la RAMQ !</t>
        </r>
      </text>
    </comment>
    <comment ref="E12" authorId="1" shapeId="0" xr:uid="{9AF5CE4B-25AF-434D-8709-66F8CD680A77}">
      <text>
        <r>
          <rPr>
            <b/>
            <sz val="9"/>
            <color indexed="81"/>
            <rFont val="Tahoma"/>
            <family val="2"/>
          </rPr>
          <t>Généralement, il est question d'un taux de remplacement du revenu préretraite de 60%, 70% ou 80%. 
Ici, je vous suggère de comparer le taux que vous visiez avec ce taux OPTIMAL situé juste à côté (F10)</t>
        </r>
        <r>
          <rPr>
            <sz val="9"/>
            <color indexed="81"/>
            <rFont val="Tahoma"/>
            <family val="2"/>
          </rPr>
          <t xml:space="preserve">
</t>
        </r>
      </text>
    </comment>
    <comment ref="B13" authorId="1" shapeId="0" xr:uid="{DCC5590C-30C3-48D8-A472-E9ECA0B11703}">
      <text>
        <r>
          <rPr>
            <b/>
            <sz val="9"/>
            <color indexed="81"/>
            <rFont val="Tahoma"/>
            <family val="2"/>
          </rPr>
          <t>Presque tous les travailleurs devront, à partir de 65 ans, payer la cotisation à la RAMQ !</t>
        </r>
      </text>
    </comment>
    <comment ref="C13" authorId="2" shapeId="0" xr:uid="{E5584AC5-38BF-40D1-89CF-39C80797023A}">
      <text>
        <r>
          <rPr>
            <b/>
            <sz val="9"/>
            <color indexed="81"/>
            <rFont val="Tahoma"/>
            <family val="2"/>
          </rPr>
          <t>Si vous bénéficiez d'un régime de pension d'un employeur ou ex-employeur, inscrire le montant que vous devriez recevoir à partir de 65 ans.</t>
        </r>
      </text>
    </comment>
    <comment ref="B14" authorId="2" shapeId="0" xr:uid="{FA51F27D-E418-4EA0-9206-4137A3E8DAA8}">
      <text>
        <r>
          <rPr>
            <b/>
            <sz val="9"/>
            <color indexed="81"/>
            <rFont val="Tahoma"/>
            <family val="2"/>
          </rPr>
          <t>La majorité des régimes de pension n'offre qu'une indexation partielle par rapport à l'inflation. Si votre régime offre une pleine indexation, comme chez Hydro Québec, inscrire 100</t>
        </r>
      </text>
    </comment>
    <comment ref="B15" authorId="2" shapeId="0" xr:uid="{7F9D38FE-87FC-459F-A9BE-FD1C4541E9EF}">
      <text>
        <r>
          <rPr>
            <b/>
            <sz val="9"/>
            <color indexed="81"/>
            <rFont val="Tahoma"/>
            <family val="2"/>
          </rPr>
          <t xml:space="preserve">Inscrire les revenus locatifs NETS soit, après dépenses (assurance, intérêts, taxes foncières, etc.)
</t>
        </r>
      </text>
    </comment>
    <comment ref="B16" authorId="1" shapeId="0" xr:uid="{7124514E-E469-4EAF-B814-9E8209F37F51}">
      <text>
        <r>
          <rPr>
            <b/>
            <sz val="9"/>
            <color indexed="81"/>
            <rFont val="Tahoma"/>
            <family val="2"/>
          </rPr>
          <t xml:space="preserve">Normalement, ce calcul se fait automatiquement, en fonction tu taux visé (E10), par contre si vous désirez voir l'incidence de votre retrait FERR, vous pouvez l'inscrire ici. </t>
        </r>
      </text>
    </comment>
    <comment ref="F18" authorId="2" shapeId="0" xr:uid="{4A08989A-6796-485E-A7DF-39D574A124DC}">
      <text>
        <r>
          <rPr>
            <b/>
            <sz val="9"/>
            <color indexed="81"/>
            <rFont val="Tahoma"/>
            <family val="2"/>
          </rPr>
          <t>Pour voir le montant annuel à épargner vous devez remplir onglet "Épargne"</t>
        </r>
        <r>
          <rPr>
            <sz val="9"/>
            <color indexed="81"/>
            <rFont val="Tahoma"/>
            <family val="2"/>
          </rPr>
          <t xml:space="preserve">
</t>
        </r>
      </text>
    </comment>
    <comment ref="B19" authorId="2" shapeId="0" xr:uid="{3E48E2CD-AD5E-4588-972B-86A3171DFA4C}">
      <text>
        <r>
          <rPr>
            <b/>
            <sz val="9"/>
            <color indexed="81"/>
            <rFont val="Tahoma"/>
            <family val="2"/>
          </rPr>
          <t xml:space="preserve">
Ce montant dépend de l'objectif de revenus de retraite visé ! 
Il s'agit ici de l'épargne CELI pour combler vos besoins de retraite.
Voir ligne 55 pour vous assurez que vos revenus après impôts &amp; mesures sociofiscales seront suffisant </t>
        </r>
      </text>
    </comment>
    <comment ref="B20" authorId="2" shapeId="0" xr:uid="{8180F92C-9239-4E2F-9360-BBFDDA353D87}">
      <text>
        <r>
          <rPr>
            <b/>
            <sz val="9"/>
            <color indexed="81"/>
            <rFont val="Tahoma"/>
            <family val="2"/>
          </rPr>
          <t xml:space="preserve">Ce montant dépend de l'objectif de revenus de retraite visé ! 
Il s'agit ici de l'épargne REER pour combler vos besoins de retraite.
Voir ligne 55 pour vous assurez que vos revenus après impôts &amp; mesures sociofiscales seront suffisant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Jean-Francois Robert</author>
  </authors>
  <commentList>
    <comment ref="B4" authorId="0" shapeId="0" xr:uid="{4587D25C-5BF1-4D60-961E-0996266141C6}">
      <text>
        <r>
          <rPr>
            <b/>
            <sz val="9"/>
            <color indexed="81"/>
            <rFont val="Tahoma"/>
            <family val="2"/>
          </rPr>
          <t>Si vous vivez seul inscrire 1; si vous vivez en couple inscrire 2</t>
        </r>
      </text>
    </comment>
    <comment ref="B8" authorId="1" shapeId="0" xr:uid="{63FA80F3-4BF5-4F41-B20F-322C35C74B2D}">
      <text>
        <r>
          <rPr>
            <sz val="9"/>
            <color indexed="81"/>
            <rFont val="Tahoma"/>
            <family val="2"/>
          </rPr>
          <t xml:space="preserve">Vous êtes </t>
        </r>
        <r>
          <rPr>
            <b/>
            <sz val="9"/>
            <color indexed="81"/>
            <rFont val="Tahoma"/>
            <family val="2"/>
          </rPr>
          <t>salarié,</t>
        </r>
        <r>
          <rPr>
            <sz val="9"/>
            <color indexed="81"/>
            <rFont val="Tahoma"/>
            <family val="2"/>
          </rPr>
          <t xml:space="preserve"> inscrire votre revenu actuel
Vous êtes déjà </t>
        </r>
        <r>
          <rPr>
            <b/>
            <sz val="9"/>
            <color indexed="81"/>
            <rFont val="Tahoma"/>
            <family val="2"/>
          </rPr>
          <t>retraité</t>
        </r>
        <r>
          <rPr>
            <sz val="9"/>
            <color indexed="81"/>
            <rFont val="Tahoma"/>
            <family val="2"/>
          </rPr>
          <t xml:space="preserve">, inscrire les revenus que vous aviez juste avant la retraite.
Faites de même pour le conjoint s'il y a lieu.
</t>
        </r>
      </text>
    </comment>
    <comment ref="B9" authorId="2" shapeId="0" xr:uid="{60F15EAA-D7A5-45FE-9B37-D02C90C1C45B}">
      <text>
        <r>
          <rPr>
            <b/>
            <sz val="9"/>
            <color indexed="81"/>
            <rFont val="Tahoma"/>
            <family val="2"/>
          </rPr>
          <t>Si vous êtes déjà retraités et recevez la PSV, veuillez inscrire le montant officiel</t>
        </r>
      </text>
    </comment>
    <comment ref="C9" authorId="2" shapeId="0" xr:uid="{47A55C1A-7F82-4D4F-9001-152E3B772CC1}">
      <text>
        <r>
          <rPr>
            <b/>
            <sz val="9"/>
            <color indexed="81"/>
            <rFont val="Tahoma"/>
            <family val="2"/>
          </rPr>
          <t>Si vous êtes déjà retraités et recevez la PSV, veuillez inscrire le montant officiel</t>
        </r>
      </text>
    </comment>
    <comment ref="B10" authorId="0" shapeId="0" xr:uid="{6C3D682C-3844-431D-95D2-31364E27DBFA}">
      <text>
        <r>
          <rPr>
            <b/>
            <sz val="9"/>
            <color indexed="81"/>
            <rFont val="Tahoma"/>
            <family val="2"/>
          </rPr>
          <t>Inscrivez le montant réel de votre rente annuelle au RRQ si disponible</t>
        </r>
      </text>
    </comment>
    <comment ref="C10" authorId="0" shapeId="0" xr:uid="{E65A13CC-7E08-43C8-A88F-D5CB0C8E7E25}">
      <text>
        <r>
          <rPr>
            <b/>
            <sz val="9"/>
            <color indexed="81"/>
            <rFont val="Tahoma"/>
            <family val="2"/>
          </rPr>
          <t>Inscrivez le montant réel de la rente annuelle de votre conjoint au RRQ si disponible</t>
        </r>
      </text>
    </comment>
    <comment ref="B11" authorId="1" shapeId="0" xr:uid="{10764DEB-9F52-42D5-A0BC-9EF6401465A6}">
      <text>
        <r>
          <rPr>
            <b/>
            <sz val="9"/>
            <color indexed="81"/>
            <rFont val="Tahoma"/>
            <family val="2"/>
          </rPr>
          <t>Inscrire le montant actuel de vos frais médicaux, excluant le coût de votre régime d'assurance</t>
        </r>
      </text>
    </comment>
    <comment ref="B12" authorId="1" shapeId="0" xr:uid="{03035374-8C09-44D2-BA29-16287C5B15DF}">
      <text>
        <r>
          <rPr>
            <b/>
            <sz val="9"/>
            <color indexed="81"/>
            <rFont val="Tahoma"/>
            <family val="2"/>
          </rPr>
          <t>Presque tous les travailleurs devront, à partir de 65 ans, payer la cotisation à la RAMQ !</t>
        </r>
      </text>
    </comment>
    <comment ref="E13" authorId="1" shapeId="0" xr:uid="{D3DF3365-359D-4C78-AF86-93666F50275D}">
      <text>
        <r>
          <rPr>
            <b/>
            <sz val="9"/>
            <color indexed="81"/>
            <rFont val="Tahoma"/>
            <family val="2"/>
          </rPr>
          <t>Généralement, il est question d'un taux de remplacement du revenu préretraite de 60%, 70% ou 80%. 
Ici, je vous suggère de comparer le taux que vous visiez avec ce taux OPTIMAL situé juste à côté (F10)</t>
        </r>
        <r>
          <rPr>
            <sz val="9"/>
            <color indexed="81"/>
            <rFont val="Tahoma"/>
            <family val="2"/>
          </rPr>
          <t xml:space="preserve">
</t>
        </r>
      </text>
    </comment>
    <comment ref="B14" authorId="1" shapeId="0" xr:uid="{3B9CFF1D-638C-4844-B539-A719F0414B6E}">
      <text>
        <r>
          <rPr>
            <b/>
            <sz val="9"/>
            <color indexed="81"/>
            <rFont val="Tahoma"/>
            <family val="2"/>
          </rPr>
          <t xml:space="preserve">Normalement, ce calcul se fait automatiquement, en fonction tu taux visé (E10), par contre si vous désirez voir l'incidence de votre retrait FERR, vous pouvez l'inscrire ici. </t>
        </r>
      </text>
    </comment>
    <comment ref="B15" authorId="2" shapeId="0" xr:uid="{D518B69D-02CA-450E-8988-A898E4A4A171}">
      <text>
        <r>
          <rPr>
            <b/>
            <sz val="9"/>
            <color indexed="81"/>
            <rFont val="Tahoma"/>
            <family val="2"/>
          </rPr>
          <t xml:space="preserve">Si vous bénéficiez d'un régime de pension d'un employeur ou ex-employeur, inscrire le montant que vous devriez recevoir à partir de 65 ans.
</t>
        </r>
      </text>
    </comment>
    <comment ref="C15" authorId="2" shapeId="0" xr:uid="{A0C4C281-D21D-4751-95FC-2483FD375F5E}">
      <text>
        <r>
          <rPr>
            <b/>
            <sz val="9"/>
            <color indexed="81"/>
            <rFont val="Tahoma"/>
            <family val="2"/>
          </rPr>
          <t>Si vous bénéficiez d'un régime de pension d'un employeur ou ex-employeur, inscrire le montant que vous devriez recevoir à partir de 65 ans.</t>
        </r>
      </text>
    </comment>
    <comment ref="B16" authorId="2" shapeId="0" xr:uid="{EDFEBF12-870D-46B8-A9BE-48BA7DAD4CBD}">
      <text>
        <r>
          <rPr>
            <b/>
            <sz val="9"/>
            <color indexed="81"/>
            <rFont val="Tahoma"/>
            <family val="2"/>
          </rPr>
          <t>La majorité des régimes de pension n'offre qu'une indexation partielle par rapport à l'inflation. Si votre régime offre une pleine indexation, comme chez Hydro Québec, inscrire 100</t>
        </r>
      </text>
    </comment>
    <comment ref="B17" authorId="2" shapeId="0" xr:uid="{1696FF5D-26E8-4E71-91FD-C6B07B82DEF5}">
      <text>
        <r>
          <rPr>
            <b/>
            <sz val="9"/>
            <color indexed="81"/>
            <rFont val="Tahoma"/>
            <family val="2"/>
          </rPr>
          <t xml:space="preserve">Inscrire les revenus locatifs NETS soit, après dépenses (assurance, intérêts, taxes foncières, etc.)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Jean-Francois Robert</author>
  </authors>
  <commentList>
    <comment ref="B4" authorId="0" shapeId="0" xr:uid="{E0228F0A-6A22-4F42-8E99-40D7B666CE51}">
      <text>
        <r>
          <rPr>
            <b/>
            <sz val="9"/>
            <color indexed="81"/>
            <rFont val="Tahoma"/>
            <family val="2"/>
          </rPr>
          <t>Si vous vivez seul inscrire 1; si vous vivez en couple inscrire 2</t>
        </r>
      </text>
    </comment>
    <comment ref="B8" authorId="1" shapeId="0" xr:uid="{A89EF15C-2150-4386-9AF3-90D2BDB329B3}">
      <text>
        <r>
          <rPr>
            <sz val="9"/>
            <color indexed="81"/>
            <rFont val="Tahoma"/>
            <family val="2"/>
          </rPr>
          <t xml:space="preserve">Vous êtes </t>
        </r>
        <r>
          <rPr>
            <b/>
            <sz val="9"/>
            <color indexed="81"/>
            <rFont val="Tahoma"/>
            <family val="2"/>
          </rPr>
          <t>salarié,</t>
        </r>
        <r>
          <rPr>
            <sz val="9"/>
            <color indexed="81"/>
            <rFont val="Tahoma"/>
            <family val="2"/>
          </rPr>
          <t xml:space="preserve"> inscrire votre revenu actuel
Vous êtes déjà </t>
        </r>
        <r>
          <rPr>
            <b/>
            <sz val="9"/>
            <color indexed="81"/>
            <rFont val="Tahoma"/>
            <family val="2"/>
          </rPr>
          <t>retraité</t>
        </r>
        <r>
          <rPr>
            <sz val="9"/>
            <color indexed="81"/>
            <rFont val="Tahoma"/>
            <family val="2"/>
          </rPr>
          <t xml:space="preserve">, inscrire les revenus que vous aviez juste avant la retraite.
Faites de même pour le conjoint s'il y a lieu.
</t>
        </r>
      </text>
    </comment>
    <comment ref="B9" authorId="2" shapeId="0" xr:uid="{0E2B4A6C-F5CE-4905-99B5-497B3F817AC0}">
      <text>
        <r>
          <rPr>
            <b/>
            <sz val="9"/>
            <color indexed="81"/>
            <rFont val="Tahoma"/>
            <family val="2"/>
          </rPr>
          <t>Si vous êtes déjà retraités et recevez la PSV, veuillez inscrire le montant officiel</t>
        </r>
      </text>
    </comment>
    <comment ref="C9" authorId="2" shapeId="0" xr:uid="{63981394-E1AE-4F66-A050-F2EF39B4694F}">
      <text>
        <r>
          <rPr>
            <b/>
            <sz val="9"/>
            <color indexed="81"/>
            <rFont val="Tahoma"/>
            <family val="2"/>
          </rPr>
          <t>Si vous êtes déjà retraités et recevez la PSV, veuillez inscrire le montant officiel</t>
        </r>
      </text>
    </comment>
    <comment ref="B10" authorId="0" shapeId="0" xr:uid="{51FC1AE4-0FF1-4C72-A404-5A7922540BE2}">
      <text>
        <r>
          <rPr>
            <b/>
            <sz val="9"/>
            <color indexed="81"/>
            <rFont val="Tahoma"/>
            <family val="2"/>
          </rPr>
          <t>Inscrivez le montant réel de votre rente annuelle au RRQ si disponible</t>
        </r>
      </text>
    </comment>
    <comment ref="C10" authorId="0" shapeId="0" xr:uid="{8E9324FF-31A0-499E-8F86-E41A7EF66B60}">
      <text>
        <r>
          <rPr>
            <b/>
            <sz val="9"/>
            <color indexed="81"/>
            <rFont val="Tahoma"/>
            <family val="2"/>
          </rPr>
          <t>Inscrivez le montant réel de la rente annuelle de votre conjoint au RRQ si disponible</t>
        </r>
      </text>
    </comment>
    <comment ref="B11" authorId="1" shapeId="0" xr:uid="{1C6FDA06-191A-4EC8-BB9C-F2BBCF7F172D}">
      <text>
        <r>
          <rPr>
            <b/>
            <sz val="9"/>
            <color indexed="81"/>
            <rFont val="Tahoma"/>
            <family val="2"/>
          </rPr>
          <t>Inscrire le montant actuel de vos frais médicaux, excluant le coût de votre régime d'assurance</t>
        </r>
      </text>
    </comment>
    <comment ref="B12" authorId="1" shapeId="0" xr:uid="{63399379-E4D0-4B5B-80B0-3C6CA025DED9}">
      <text>
        <r>
          <rPr>
            <b/>
            <sz val="9"/>
            <color indexed="81"/>
            <rFont val="Tahoma"/>
            <family val="2"/>
          </rPr>
          <t>Presque tous les travailleurs devront, à partir de 65 ans, payer la cotisation à la RAMQ !</t>
        </r>
      </text>
    </comment>
    <comment ref="E13" authorId="1" shapeId="0" xr:uid="{B06D9CF7-0672-4F88-BB67-A5E594520D23}">
      <text>
        <r>
          <rPr>
            <b/>
            <sz val="9"/>
            <color indexed="81"/>
            <rFont val="Tahoma"/>
            <family val="2"/>
          </rPr>
          <t>Généralement, il est question d'un taux de remplacement du revenu préretraite de 60%, 70% ou 80%. 
Ici, je vous suggère de comparer le taux que vous visiez avec ce taux OPTIMAL situé juste à côté (F10)</t>
        </r>
        <r>
          <rPr>
            <sz val="9"/>
            <color indexed="81"/>
            <rFont val="Tahoma"/>
            <family val="2"/>
          </rPr>
          <t xml:space="preserve">
</t>
        </r>
      </text>
    </comment>
    <comment ref="B14" authorId="1" shapeId="0" xr:uid="{FE368767-0C1B-49E8-A556-D4FC0AA2D83C}">
      <text>
        <r>
          <rPr>
            <b/>
            <sz val="9"/>
            <color indexed="81"/>
            <rFont val="Tahoma"/>
            <family val="2"/>
          </rPr>
          <t xml:space="preserve">Normalement, ce calcul se fait automatiquement, en fonction tu taux visé (E10), par contre si vous désirez voir l'incidence de votre retrait FERR, vous pouvez l'inscrire ici. </t>
        </r>
      </text>
    </comment>
    <comment ref="B15" authorId="2" shapeId="0" xr:uid="{2E9B2A1A-E832-44D5-BE08-F17419056E19}">
      <text>
        <r>
          <rPr>
            <b/>
            <sz val="9"/>
            <color indexed="81"/>
            <rFont val="Tahoma"/>
            <family val="2"/>
          </rPr>
          <t xml:space="preserve">Si vous bénéficiez d'un régime de pension d'un employeur ou ex-employeur, inscrire le montant que vous devriez recevoir à partir de 65 ans.
</t>
        </r>
      </text>
    </comment>
    <comment ref="C15" authorId="2" shapeId="0" xr:uid="{9AD46021-3B97-45B9-8B98-F6B670D63087}">
      <text>
        <r>
          <rPr>
            <b/>
            <sz val="9"/>
            <color indexed="81"/>
            <rFont val="Tahoma"/>
            <family val="2"/>
          </rPr>
          <t>Si vous bénéficiez d'un régime de pension d'un employeur ou ex-employeur, inscrire le montant que vous devriez recevoir à partir de 65 ans.</t>
        </r>
      </text>
    </comment>
    <comment ref="B16" authorId="2" shapeId="0" xr:uid="{E695CA22-E31E-4EA6-9F46-50689D574C62}">
      <text>
        <r>
          <rPr>
            <b/>
            <sz val="9"/>
            <color indexed="81"/>
            <rFont val="Tahoma"/>
            <family val="2"/>
          </rPr>
          <t>La majorité des régimes de pension n'offre qu'une indexation partielle par rapport à l'inflation. Si votre régime offre une pleine indexation, comme chez Hydro Québec, inscrire 100</t>
        </r>
      </text>
    </comment>
    <comment ref="B17" authorId="2" shapeId="0" xr:uid="{67DE8E52-76B2-447B-8BE3-A3D4750C42C6}">
      <text>
        <r>
          <rPr>
            <b/>
            <sz val="9"/>
            <color indexed="81"/>
            <rFont val="Tahoma"/>
            <family val="2"/>
          </rPr>
          <t xml:space="preserve">Inscrire les revenus locatifs NETS soit, après dépenses (assurance, intérêts, taxes foncières, etc.)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Jean-Francois Robert</author>
  </authors>
  <commentList>
    <comment ref="B4" authorId="0" shapeId="0" xr:uid="{84CAABD2-08A3-4066-8904-BABC32BBF4FC}">
      <text>
        <r>
          <rPr>
            <b/>
            <sz val="9"/>
            <color indexed="81"/>
            <rFont val="Tahoma"/>
            <family val="2"/>
          </rPr>
          <t>Si vous vivez seul inscrire 1; si vous vivez en couple inscrire 2</t>
        </r>
      </text>
    </comment>
    <comment ref="B8" authorId="1" shapeId="0" xr:uid="{E32D2ABC-5E3D-4D91-9082-BF8E06E0365B}">
      <text>
        <r>
          <rPr>
            <sz val="9"/>
            <color indexed="81"/>
            <rFont val="Tahoma"/>
            <family val="2"/>
          </rPr>
          <t xml:space="preserve">Vous êtes </t>
        </r>
        <r>
          <rPr>
            <b/>
            <sz val="9"/>
            <color indexed="81"/>
            <rFont val="Tahoma"/>
            <family val="2"/>
          </rPr>
          <t>salarié,</t>
        </r>
        <r>
          <rPr>
            <sz val="9"/>
            <color indexed="81"/>
            <rFont val="Tahoma"/>
            <family val="2"/>
          </rPr>
          <t xml:space="preserve"> inscrire votre revenu actuel
Vous êtes déjà </t>
        </r>
        <r>
          <rPr>
            <b/>
            <sz val="9"/>
            <color indexed="81"/>
            <rFont val="Tahoma"/>
            <family val="2"/>
          </rPr>
          <t>retraité</t>
        </r>
        <r>
          <rPr>
            <sz val="9"/>
            <color indexed="81"/>
            <rFont val="Tahoma"/>
            <family val="2"/>
          </rPr>
          <t xml:space="preserve">, inscrire les revenus que vous aviez juste avant la retraite.
Faites de même pour le conjoint s'il y a lieu.
</t>
        </r>
      </text>
    </comment>
    <comment ref="B9" authorId="2" shapeId="0" xr:uid="{D086C6B5-705B-4899-91C0-8938A5A3C11E}">
      <text>
        <r>
          <rPr>
            <b/>
            <sz val="9"/>
            <color indexed="81"/>
            <rFont val="Tahoma"/>
            <family val="2"/>
          </rPr>
          <t>Si vous êtes déjà retraités et recevez la PSV, veuillez inscrire le montant officiel</t>
        </r>
      </text>
    </comment>
    <comment ref="C9" authorId="2" shapeId="0" xr:uid="{1117388F-0CEE-4FF4-B022-97650BC2A9CA}">
      <text>
        <r>
          <rPr>
            <b/>
            <sz val="9"/>
            <color indexed="81"/>
            <rFont val="Tahoma"/>
            <family val="2"/>
          </rPr>
          <t>Si vous êtes déjà retraités et recevez la PSV, veuillez inscrire le montant officiel</t>
        </r>
      </text>
    </comment>
    <comment ref="B10" authorId="0" shapeId="0" xr:uid="{9B8D9328-DE24-4D32-AFA5-8E5AE98FB31A}">
      <text>
        <r>
          <rPr>
            <b/>
            <sz val="9"/>
            <color indexed="81"/>
            <rFont val="Tahoma"/>
            <family val="2"/>
          </rPr>
          <t>Inscrivez le montant réel de votre rente annuelle au RRQ si disponible</t>
        </r>
      </text>
    </comment>
    <comment ref="C10" authorId="0" shapeId="0" xr:uid="{144E4164-A0EC-429D-AEF0-2F2C8411D438}">
      <text>
        <r>
          <rPr>
            <b/>
            <sz val="9"/>
            <color indexed="81"/>
            <rFont val="Tahoma"/>
            <family val="2"/>
          </rPr>
          <t>Inscrivez le montant réel de la rente annuelle de votre conjoint au RRQ si disponible</t>
        </r>
      </text>
    </comment>
    <comment ref="B11" authorId="1" shapeId="0" xr:uid="{5150CE83-5592-4AA4-A943-19B06BBC285B}">
      <text>
        <r>
          <rPr>
            <b/>
            <sz val="9"/>
            <color indexed="81"/>
            <rFont val="Tahoma"/>
            <family val="2"/>
          </rPr>
          <t>Inscrire le montant actuel de vos frais médicaux, excluant le coût de votre régime d'assurance</t>
        </r>
      </text>
    </comment>
    <comment ref="B12" authorId="1" shapeId="0" xr:uid="{57AD3598-15AC-4782-B234-B9FB2AE4EA2A}">
      <text>
        <r>
          <rPr>
            <b/>
            <sz val="9"/>
            <color indexed="81"/>
            <rFont val="Tahoma"/>
            <family val="2"/>
          </rPr>
          <t>Presque tous les travailleurs devront, à partir de 65 ans, payer la cotisation à la RAMQ !</t>
        </r>
      </text>
    </comment>
    <comment ref="E13" authorId="1" shapeId="0" xr:uid="{816A3E39-7B0C-4D8B-8D4C-15D0E1E859CD}">
      <text>
        <r>
          <rPr>
            <b/>
            <sz val="9"/>
            <color indexed="81"/>
            <rFont val="Tahoma"/>
            <family val="2"/>
          </rPr>
          <t>Généralement, il est question d'un taux de remplacement du revenu préretraite de 60%, 70% ou 80%. 
Ici, je vous suggère de comparer le taux que vous visiez avec ce taux OPTIMAL situé juste à côté (F10)</t>
        </r>
        <r>
          <rPr>
            <sz val="9"/>
            <color indexed="81"/>
            <rFont val="Tahoma"/>
            <family val="2"/>
          </rPr>
          <t xml:space="preserve">
</t>
        </r>
      </text>
    </comment>
    <comment ref="B14" authorId="1" shapeId="0" xr:uid="{6139A317-0D55-4425-AB44-240CA614C7B7}">
      <text>
        <r>
          <rPr>
            <b/>
            <sz val="9"/>
            <color indexed="81"/>
            <rFont val="Tahoma"/>
            <family val="2"/>
          </rPr>
          <t xml:space="preserve">Normalement, ce calcul se fait automatiquement, en fonction tu taux visé (E10), par contre si vous désirez voir l'incidence de votre retrait FERR, vous pouvez l'inscrire ici. </t>
        </r>
      </text>
    </comment>
    <comment ref="B15" authorId="2" shapeId="0" xr:uid="{A32B1455-E9BD-4674-9B1D-C717914019CB}">
      <text>
        <r>
          <rPr>
            <b/>
            <sz val="9"/>
            <color indexed="81"/>
            <rFont val="Tahoma"/>
            <family val="2"/>
          </rPr>
          <t xml:space="preserve">Si vous bénéficiez d'un régime de pension d'un employeur ou ex-employeur, inscrire le montant que vous devriez recevoir à partir de 65 ans.
</t>
        </r>
      </text>
    </comment>
    <comment ref="C15" authorId="2" shapeId="0" xr:uid="{FB975091-1E31-4B7A-808F-967665834827}">
      <text>
        <r>
          <rPr>
            <b/>
            <sz val="9"/>
            <color indexed="81"/>
            <rFont val="Tahoma"/>
            <family val="2"/>
          </rPr>
          <t>Si vous bénéficiez d'un régime de pension d'un employeur ou ex-employeur, inscrire le montant que vous devriez recevoir à partir de 65 ans.</t>
        </r>
      </text>
    </comment>
    <comment ref="B16" authorId="2" shapeId="0" xr:uid="{7B90400A-DDA2-4C47-A47B-9E6B0DCEF92F}">
      <text>
        <r>
          <rPr>
            <b/>
            <sz val="9"/>
            <color indexed="81"/>
            <rFont val="Tahoma"/>
            <family val="2"/>
          </rPr>
          <t>La majorité des régimes de pension n'offre qu'une indexation partielle par rapport à l'inflation. Si votre régime offre une pleine indexation, comme chez Hydro Québec, inscrire 100</t>
        </r>
      </text>
    </comment>
    <comment ref="B17" authorId="2" shapeId="0" xr:uid="{62FB56B2-7515-466F-BA16-09A2C795DEDE}">
      <text>
        <r>
          <rPr>
            <b/>
            <sz val="9"/>
            <color indexed="81"/>
            <rFont val="Tahoma"/>
            <family val="2"/>
          </rPr>
          <t xml:space="preserve">Inscrire les revenus locatifs NETS soit, après dépenses (assurance, intérêts, taxes foncières, etc.)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Jean-Francois Robert</author>
  </authors>
  <commentList>
    <comment ref="B4" authorId="0" shapeId="0" xr:uid="{343D9C26-9F15-4D39-8AB1-78F5D8E60432}">
      <text>
        <r>
          <rPr>
            <b/>
            <sz val="9"/>
            <color indexed="81"/>
            <rFont val="Tahoma"/>
            <family val="2"/>
          </rPr>
          <t>Si vous vivez seul inscrire 1; si vous vivez en couple inscrire 2</t>
        </r>
      </text>
    </comment>
    <comment ref="B8" authorId="1" shapeId="0" xr:uid="{112FFAA0-4DC2-4BA6-8582-8EAA38AFA14B}">
      <text>
        <r>
          <rPr>
            <sz val="9"/>
            <color indexed="81"/>
            <rFont val="Tahoma"/>
            <family val="2"/>
          </rPr>
          <t xml:space="preserve">Vous êtes </t>
        </r>
        <r>
          <rPr>
            <b/>
            <sz val="9"/>
            <color indexed="81"/>
            <rFont val="Tahoma"/>
            <family val="2"/>
          </rPr>
          <t>salarié,</t>
        </r>
        <r>
          <rPr>
            <sz val="9"/>
            <color indexed="81"/>
            <rFont val="Tahoma"/>
            <family val="2"/>
          </rPr>
          <t xml:space="preserve"> inscrire votre revenu actuel
Vous êtes déjà </t>
        </r>
        <r>
          <rPr>
            <b/>
            <sz val="9"/>
            <color indexed="81"/>
            <rFont val="Tahoma"/>
            <family val="2"/>
          </rPr>
          <t>retraité</t>
        </r>
        <r>
          <rPr>
            <sz val="9"/>
            <color indexed="81"/>
            <rFont val="Tahoma"/>
            <family val="2"/>
          </rPr>
          <t xml:space="preserve">, inscrire les revenus que vous aviez juste avant la retraite.
Faites de même pour le conjoint s'il y a lieu.
</t>
        </r>
      </text>
    </comment>
    <comment ref="B9" authorId="2" shapeId="0" xr:uid="{7AB54BC1-29AC-475E-B860-32024FFA213A}">
      <text>
        <r>
          <rPr>
            <b/>
            <sz val="9"/>
            <color indexed="81"/>
            <rFont val="Tahoma"/>
            <family val="2"/>
          </rPr>
          <t>Si vous êtes déjà retraités et recevez la PSV, veuillez inscrire le montant officiel</t>
        </r>
      </text>
    </comment>
    <comment ref="C9" authorId="2" shapeId="0" xr:uid="{EBDDE251-DFBF-42DD-A9EA-C8385F52814D}">
      <text>
        <r>
          <rPr>
            <b/>
            <sz val="9"/>
            <color indexed="81"/>
            <rFont val="Tahoma"/>
            <family val="2"/>
          </rPr>
          <t>Si vous êtes déjà retraités et recevez la PSV, veuillez inscrire le montant officiel</t>
        </r>
      </text>
    </comment>
    <comment ref="B10" authorId="0" shapeId="0" xr:uid="{EA583218-20D4-42BD-9DFC-82213BA39B73}">
      <text>
        <r>
          <rPr>
            <b/>
            <sz val="9"/>
            <color indexed="81"/>
            <rFont val="Tahoma"/>
            <family val="2"/>
          </rPr>
          <t>Inscrivez le montant réel de votre rente annuelle au RRQ si disponible</t>
        </r>
      </text>
    </comment>
    <comment ref="C10" authorId="0" shapeId="0" xr:uid="{C11523A9-5E2E-4963-85EF-7FB43EB73F9E}">
      <text>
        <r>
          <rPr>
            <b/>
            <sz val="9"/>
            <color indexed="81"/>
            <rFont val="Tahoma"/>
            <family val="2"/>
          </rPr>
          <t>Inscrivez le montant réel de la rente annuelle de votre conjoint au RRQ si disponible</t>
        </r>
      </text>
    </comment>
    <comment ref="B11" authorId="1" shapeId="0" xr:uid="{436D775F-7801-480B-9DC4-BCABD9604F08}">
      <text>
        <r>
          <rPr>
            <b/>
            <sz val="9"/>
            <color indexed="81"/>
            <rFont val="Tahoma"/>
            <family val="2"/>
          </rPr>
          <t>Inscrire le montant actuel de vos frais médicaux, excluant le coût de votre régime d'assurance</t>
        </r>
      </text>
    </comment>
    <comment ref="B12" authorId="1" shapeId="0" xr:uid="{C7E62ADB-505C-4FC7-9FE1-6758887F6C00}">
      <text>
        <r>
          <rPr>
            <b/>
            <sz val="9"/>
            <color indexed="81"/>
            <rFont val="Tahoma"/>
            <family val="2"/>
          </rPr>
          <t>Presque tous les travailleurs devront, à partir de 65 ans, payer la cotisation à la RAMQ !</t>
        </r>
      </text>
    </comment>
    <comment ref="E13" authorId="1" shapeId="0" xr:uid="{144E8655-3DE3-45D4-BE8C-955E567B498B}">
      <text>
        <r>
          <rPr>
            <b/>
            <sz val="9"/>
            <color indexed="81"/>
            <rFont val="Tahoma"/>
            <family val="2"/>
          </rPr>
          <t>Généralement, il est question d'un taux de remplacement du revenu préretraite de 60%, 70% ou 80%. 
Ici, je vous suggère de comparer le taux que vous visiez avec ce taux OPTIMAL situé juste à côté (F10)</t>
        </r>
        <r>
          <rPr>
            <sz val="9"/>
            <color indexed="81"/>
            <rFont val="Tahoma"/>
            <family val="2"/>
          </rPr>
          <t xml:space="preserve">
</t>
        </r>
      </text>
    </comment>
    <comment ref="B14" authorId="1" shapeId="0" xr:uid="{8968A85E-8EBA-4D70-ACC0-113684E74575}">
      <text>
        <r>
          <rPr>
            <b/>
            <sz val="9"/>
            <color indexed="81"/>
            <rFont val="Tahoma"/>
            <family val="2"/>
          </rPr>
          <t xml:space="preserve">Normalement, ce calcul se fait automatiquement, en fonction tu taux visé (E10), par contre si vous désirez voir l'incidence de votre retrait FERR, vous pouvez l'inscrire ici. </t>
        </r>
      </text>
    </comment>
    <comment ref="B15" authorId="2" shapeId="0" xr:uid="{421DC745-99C2-4961-B59E-A490EC0BCC0B}">
      <text>
        <r>
          <rPr>
            <b/>
            <sz val="9"/>
            <color indexed="81"/>
            <rFont val="Tahoma"/>
            <family val="2"/>
          </rPr>
          <t xml:space="preserve">Si vous bénéficiez d'un régime de pension d'un employeur ou ex-employeur, inscrire le montant que vous devriez recevoir à partir de 65 ans.
</t>
        </r>
      </text>
    </comment>
    <comment ref="C15" authorId="2" shapeId="0" xr:uid="{B8B90485-181E-4B04-B620-3D6DCAC122AA}">
      <text>
        <r>
          <rPr>
            <b/>
            <sz val="9"/>
            <color indexed="81"/>
            <rFont val="Tahoma"/>
            <family val="2"/>
          </rPr>
          <t>Si vous bénéficiez d'un régime de pension d'un employeur ou ex-employeur, inscrire le montant que vous devriez recevoir à partir de 65 ans.</t>
        </r>
      </text>
    </comment>
    <comment ref="B16" authorId="2" shapeId="0" xr:uid="{A6BFA5E5-5CA8-41BF-B10E-8175FE8DC58E}">
      <text>
        <r>
          <rPr>
            <b/>
            <sz val="9"/>
            <color indexed="81"/>
            <rFont val="Tahoma"/>
            <family val="2"/>
          </rPr>
          <t>La majorité des régimes de pension n'offre qu'une indexation partielle par rapport à l'inflation. Si votre régime offre une pleine indexation, comme chez Hydro Québec, inscrire 100</t>
        </r>
      </text>
    </comment>
    <comment ref="B17" authorId="2" shapeId="0" xr:uid="{4237EA7F-4DC6-454C-BB55-3C3D737815E8}">
      <text>
        <r>
          <rPr>
            <b/>
            <sz val="9"/>
            <color indexed="81"/>
            <rFont val="Tahoma"/>
            <family val="2"/>
          </rPr>
          <t xml:space="preserve">Inscrire les revenus locatifs NETS soit, après dépenses (assurance, intérêts, taxes foncières, etc.)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Jean-Francois Robert</author>
  </authors>
  <commentList>
    <comment ref="B4" authorId="0" shapeId="0" xr:uid="{5C601153-A25D-4FDB-A2F1-0294A6A11EA3}">
      <text>
        <r>
          <rPr>
            <b/>
            <sz val="9"/>
            <color indexed="81"/>
            <rFont val="Tahoma"/>
            <family val="2"/>
          </rPr>
          <t>Si vous vivez seul inscrire 1; si vous vivez en couple inscrire 2</t>
        </r>
      </text>
    </comment>
    <comment ref="B8" authorId="1" shapeId="0" xr:uid="{A8A9F922-C9F2-495A-ACD4-3DE292F4961A}">
      <text>
        <r>
          <rPr>
            <sz val="9"/>
            <color indexed="81"/>
            <rFont val="Tahoma"/>
            <family val="2"/>
          </rPr>
          <t xml:space="preserve">Vous êtes </t>
        </r>
        <r>
          <rPr>
            <b/>
            <sz val="9"/>
            <color indexed="81"/>
            <rFont val="Tahoma"/>
            <family val="2"/>
          </rPr>
          <t>salarié,</t>
        </r>
        <r>
          <rPr>
            <sz val="9"/>
            <color indexed="81"/>
            <rFont val="Tahoma"/>
            <family val="2"/>
          </rPr>
          <t xml:space="preserve"> inscrire votre revenu actuel
Vous êtes déjà </t>
        </r>
        <r>
          <rPr>
            <b/>
            <sz val="9"/>
            <color indexed="81"/>
            <rFont val="Tahoma"/>
            <family val="2"/>
          </rPr>
          <t>retraité</t>
        </r>
        <r>
          <rPr>
            <sz val="9"/>
            <color indexed="81"/>
            <rFont val="Tahoma"/>
            <family val="2"/>
          </rPr>
          <t xml:space="preserve">, inscrire les revenus que vous aviez juste avant la retraite.
Faites de même pour le conjoint s'il y a lieu.
</t>
        </r>
      </text>
    </comment>
    <comment ref="B9" authorId="2" shapeId="0" xr:uid="{36ECE29D-EFCB-4858-A668-7DF9014974A7}">
      <text>
        <r>
          <rPr>
            <b/>
            <sz val="9"/>
            <color indexed="81"/>
            <rFont val="Tahoma"/>
            <family val="2"/>
          </rPr>
          <t>Si vous êtes déjà retraités et recevez la PSV, veuillez inscrire le montant officiel</t>
        </r>
      </text>
    </comment>
    <comment ref="C9" authorId="2" shapeId="0" xr:uid="{7BB7CE2C-981B-49AC-8426-A87E00E89A29}">
      <text>
        <r>
          <rPr>
            <b/>
            <sz val="9"/>
            <color indexed="81"/>
            <rFont val="Tahoma"/>
            <family val="2"/>
          </rPr>
          <t>Si vous êtes déjà retraités et recevez la PSV, veuillez inscrire le montant officiel</t>
        </r>
      </text>
    </comment>
    <comment ref="B10" authorId="0" shapeId="0" xr:uid="{42A4F55D-85D6-441C-BECF-FAB5491DF0B7}">
      <text>
        <r>
          <rPr>
            <b/>
            <sz val="9"/>
            <color indexed="81"/>
            <rFont val="Tahoma"/>
            <family val="2"/>
          </rPr>
          <t>Inscrivez le montant réel de votre rente annuelle au RRQ si disponible</t>
        </r>
      </text>
    </comment>
    <comment ref="C10" authorId="0" shapeId="0" xr:uid="{F69208BB-4DBD-4B87-BB0F-85F3B58361A6}">
      <text>
        <r>
          <rPr>
            <b/>
            <sz val="9"/>
            <color indexed="81"/>
            <rFont val="Tahoma"/>
            <family val="2"/>
          </rPr>
          <t>Inscrivez le montant réel de la rente annuelle de votre conjoint au RRQ si disponible</t>
        </r>
      </text>
    </comment>
    <comment ref="B11" authorId="1" shapeId="0" xr:uid="{B89797D3-953A-4E88-BEBF-3046BC7F79AF}">
      <text>
        <r>
          <rPr>
            <b/>
            <sz val="9"/>
            <color indexed="81"/>
            <rFont val="Tahoma"/>
            <family val="2"/>
          </rPr>
          <t>Inscrire le montant actuel de vos frais médicaux, excluant le coût de votre régime d'assurance</t>
        </r>
      </text>
    </comment>
    <comment ref="B12" authorId="1" shapeId="0" xr:uid="{EF818624-A04F-418C-B981-50A3CC33E1D1}">
      <text>
        <r>
          <rPr>
            <b/>
            <sz val="9"/>
            <color indexed="81"/>
            <rFont val="Tahoma"/>
            <family val="2"/>
          </rPr>
          <t>Presque tous les travailleurs devront, à partir de 65 ans, payer la cotisation à la RAMQ !</t>
        </r>
      </text>
    </comment>
    <comment ref="E13" authorId="1" shapeId="0" xr:uid="{255C0C2B-7138-439C-A45B-44A664D428A1}">
      <text>
        <r>
          <rPr>
            <b/>
            <sz val="9"/>
            <color indexed="81"/>
            <rFont val="Tahoma"/>
            <family val="2"/>
          </rPr>
          <t>Généralement, il est question d'un taux de remplacement du revenu préretraite de 60%, 70% ou 80%. 
Ici, je vous suggère de comparer le taux que vous visiez avec ce taux OPTIMAL situé juste à côté (F10)</t>
        </r>
        <r>
          <rPr>
            <sz val="9"/>
            <color indexed="81"/>
            <rFont val="Tahoma"/>
            <family val="2"/>
          </rPr>
          <t xml:space="preserve">
</t>
        </r>
      </text>
    </comment>
    <comment ref="B14" authorId="1" shapeId="0" xr:uid="{E280F54B-F1FA-42ED-86AB-8FA71164BA3A}">
      <text>
        <r>
          <rPr>
            <b/>
            <sz val="9"/>
            <color indexed="81"/>
            <rFont val="Tahoma"/>
            <family val="2"/>
          </rPr>
          <t xml:space="preserve">Normalement, ce calcul se fait automatiquement, en fonction tu taux visé (E10), par contre si vous désirez voir l'incidence de votre retrait FERR, vous pouvez l'inscrire ici. </t>
        </r>
      </text>
    </comment>
    <comment ref="B15" authorId="2" shapeId="0" xr:uid="{EB0E3E69-898D-4BF3-826F-5FA1EA264A11}">
      <text>
        <r>
          <rPr>
            <b/>
            <sz val="9"/>
            <color indexed="81"/>
            <rFont val="Tahoma"/>
            <family val="2"/>
          </rPr>
          <t xml:space="preserve">Si vous bénéficiez d'un régime de pension d'un employeur ou ex-employeur, inscrire le montant que vous devriez recevoir à partir de 65 ans.
</t>
        </r>
      </text>
    </comment>
    <comment ref="C15" authorId="2" shapeId="0" xr:uid="{8C81CB52-D8EC-4C55-B26A-64021D9F3B9B}">
      <text>
        <r>
          <rPr>
            <b/>
            <sz val="9"/>
            <color indexed="81"/>
            <rFont val="Tahoma"/>
            <family val="2"/>
          </rPr>
          <t>Si vous bénéficiez d'un régime de pension d'un employeur ou ex-employeur, inscrire le montant que vous devriez recevoir à partir de 65 ans.</t>
        </r>
      </text>
    </comment>
    <comment ref="B16" authorId="2" shapeId="0" xr:uid="{0E4F6D06-1762-445B-A4C0-7C8379B47193}">
      <text>
        <r>
          <rPr>
            <b/>
            <sz val="9"/>
            <color indexed="81"/>
            <rFont val="Tahoma"/>
            <family val="2"/>
          </rPr>
          <t>La majorité des régimes de pension n'offre qu'une indexation partielle par rapport à l'inflation. Si votre régime offre une pleine indexation, comme chez Hydro Québec, inscrire 100</t>
        </r>
      </text>
    </comment>
    <comment ref="B17" authorId="2" shapeId="0" xr:uid="{95F4FB51-1C59-42DA-853E-D78751315A20}">
      <text>
        <r>
          <rPr>
            <b/>
            <sz val="9"/>
            <color indexed="81"/>
            <rFont val="Tahoma"/>
            <family val="2"/>
          </rPr>
          <t xml:space="preserve">Inscrire les revenus locatifs NETS soit, après dépenses (assurance, intérêts, taxes foncières, etc.)
</t>
        </r>
      </text>
    </comment>
  </commentList>
</comments>
</file>

<file path=xl/sharedStrings.xml><?xml version="1.0" encoding="utf-8"?>
<sst xmlns="http://schemas.openxmlformats.org/spreadsheetml/2006/main" count="1587" uniqueCount="493">
  <si>
    <t>Table d'impôt des particuliers (Canada)</t>
  </si>
  <si>
    <t>Taux d'imposition</t>
  </si>
  <si>
    <t>Après abattement</t>
  </si>
  <si>
    <t>De</t>
  </si>
  <si>
    <t xml:space="preserve">à </t>
  </si>
  <si>
    <t>Pourcentage</t>
  </si>
  <si>
    <t>Montant</t>
  </si>
  <si>
    <t>Table d'impôt des particuliers (Québec)</t>
  </si>
  <si>
    <t>Pourcent</t>
  </si>
  <si>
    <t>Crédits en raison de l'âge</t>
  </si>
  <si>
    <t>Seuil limite</t>
  </si>
  <si>
    <t>Montant pour revenu retraite</t>
  </si>
  <si>
    <t>Montant pour personne vivant seule</t>
  </si>
  <si>
    <t>Montant en raison de l'âge</t>
  </si>
  <si>
    <t>Crédits de base</t>
  </si>
  <si>
    <t>Crédits frais médicaux</t>
  </si>
  <si>
    <t>Revenu 2</t>
  </si>
  <si>
    <t>Frais médicaux</t>
  </si>
  <si>
    <t>RAMQ</t>
  </si>
  <si>
    <t>Pers. Seule</t>
  </si>
  <si>
    <t>Couple</t>
  </si>
  <si>
    <t>Coûts max</t>
  </si>
  <si>
    <t>Déduction de base</t>
  </si>
  <si>
    <t xml:space="preserve">Déduction suppl. si 1 enfant </t>
  </si>
  <si>
    <t xml:space="preserve">Déduction suppl. si 2 enfants et + </t>
  </si>
  <si>
    <t>Taux pour particulier si revenu &lt; 5000</t>
  </si>
  <si>
    <t>Taux pour particulier si revenu &gt; 5000</t>
  </si>
  <si>
    <t>Montant de base si revenu &gt; 5000</t>
  </si>
  <si>
    <t>Montant de la cotisation 6 premiers mois</t>
  </si>
  <si>
    <t>Montant de la cotisation 6 derniers mois</t>
  </si>
  <si>
    <t>Cotisation maximale</t>
  </si>
  <si>
    <t>SRG</t>
  </si>
  <si>
    <t>Montant max</t>
  </si>
  <si>
    <t>Seuil  max</t>
  </si>
  <si>
    <t>Revenu excédentaire</t>
  </si>
  <si>
    <t>FSS</t>
  </si>
  <si>
    <t>TPS</t>
  </si>
  <si>
    <t>Crédit solidarité</t>
  </si>
  <si>
    <t>Seuil réduction</t>
  </si>
  <si>
    <t xml:space="preserve">PSV </t>
  </si>
  <si>
    <t>Conj #1</t>
  </si>
  <si>
    <t>Conj #2</t>
  </si>
  <si>
    <t>REER</t>
  </si>
  <si>
    <t>PSV</t>
  </si>
  <si>
    <t>RRQ</t>
  </si>
  <si>
    <t>FERR</t>
  </si>
  <si>
    <t>Fédéral</t>
  </si>
  <si>
    <t>Provincial</t>
  </si>
  <si>
    <t>Total des crédits</t>
  </si>
  <si>
    <t>Impôt sur le revenu</t>
  </si>
  <si>
    <t>Crédits d'impôts</t>
  </si>
  <si>
    <t xml:space="preserve">Abat du Québec </t>
  </si>
  <si>
    <t>Solde à payer</t>
  </si>
  <si>
    <t>Revenu disponible total</t>
  </si>
  <si>
    <t>Revenu désiré</t>
  </si>
  <si>
    <t>TEMI correspondant</t>
  </si>
  <si>
    <t>Hypothèses :</t>
  </si>
  <si>
    <t>CELI</t>
  </si>
  <si>
    <t xml:space="preserve">   Montant à investir brut</t>
  </si>
  <si>
    <t xml:space="preserve">   Montant à investir net</t>
  </si>
  <si>
    <t xml:space="preserve">   Valeur à la retraite</t>
  </si>
  <si>
    <t xml:space="preserve">Valeur accumulée </t>
  </si>
  <si>
    <t>Nbre années de décaissement</t>
  </si>
  <si>
    <t>Retrait non indexé</t>
  </si>
  <si>
    <t>Solde / (déficit) à 92 ans</t>
  </si>
  <si>
    <t>Année</t>
  </si>
  <si>
    <t>Vivez-vous seul (1) ou en couple (2)</t>
  </si>
  <si>
    <t>Conjoint #1</t>
  </si>
  <si>
    <t>conjoint #2</t>
  </si>
  <si>
    <t>Total</t>
  </si>
  <si>
    <t>Frais médicaux (autres que RAMQ)</t>
  </si>
  <si>
    <t>Crédits #1</t>
  </si>
  <si>
    <t>Revenus 1</t>
  </si>
  <si>
    <t>Revenus 2</t>
  </si>
  <si>
    <t>CELi</t>
  </si>
  <si>
    <t>VS RRQ</t>
  </si>
  <si>
    <t xml:space="preserve">Revenus imposables </t>
  </si>
  <si>
    <t>Revenus imposables du ménage</t>
  </si>
  <si>
    <t>Revenus avant la retraite</t>
  </si>
  <si>
    <t>Crédits d'impôt personnel</t>
  </si>
  <si>
    <t>Montant en raison âge conj 1&amp;2</t>
  </si>
  <si>
    <t>Déclarations de revenus</t>
  </si>
  <si>
    <t xml:space="preserve">Revenus bruts de retraite désirés </t>
  </si>
  <si>
    <t xml:space="preserve">   Économie d'impôt réelle</t>
  </si>
  <si>
    <t>Écart</t>
  </si>
  <si>
    <t xml:space="preserve">   Nombre d'années d'investissement</t>
  </si>
  <si>
    <t xml:space="preserve">   Rendement (phase accumulation)</t>
  </si>
  <si>
    <t>Retrait du CELI pour revenus égaux</t>
  </si>
  <si>
    <t xml:space="preserve">   Taux d'économies REER</t>
  </si>
  <si>
    <t>Comparaison de l’investissement nécessaire pour atteindre le même capital de retraite à l’âge de 65 ans</t>
  </si>
  <si>
    <t>Âge du début</t>
  </si>
  <si>
    <t>Valeur finale</t>
  </si>
  <si>
    <t>Effort supplémentaire</t>
  </si>
  <si>
    <t>Investissement total</t>
  </si>
  <si>
    <t>Taux de rendement</t>
  </si>
  <si>
    <t>Montant à accumuler</t>
  </si>
  <si>
    <t>Taux de décaissement</t>
  </si>
  <si>
    <t>Taux d'inflation</t>
  </si>
  <si>
    <t>Nbre années retraite</t>
  </si>
  <si>
    <t>Rendement net d'inflation</t>
  </si>
  <si>
    <t>jusqu'à</t>
  </si>
  <si>
    <t>Rentes du RRQ estimées ou réelles</t>
  </si>
  <si>
    <t>Répartition revenus entre conjoints</t>
  </si>
  <si>
    <t>Conjoint #2</t>
  </si>
  <si>
    <t>Fractionne</t>
  </si>
  <si>
    <t>TEMI actuel</t>
  </si>
  <si>
    <t>Visé</t>
  </si>
  <si>
    <t>Revenus imposables à privilégier &gt; 65 ans :</t>
  </si>
  <si>
    <t xml:space="preserve">Prime au travail (Québec) </t>
  </si>
  <si>
    <t>Seule</t>
  </si>
  <si>
    <t>Revenus de travail exclus</t>
  </si>
  <si>
    <t>Taux du crédit d'impôt</t>
  </si>
  <si>
    <t>Prime maximale</t>
  </si>
  <si>
    <t>Prime maximale selon revenu</t>
  </si>
  <si>
    <t>Réduction</t>
  </si>
  <si>
    <t xml:space="preserve">     Seuil de réduction</t>
  </si>
  <si>
    <t xml:space="preserve">     Taux de réduction</t>
  </si>
  <si>
    <t>Seuil de sortie 2018</t>
  </si>
  <si>
    <t xml:space="preserve">Taux de base </t>
  </si>
  <si>
    <t>Seuil pour prime maximale</t>
  </si>
  <si>
    <t>Seuil de sortie</t>
  </si>
  <si>
    <t xml:space="preserve">Seuil limite RAMQ </t>
  </si>
  <si>
    <t>Crédit Legault</t>
  </si>
  <si>
    <t>Crédit max</t>
  </si>
  <si>
    <t>TEMI à partir de 70 ans</t>
  </si>
  <si>
    <t>TEMI de 65 à 69 ans</t>
  </si>
  <si>
    <t>Revenus disponible après 70 ans</t>
  </si>
  <si>
    <t>Crédit remboursable Legault</t>
  </si>
  <si>
    <t>Nouveau TEMI (à partir de 70 ans)</t>
  </si>
  <si>
    <t>Revenu disponible total vs réalité 65 ans</t>
  </si>
  <si>
    <t>Seuil boni 75%</t>
  </si>
  <si>
    <t>Seuil fin boni 75%</t>
  </si>
  <si>
    <t>Seuil limite PSV</t>
  </si>
  <si>
    <t>Remboursement PSV</t>
  </si>
  <si>
    <t>Pension de la Sécurité Vieillesse (PSV)</t>
  </si>
  <si>
    <t>Cotisation(s) à la RAMQ en 2020</t>
  </si>
  <si>
    <t>Retraits FERR en 2021</t>
  </si>
  <si>
    <t>CELI vs taux de remplacement visé</t>
  </si>
  <si>
    <t>REER vs taux de remplacement visé</t>
  </si>
  <si>
    <t>Régime de pension à partir 65 ans</t>
  </si>
  <si>
    <t>Seuils importants pour fractionnement optimal</t>
  </si>
  <si>
    <t>Seuil 3e palier féd</t>
  </si>
  <si>
    <t>Seuil 2e palier féd</t>
  </si>
  <si>
    <t>Seuil rembour. PSV</t>
  </si>
  <si>
    <t>Seuil 1er palier féd</t>
  </si>
  <si>
    <t>Seuil crédtit âge féd</t>
  </si>
  <si>
    <t>Seuil impôt mini pers</t>
  </si>
  <si>
    <t>Seuil impôt min fam.</t>
  </si>
  <si>
    <t>FSS limite</t>
  </si>
  <si>
    <t>Seuil 3e paliers Q</t>
  </si>
  <si>
    <t>Seuil 2e palier Q</t>
  </si>
  <si>
    <t>fss</t>
  </si>
  <si>
    <t>Seuil 1er palier</t>
  </si>
  <si>
    <t>Seuil impôt min</t>
  </si>
  <si>
    <t>Revenus avec FERR</t>
  </si>
  <si>
    <t>Fractionnement max</t>
  </si>
  <si>
    <t>Fractionnement idéal</t>
  </si>
  <si>
    <t>Impôt à payer</t>
  </si>
  <si>
    <t>Montant en raison âge</t>
  </si>
  <si>
    <t>Crédit frais médicaux</t>
  </si>
  <si>
    <t>Revenus sans FERR</t>
  </si>
  <si>
    <t>optimal #1</t>
  </si>
  <si>
    <t>Revenus de retraite 2021</t>
  </si>
  <si>
    <t>Rendement réel (après inflation)</t>
  </si>
  <si>
    <t>CELI &amp; RPA</t>
  </si>
  <si>
    <t>Ajout retraits FERR</t>
  </si>
  <si>
    <t>RPA/FERR</t>
  </si>
  <si>
    <t>Optimisation de la retraite  (selon la réalité fiscale de 2021)</t>
  </si>
  <si>
    <t>Déductions vs revenus Pension conj 1&amp;2</t>
  </si>
  <si>
    <t>Crédit d'impôt pour soutien aux ainés</t>
  </si>
  <si>
    <t>Impôts supplémentaires à payer</t>
  </si>
  <si>
    <t>Revenus imposables</t>
  </si>
  <si>
    <t>Montant maximal</t>
  </si>
  <si>
    <t>Seuil de réduction</t>
  </si>
  <si>
    <t xml:space="preserve">Fractionnement du revenu </t>
  </si>
  <si>
    <t>Cotisations annuelles</t>
  </si>
  <si>
    <t>Allocation can travailleur</t>
  </si>
  <si>
    <t>Taux de remplacement du revenu</t>
  </si>
  <si>
    <t>Revenus disponibles après 70 ans</t>
  </si>
  <si>
    <t>Revenus disponibles 65 à 69 ans</t>
  </si>
  <si>
    <t>Revenus imposable moins impôts à payer</t>
  </si>
  <si>
    <t>SRG à recevoir (juil 2022 à juin 2023)</t>
  </si>
  <si>
    <t>TPS à recevoir (juil 2022 à juin 2023)</t>
  </si>
  <si>
    <t>Crédit solidarité (juil 2022 à juin 2023)</t>
  </si>
  <si>
    <t>Régime de pension</t>
  </si>
  <si>
    <t>Indexé</t>
  </si>
  <si>
    <t>Indexé/2</t>
  </si>
  <si>
    <t>RPA</t>
  </si>
  <si>
    <t>Gains bruts de base</t>
  </si>
  <si>
    <t>Index réelle</t>
  </si>
  <si>
    <t>SRG/TPs/Solidarité</t>
  </si>
  <si>
    <t>Taux d'Indexation du régime de pension</t>
  </si>
  <si>
    <t>Revenus locatifs (s'il y a lieu)</t>
  </si>
  <si>
    <t>Locatifs</t>
  </si>
  <si>
    <t>Moyenne 30 ans</t>
  </si>
  <si>
    <t>1- Nombre d'années avant de prendre votre retraite ?</t>
  </si>
  <si>
    <t>100% placements garantis</t>
  </si>
  <si>
    <t>Portefeuille prudent</t>
  </si>
  <si>
    <t>Portefeuille modéré</t>
  </si>
  <si>
    <t>Portefeuille équilibré</t>
  </si>
  <si>
    <t>Porfefeuille confiant</t>
  </si>
  <si>
    <t>Portefeuille dynamique</t>
  </si>
  <si>
    <t>Institution financière #1</t>
  </si>
  <si>
    <t>Institution financière #2</t>
  </si>
  <si>
    <t>Investissements REER</t>
  </si>
  <si>
    <t xml:space="preserve">Investissements  CELI </t>
  </si>
  <si>
    <t>Total REER</t>
  </si>
  <si>
    <t>Total CELI</t>
  </si>
  <si>
    <t>Total non-enregis</t>
  </si>
  <si>
    <t>% actions</t>
  </si>
  <si>
    <t>Brut</t>
  </si>
  <si>
    <t>après inflation</t>
  </si>
  <si>
    <t>Rendements espérés</t>
  </si>
  <si>
    <t>Valeur actuelle des actifs</t>
  </si>
  <si>
    <t>Nombre années avant retraite</t>
  </si>
  <si>
    <t>Facteur de croissance</t>
  </si>
  <si>
    <t>Valeur BRUTE à la retraite</t>
  </si>
  <si>
    <t xml:space="preserve">Valeur NETTE à la retraite </t>
  </si>
  <si>
    <t>Gain en capital</t>
  </si>
  <si>
    <t>Rendement</t>
  </si>
  <si>
    <t>Dividendes</t>
  </si>
  <si>
    <t>Intérêts</t>
  </si>
  <si>
    <t>Gain</t>
  </si>
  <si>
    <t>dividendes</t>
  </si>
  <si>
    <t xml:space="preserve">Pondération </t>
  </si>
  <si>
    <t>Q</t>
  </si>
  <si>
    <t>S</t>
  </si>
  <si>
    <t>H</t>
  </si>
  <si>
    <t xml:space="preserve">Brut </t>
  </si>
  <si>
    <t>après impôt</t>
  </si>
  <si>
    <t>Rendement BRUT /NET</t>
  </si>
  <si>
    <t>Hors REER</t>
  </si>
  <si>
    <t>Investissements Non enregistrés</t>
  </si>
  <si>
    <t>Grand Total</t>
  </si>
  <si>
    <t>FERR ajusté</t>
  </si>
  <si>
    <t>Non enregi</t>
  </si>
  <si>
    <t>FERR AJUSTÉ</t>
  </si>
  <si>
    <t>Retrait FERR/an</t>
  </si>
  <si>
    <t>Retrait CELI</t>
  </si>
  <si>
    <t>Port CELI</t>
  </si>
  <si>
    <t>Port FERR</t>
  </si>
  <si>
    <t>nécessaire pour être indifférent entre REER et CELI</t>
  </si>
  <si>
    <t>N.B. La ligne pointillée représente le montant d'épargne REER</t>
  </si>
  <si>
    <t>&lt;65 ans</t>
  </si>
  <si>
    <t>&gt;65 ans</t>
  </si>
  <si>
    <t>Revenus &lt; 65 ans</t>
  </si>
  <si>
    <t>Régime de pension &amp;rente raccordement</t>
  </si>
  <si>
    <t>65 ans et +</t>
  </si>
  <si>
    <t>&lt; 65 ans</t>
  </si>
  <si>
    <t>Revenus  &lt; 65 ans CELI</t>
  </si>
  <si>
    <t>Âge prévu de la retraite</t>
  </si>
  <si>
    <t>Extra &lt; 65 ans</t>
  </si>
  <si>
    <t>Investissements  CELI &amp; Non enr</t>
  </si>
  <si>
    <t xml:space="preserve">Total </t>
  </si>
  <si>
    <t>Portion &gt; 65</t>
  </si>
  <si>
    <t>SRG/TPS/Crédit</t>
  </si>
  <si>
    <t>Âge actuel</t>
  </si>
  <si>
    <t>Valeur brute</t>
  </si>
  <si>
    <t>Maison unifamiiale</t>
  </si>
  <si>
    <t>Valeur nettte</t>
  </si>
  <si>
    <t xml:space="preserve">Remboursement total dans </t>
  </si>
  <si>
    <t>Paiement hypothécaire actuel</t>
  </si>
  <si>
    <t>Nbre de paiements par année</t>
  </si>
  <si>
    <t>Épargne annuelle vs régime</t>
  </si>
  <si>
    <t>Épargne/an à privilégier</t>
  </si>
  <si>
    <t>&lt;65 ans sans FERR</t>
  </si>
  <si>
    <t>Âge retraite</t>
  </si>
  <si>
    <t>TEMI actuel (optimisation)</t>
  </si>
  <si>
    <t>Fonds des travailleurs (FTQ &amp; CSN)</t>
  </si>
  <si>
    <t>Actions &amp; FNB (courtage à escompte)</t>
  </si>
  <si>
    <t>1- Quel est votre profil d'investisseur</t>
  </si>
  <si>
    <t>2- Valeur actuelle de vos investissements</t>
  </si>
  <si>
    <t>3- Autres informations</t>
  </si>
  <si>
    <t>4- Détermination de l'investissement annuel supplémentaire nécessaire</t>
  </si>
  <si>
    <t>vs régime de retraite</t>
  </si>
  <si>
    <t>Taux Inflation</t>
  </si>
  <si>
    <t>Épargne nécessaire à la retraite</t>
  </si>
  <si>
    <t>Si hypothèque</t>
  </si>
  <si>
    <t>option #2</t>
  </si>
  <si>
    <t>option #1</t>
  </si>
  <si>
    <t>CELI &amp; RPA (sans FERR)</t>
  </si>
  <si>
    <t>Revenus optimaux</t>
  </si>
  <si>
    <t>TEMI : Taux effectifs marginaux d'imposition</t>
  </si>
  <si>
    <t>Épargne additionnelle / an</t>
  </si>
  <si>
    <t>SVP Inscrire vos informations (cases jaunes)</t>
  </si>
  <si>
    <t>Si CELI</t>
  </si>
  <si>
    <t>Si REER</t>
  </si>
  <si>
    <t>Écart (%)</t>
  </si>
  <si>
    <t>Écart ($)</t>
  </si>
  <si>
    <t>Retrait annuel du CELI pour revenus égaux</t>
  </si>
  <si>
    <t>Option #1</t>
  </si>
  <si>
    <t>Option #2</t>
  </si>
  <si>
    <t>Frais reliés à la vente</t>
  </si>
  <si>
    <t xml:space="preserve">   Frais de quittance</t>
  </si>
  <si>
    <t xml:space="preserve">   Certificat de localisation</t>
  </si>
  <si>
    <t xml:space="preserve">   Pénalités hypothécaire</t>
  </si>
  <si>
    <t xml:space="preserve">   Agent immobilier</t>
  </si>
  <si>
    <t>Prix de vente</t>
  </si>
  <si>
    <t>Valeur nette de la maison</t>
  </si>
  <si>
    <t xml:space="preserve">   Frais du notaire</t>
  </si>
  <si>
    <t xml:space="preserve">   Taxes de bienvenue</t>
  </si>
  <si>
    <t xml:space="preserve">   Rénovation de certaines pièces</t>
  </si>
  <si>
    <t xml:space="preserve">   Frais de déménagement</t>
  </si>
  <si>
    <t xml:space="preserve">   Frais de décoration &amp; parures fenêtres</t>
  </si>
  <si>
    <t xml:space="preserve">   Prix d'achat</t>
  </si>
  <si>
    <t>Coûts totaux</t>
  </si>
  <si>
    <t>Taux réel</t>
  </si>
  <si>
    <t>Décaissement annuel indexé à l'inflation (%)</t>
  </si>
  <si>
    <t>Décaissement annuel indexé à l'inflation ($)</t>
  </si>
  <si>
    <t>Décaissement mensuel indexé à l'inflation</t>
  </si>
  <si>
    <t>condo</t>
  </si>
  <si>
    <t>loyer</t>
  </si>
  <si>
    <t>Cela se compare bien avec frais de</t>
  </si>
  <si>
    <t xml:space="preserve">Pour toutes ses raisons, je préfère m'abstenir d'ajouter la valeur de la maison dans les actifs. </t>
  </si>
  <si>
    <t xml:space="preserve">De plus, si nous n'avons pas suffisamment d'épargne autre que la propriété, cela obligera soit à vendre la propriété </t>
  </si>
  <si>
    <t xml:space="preserve">soit à accepter de s'endetter à nouveau via une marge de crédit hypothécaire. </t>
  </si>
  <si>
    <t>Option #3</t>
  </si>
  <si>
    <t>Condo</t>
  </si>
  <si>
    <t xml:space="preserve">1- </t>
  </si>
  <si>
    <t xml:space="preserve">2- </t>
  </si>
  <si>
    <t xml:space="preserve">3- </t>
  </si>
  <si>
    <t xml:space="preserve">4- </t>
  </si>
  <si>
    <t>Perte d'autonomie : Possiblement qu'il faudra aller en résidence pour personnes âgées</t>
  </si>
  <si>
    <t>Précisons également qu'une maison libre d'hypothèque vous offre un logement à coûts modiques.</t>
  </si>
  <si>
    <t>Manque de liquidité : Ce que l'on cherche à éviter dans une planification de retraite !</t>
  </si>
  <si>
    <t>Augmentation du coût de la vie</t>
  </si>
  <si>
    <t>Gain théorique</t>
  </si>
  <si>
    <t>Rendement potentiel de l'investissement</t>
  </si>
  <si>
    <t>Nombre d'années restantes</t>
  </si>
  <si>
    <t xml:space="preserve">Maison : Informations importantes dont il faut tenir compte </t>
  </si>
  <si>
    <t>longtemps possible et que plusieurs en profiteront pour donner une part d'héritage à leurs enfants..</t>
  </si>
  <si>
    <t>Voici maintenant les quatre principales raisons de vente :</t>
  </si>
  <si>
    <t xml:space="preserve">Une bonne planification de retraite, se doit d'être établie de façon conservatrice parce qu'il y aura </t>
  </si>
  <si>
    <t xml:space="preserve"> toujours des impondérables et nous désirons éviter à tout prix que vous surviviez à vos actifs.</t>
  </si>
  <si>
    <t>résidence</t>
  </si>
  <si>
    <t>N.B. Certes, la valeur de la maison pourrait croitre dans le temps. Toutefois, il en est de même du</t>
  </si>
  <si>
    <t xml:space="preserve">résidence </t>
  </si>
  <si>
    <t>coût de chaque option !</t>
  </si>
  <si>
    <t>Voici un exemple. À vous de déterminer votre réalité !</t>
  </si>
  <si>
    <t>Permet de déterminer ce qu'il vous manque pour atteindre votre objectif de retraite</t>
  </si>
  <si>
    <t xml:space="preserve">Informations pour graphique </t>
  </si>
  <si>
    <t>Revenus &amp; FERR</t>
  </si>
  <si>
    <t>Revenus - FERR</t>
  </si>
  <si>
    <t>Rev &lt; 65 &amp; FERR</t>
  </si>
  <si>
    <t>Retraits FERR OPTMIMAUX</t>
  </si>
  <si>
    <t>Allocation de départ</t>
  </si>
  <si>
    <t>Nbre années allocation départ</t>
  </si>
  <si>
    <t>Si &lt; 65 ans</t>
  </si>
  <si>
    <t>Si &gt; 65 ans</t>
  </si>
  <si>
    <t>Total RPA</t>
  </si>
  <si>
    <t>TEMI de 60 à 65 ans</t>
  </si>
  <si>
    <t>Revenus de retraite en $ de 2021</t>
  </si>
  <si>
    <t>Revenus &lt; 60 ans</t>
  </si>
  <si>
    <t>Revenus  &lt; 60 ans CELI</t>
  </si>
  <si>
    <t>Rev &lt; 60 &amp; FERR</t>
  </si>
  <si>
    <t>Rev &lt; 60- FERR</t>
  </si>
  <si>
    <t>Optimal #1 avec FERR</t>
  </si>
  <si>
    <t xml:space="preserve"> </t>
  </si>
  <si>
    <t>Optimal #1 sans FERR</t>
  </si>
  <si>
    <t>Optimal #1 &amp; FERR</t>
  </si>
  <si>
    <t>Optimal #1 - FERR</t>
  </si>
  <si>
    <t>Optimal #1</t>
  </si>
  <si>
    <t>sans FERR</t>
  </si>
  <si>
    <t>L'entretien et les réparations deviennent de plus en plus difficile : On se dirige vers le logement</t>
  </si>
  <si>
    <t>Valeur nette de la maison après frais de vente !</t>
  </si>
  <si>
    <t>Facteur multiplicatif</t>
  </si>
  <si>
    <t>Actifs réels qui pourraient ête ajouté à votre patrimoine</t>
  </si>
  <si>
    <t>Si vous prévoyez vivre longtemps dans votre maison, voici la bonnne façon de voir cet actif</t>
  </si>
  <si>
    <t>mais qui ne seront accesibles qu'après la vente de votre propriété !</t>
  </si>
  <si>
    <t>N.B. Ces calculs ne peuvent être fait que pour la résidence personnelle.</t>
  </si>
  <si>
    <t>Pour le chalet, il conviendrait de considérer l'impôt sur le gain en capital</t>
  </si>
  <si>
    <t>Coût mensuel du logement / résidence pers âgées</t>
  </si>
  <si>
    <t>Actifs nécessaires pour combler coûts futurs de logement</t>
  </si>
  <si>
    <t>Pour le locatif, il conviendrait de considérer la perte des revenus annuels en plus de l'impôt  à payer</t>
  </si>
  <si>
    <t>Vérification</t>
  </si>
  <si>
    <t>Actifs nécessaires</t>
  </si>
  <si>
    <t>Décaissement annuel</t>
  </si>
  <si>
    <t>Nombre années de décaissement (2 conj &gt; 65 ans)</t>
  </si>
  <si>
    <t>Âge pour cette optimisation</t>
  </si>
  <si>
    <t xml:space="preserve">CELI </t>
  </si>
  <si>
    <t>Avec Ferr</t>
  </si>
  <si>
    <t>Sans FERR</t>
  </si>
  <si>
    <t>60-65</t>
  </si>
  <si>
    <t>55-60</t>
  </si>
  <si>
    <t>Retraits FERR OPTIMAUX</t>
  </si>
  <si>
    <t>Nombre d'années en logement / résidence pour ainés</t>
  </si>
  <si>
    <t>Rendement potentiel de l'investissement vs profil investisseur</t>
  </si>
  <si>
    <t>Et bien sûr, en tout temps, pour avoir des liquidités il faudra qu'il y ait eu une vente de vos propriétés</t>
  </si>
  <si>
    <t xml:space="preserve">Rappelons tout d'abord que la majorité des retraités aimerait bien conserver leur maison le plus </t>
  </si>
  <si>
    <t xml:space="preserve">Dès qu'il y aura eu vente de votre propriété, il faudra considérer des dépenses additionnelles. </t>
  </si>
  <si>
    <t>Comment évaluer le tout dans le cadre d'une planification de la retraite ?</t>
  </si>
  <si>
    <t>Maison actuellement trop grande : Achat propriété plus petite (exemple condo)</t>
  </si>
  <si>
    <t>Frais reliés à l'achat d'une nouvelle propriété</t>
  </si>
  <si>
    <t xml:space="preserve">   Frais d'inspection</t>
  </si>
  <si>
    <t>Couples</t>
  </si>
  <si>
    <t>60-65 X2</t>
  </si>
  <si>
    <t>60-65 &amp; 55-60</t>
  </si>
  <si>
    <t>60-65 X2 - FERR</t>
  </si>
  <si>
    <t>60-65 X2 - CELI</t>
  </si>
  <si>
    <t>60-65 &amp; 55-60 - FERR</t>
  </si>
  <si>
    <t>60-65 &amp; 55-60 - CELI</t>
  </si>
  <si>
    <t>55-60 X2 - FERR</t>
  </si>
  <si>
    <t>55-60 X2 - CELI</t>
  </si>
  <si>
    <t>Montant en raison âge &amp; rev. Retraite</t>
  </si>
  <si>
    <t xml:space="preserve">Couples </t>
  </si>
  <si>
    <t>2 X 60-65</t>
  </si>
  <si>
    <t>60-65 &amp; 55-6</t>
  </si>
  <si>
    <t>N.B. Aucun fractionnement !</t>
  </si>
  <si>
    <t>Optimal actuel</t>
  </si>
  <si>
    <t>optimal act</t>
  </si>
  <si>
    <t>Optimal actuel - FERR</t>
  </si>
  <si>
    <t>Optimal actuel - CELI</t>
  </si>
  <si>
    <t>SI Fractionnement fédéral seulement !</t>
  </si>
  <si>
    <t>Conj#1</t>
  </si>
  <si>
    <t xml:space="preserve"> Si fractionnement fédéral et provincial</t>
  </si>
  <si>
    <t>Rev &lt; 65- CELI</t>
  </si>
  <si>
    <t>&lt; 65 ANS</t>
  </si>
  <si>
    <t>Actuel</t>
  </si>
  <si>
    <t>non indexé REER</t>
  </si>
  <si>
    <t>non indexé CELI</t>
  </si>
  <si>
    <t>Indexation #1</t>
  </si>
  <si>
    <t>Indexation #2</t>
  </si>
  <si>
    <t>Attention si indexation partielle RPA</t>
  </si>
  <si>
    <t>CELI &gt; 65</t>
  </si>
  <si>
    <t>Facteur multiplicatif vs remboursement hypothécaire</t>
  </si>
  <si>
    <t xml:space="preserve">Taux réel </t>
  </si>
  <si>
    <t>Taux décais</t>
  </si>
  <si>
    <t>Multiplicatif</t>
  </si>
  <si>
    <t>REER &gt; 65</t>
  </si>
  <si>
    <t>vérification</t>
  </si>
  <si>
    <t>Âge</t>
  </si>
  <si>
    <t>annuel</t>
  </si>
  <si>
    <t>Majoration de la rente</t>
  </si>
  <si>
    <t>réelle</t>
  </si>
  <si>
    <t>Théorique</t>
  </si>
  <si>
    <t>Quand commencez à retirer la rente du RRQ ?</t>
  </si>
  <si>
    <t>1ère étape : Consulter le site de Retraite Québec et cliquer sur Démarrer le Service de SimulRetraite</t>
  </si>
  <si>
    <t xml:space="preserve">Rentes annuelles </t>
  </si>
  <si>
    <t xml:space="preserve">Rente demandée à </t>
  </si>
  <si>
    <t>Réinvestissement</t>
  </si>
  <si>
    <t>Cumulatif</t>
  </si>
  <si>
    <t>$ aujourd'hui</t>
  </si>
  <si>
    <t>réel</t>
  </si>
  <si>
    <t>Moyenne</t>
  </si>
  <si>
    <t xml:space="preserve">Réinvestissement </t>
  </si>
  <si>
    <t>Cumulatif à 91 ans</t>
  </si>
  <si>
    <t>Solde début</t>
  </si>
  <si>
    <t>Croissance</t>
  </si>
  <si>
    <t>Solde fin</t>
  </si>
  <si>
    <t>Ajout rente</t>
  </si>
  <si>
    <t>Si oui, pourriez-vous attendre  au moins jusqu'à 81 ans avant de commencer à retirer ces rentes mises de côté ?</t>
  </si>
  <si>
    <t>2e étape : Pourriez-vous réinvestir la rente de 65 à 69 ans ?</t>
  </si>
  <si>
    <t>Si oui, pourriez-vous tolérer des fluctuations minimales de votre portefeuille ?</t>
  </si>
  <si>
    <t>Âge d'indifférence - Rentes brutes</t>
  </si>
  <si>
    <t xml:space="preserve">Calcul de la croissance du réinvestissement </t>
  </si>
  <si>
    <t>Cumulatif à 85 ans</t>
  </si>
  <si>
    <t>3e étape : Détermination des rentes annuelles &amp; valeur du réinvestissement des rentes de 65 à ?</t>
  </si>
  <si>
    <t>RRQ bonifié/RRQ base</t>
  </si>
  <si>
    <t>N.B. Si l'écart à  91 ans est négatif, c'est dire que le report n'apporte aucun avantage.</t>
  </si>
  <si>
    <t>L'exception à la règle : En cas d'intolérance totale au risque, le report pourrait être avantageux</t>
  </si>
  <si>
    <t>Règle générale, il faut éviter le report si le taux réel de majoration descend sous les 7,2%</t>
  </si>
  <si>
    <t xml:space="preserve">Réinvestissement des rentes du RRQ de 65 ans  à </t>
  </si>
  <si>
    <t>Aucun retrait de ces sommes avant 81 ans</t>
  </si>
  <si>
    <t>CELI additionnel nécessaire</t>
  </si>
  <si>
    <t>Réduction CELI</t>
  </si>
  <si>
    <t>Réduction REER</t>
  </si>
  <si>
    <t>Rente de pension (employeur) avant 65 ans</t>
  </si>
  <si>
    <t>&lt; 65 &amp; SRG</t>
  </si>
  <si>
    <t>REER après impôt</t>
  </si>
  <si>
    <t>CELI après Hypo</t>
  </si>
  <si>
    <t>Total hors REER</t>
  </si>
  <si>
    <t>Analyse besoin CELI</t>
  </si>
  <si>
    <t xml:space="preserve">Valeur des actifs à la retraite </t>
  </si>
  <si>
    <t>Valeur des actifs à accumuler</t>
  </si>
  <si>
    <t>Rentes de retraite de 60 à 64 ans</t>
  </si>
  <si>
    <t>Rentes de retraite de 55 à 59 ans</t>
  </si>
  <si>
    <t>Régime de pension à partir 65 ans ?</t>
  </si>
  <si>
    <t>Dépenses annuelles de</t>
  </si>
  <si>
    <t>mensuelle</t>
  </si>
  <si>
    <t>À l'opposée, plus votre tolérance au risque est élevée et plus vous devriez éviter le report.</t>
  </si>
  <si>
    <t>Vos placements pourraient croître plus que l'infation et mieux encore. Car avec de bons rendements</t>
  </si>
  <si>
    <t xml:space="preserve">certaines années vous pourriez même ne décaisser que l'équivalent de la croissance de vos placements ! </t>
  </si>
  <si>
    <t>2 X &lt; 60 - FERR</t>
  </si>
  <si>
    <t>2 X &lt; 60 - CELI</t>
  </si>
  <si>
    <t>2 X &lt; 60</t>
  </si>
  <si>
    <t>Avec FERR</t>
  </si>
  <si>
    <t>2X &lt;60</t>
  </si>
  <si>
    <t>TEMI cette optimisatin</t>
  </si>
  <si>
    <t>TEMI cette optimisation</t>
  </si>
  <si>
    <t>TEMI vs optimisation</t>
  </si>
  <si>
    <t>Inscrire vos VRAIES rentes mensuelles ci-dessous</t>
  </si>
  <si>
    <t>Alors pourquoi devriez-vous décaisser vos placements plus rapidement, juste pour l'assurance d'obtenir une</t>
  </si>
  <si>
    <t>rente indexée au coût de la vie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</si>
</sst>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0\ &quot;$&quot;_);[Red]\(#,##0\ &quot;$&quot;\)"/>
    <numFmt numFmtId="8" formatCode="#,##0.00\ &quot;$&quot;_);[Red]\(#,##0.00\ &quot;$&quot;\)"/>
    <numFmt numFmtId="164" formatCode="[$$-1009]#,##0.00"/>
    <numFmt numFmtId="165" formatCode="0.0%"/>
    <numFmt numFmtId="166" formatCode="[$$-1009]#,##0"/>
    <numFmt numFmtId="167" formatCode="0.0"/>
    <numFmt numFmtId="168" formatCode="#,##0\ &quot;$&quot;"/>
    <numFmt numFmtId="169" formatCode="#,##0\ &quot;$&quot;_-"/>
    <numFmt numFmtId="170" formatCode="#,##0.00\ &quot;$&quot;_-"/>
    <numFmt numFmtId="171" formatCode="#,##0.00\ &quot;$&quot;"/>
    <numFmt numFmtId="172" formatCode="#,##0\ _$"/>
    <numFmt numFmtId="173" formatCode="0.000%"/>
    <numFmt numFmtId="174" formatCode="_ * #,##0_)\ _$_ ;_ * \(#,##0\)\ _$_ ;_ * &quot;-&quot;_)\ _$_ ;_ @_ "/>
    <numFmt numFmtId="175" formatCode="0.0000"/>
    <numFmt numFmtId="176" formatCode="#,##0.0\ &quot;$&quot;"/>
  </numFmts>
  <fonts count="38" x14ac:knownFonts="1">
    <font>
      <sz val="11"/>
      <color theme="1"/>
      <name val="Calibri"/>
      <family val="2"/>
      <scheme val="minor"/>
    </font>
    <font>
      <b/>
      <sz val="12"/>
      <name val="Arial"/>
      <family val="2"/>
    </font>
    <font>
      <sz val="12"/>
      <name val="Helvetica"/>
      <family val="2"/>
    </font>
    <font>
      <sz val="12"/>
      <name val="Arial"/>
      <family val="2"/>
    </font>
    <font>
      <sz val="12"/>
      <color theme="1"/>
      <name val="Arial"/>
      <family val="2"/>
    </font>
    <font>
      <b/>
      <sz val="12"/>
      <color theme="1"/>
      <name val="Arial"/>
      <family val="2"/>
    </font>
    <font>
      <b/>
      <sz val="12"/>
      <name val="Helvetica"/>
      <family val="2"/>
    </font>
    <font>
      <sz val="11"/>
      <name val="Helvetica"/>
      <family val="2"/>
    </font>
    <font>
      <b/>
      <sz val="11"/>
      <name val="Arial"/>
      <family val="2"/>
    </font>
    <font>
      <sz val="11"/>
      <name val="Arial"/>
      <family val="2"/>
    </font>
    <font>
      <b/>
      <sz val="9"/>
      <color indexed="81"/>
      <name val="Tahoma"/>
      <family val="2"/>
    </font>
    <font>
      <b/>
      <sz val="16"/>
      <color theme="1"/>
      <name val="Calibri"/>
      <family val="2"/>
      <scheme val="minor"/>
    </font>
    <font>
      <sz val="16"/>
      <color rgb="FF4E3B30"/>
      <name val="Franklin Gothic Medium"/>
      <family val="2"/>
    </font>
    <font>
      <sz val="12"/>
      <color rgb="FF000000"/>
      <name val="Arial"/>
      <family val="2"/>
    </font>
    <font>
      <sz val="12"/>
      <color rgb="FF4E3B30"/>
      <name val="Arial"/>
      <family val="2"/>
    </font>
    <font>
      <sz val="12"/>
      <color theme="1"/>
      <name val="Calibri"/>
      <family val="2"/>
      <scheme val="minor"/>
    </font>
    <font>
      <b/>
      <sz val="14"/>
      <color theme="1"/>
      <name val="Calibri"/>
      <family val="2"/>
      <scheme val="minor"/>
    </font>
    <font>
      <sz val="9"/>
      <color indexed="81"/>
      <name val="Tahoma"/>
      <family val="2"/>
    </font>
    <font>
      <sz val="11"/>
      <color rgb="FFFF0000"/>
      <name val="Calibri"/>
      <family val="2"/>
      <scheme val="minor"/>
    </font>
    <font>
      <sz val="12"/>
      <color rgb="FFFF0000"/>
      <name val="Arial"/>
      <family val="2"/>
    </font>
    <font>
      <sz val="16"/>
      <color theme="1"/>
      <name val="Calibri"/>
      <family val="2"/>
      <scheme val="minor"/>
    </font>
    <font>
      <sz val="14"/>
      <color theme="1"/>
      <name val="Calibri"/>
      <family val="2"/>
      <scheme val="minor"/>
    </font>
    <font>
      <b/>
      <sz val="14"/>
      <color rgb="FF008000"/>
      <name val="Calibri"/>
      <family val="2"/>
      <scheme val="minor"/>
    </font>
    <font>
      <sz val="11"/>
      <color rgb="FF008000"/>
      <name val="Calibri"/>
      <family val="2"/>
      <scheme val="minor"/>
    </font>
    <font>
      <b/>
      <sz val="11"/>
      <color theme="1"/>
      <name val="Calibri"/>
      <family val="2"/>
      <scheme val="minor"/>
    </font>
    <font>
      <sz val="11"/>
      <color theme="1"/>
      <name val="Arial"/>
      <family val="2"/>
    </font>
    <font>
      <sz val="11"/>
      <name val="Calibri"/>
      <family val="2"/>
      <scheme val="minor"/>
    </font>
    <font>
      <b/>
      <sz val="16"/>
      <color theme="1"/>
      <name val="Arial"/>
      <family val="2"/>
    </font>
    <font>
      <b/>
      <sz val="12"/>
      <color rgb="FFEBA915"/>
      <name val="Arial"/>
      <family val="2"/>
    </font>
    <font>
      <b/>
      <sz val="14"/>
      <color rgb="FFFF0000"/>
      <name val="Calibri"/>
      <family val="2"/>
      <scheme val="minor"/>
    </font>
    <font>
      <sz val="16"/>
      <color theme="1"/>
      <name val="Arial"/>
      <family val="2"/>
    </font>
    <font>
      <b/>
      <sz val="14"/>
      <color theme="1"/>
      <name val="Arial"/>
      <family val="2"/>
    </font>
    <font>
      <i/>
      <sz val="12"/>
      <color theme="1"/>
      <name val="Arial"/>
      <family val="2"/>
    </font>
    <font>
      <i/>
      <sz val="11"/>
      <color theme="1"/>
      <name val="Calibri"/>
      <family val="2"/>
      <scheme val="minor"/>
    </font>
    <font>
      <u/>
      <sz val="11"/>
      <color theme="10"/>
      <name val="Calibri"/>
      <family val="2"/>
      <scheme val="minor"/>
    </font>
    <font>
      <b/>
      <sz val="12"/>
      <color theme="1"/>
      <name val="Calibri"/>
      <family val="2"/>
      <scheme val="minor"/>
    </font>
    <font>
      <b/>
      <sz val="11"/>
      <color theme="1"/>
      <name val="Arial"/>
      <family val="2"/>
    </font>
    <font>
      <b/>
      <sz val="12"/>
      <color rgb="FFFF0000"/>
      <name val="Calibri"/>
      <family val="2"/>
      <scheme val="minor"/>
    </font>
  </fonts>
  <fills count="23">
    <fill>
      <patternFill patternType="none"/>
    </fill>
    <fill>
      <patternFill patternType="gray125"/>
    </fill>
    <fill>
      <patternFill patternType="solid">
        <fgColor rgb="FFFFFF99"/>
        <bgColor indexed="64"/>
      </patternFill>
    </fill>
    <fill>
      <patternFill patternType="gray0625"/>
    </fill>
    <fill>
      <patternFill patternType="solid">
        <fgColor indexed="43"/>
        <bgColor indexed="64"/>
      </patternFill>
    </fill>
    <fill>
      <patternFill patternType="solid">
        <fgColor indexed="65"/>
        <bgColor indexed="64"/>
      </patternFill>
    </fill>
    <fill>
      <patternFill patternType="gray0625">
        <bgColor auto="1"/>
      </patternFill>
    </fill>
    <fill>
      <patternFill patternType="gray0625">
        <bgColor rgb="FFFFFF99"/>
      </patternFill>
    </fill>
    <fill>
      <patternFill patternType="gray0625">
        <fgColor theme="1" tint="0.499984740745262"/>
        <bgColor auto="1"/>
      </patternFill>
    </fill>
    <fill>
      <patternFill patternType="gray0625">
        <fgColor theme="1" tint="0.499984740745262"/>
        <bgColor indexed="65"/>
      </patternFill>
    </fill>
    <fill>
      <patternFill patternType="solid">
        <fgColor rgb="FFFFFF99"/>
        <bgColor theme="1" tint="0.499984740745262"/>
      </patternFill>
    </fill>
    <fill>
      <patternFill patternType="solid">
        <fgColor theme="6" tint="0.39994506668294322"/>
        <bgColor indexed="64"/>
      </patternFill>
    </fill>
    <fill>
      <patternFill patternType="gray0625">
        <fgColor theme="1" tint="0.499984740745262"/>
        <bgColor theme="6" tint="0.39994506668294322"/>
      </patternFill>
    </fill>
    <fill>
      <patternFill patternType="solid">
        <fgColor rgb="FFFFC000"/>
        <bgColor indexed="64"/>
      </patternFill>
    </fill>
    <fill>
      <patternFill patternType="solid">
        <fgColor rgb="FF47CFFF"/>
        <bgColor indexed="64"/>
      </patternFill>
    </fill>
    <fill>
      <patternFill patternType="solid">
        <fgColor rgb="FF92D050"/>
        <bgColor indexed="64"/>
      </patternFill>
    </fill>
    <fill>
      <patternFill patternType="gray0625">
        <fgColor theme="1" tint="0.499984740745262"/>
        <bgColor rgb="FFFFFF99"/>
      </patternFill>
    </fill>
    <fill>
      <patternFill patternType="solid">
        <fgColor rgb="FF3FCDFF"/>
        <bgColor indexed="64"/>
      </patternFill>
    </fill>
    <fill>
      <patternFill patternType="solid">
        <fgColor theme="5" tint="0.39994506668294322"/>
        <bgColor indexed="64"/>
      </patternFill>
    </fill>
    <fill>
      <patternFill patternType="solid">
        <fgColor theme="1"/>
        <bgColor indexed="64"/>
      </patternFill>
    </fill>
    <fill>
      <patternFill patternType="gray0625">
        <fgColor theme="1" tint="0.499984740745262"/>
        <bgColor rgb="FF3FCDFF"/>
      </patternFill>
    </fill>
    <fill>
      <patternFill patternType="gray0625">
        <fgColor theme="1" tint="0.499984740745262"/>
        <bgColor rgb="FFFFC000"/>
      </patternFill>
    </fill>
    <fill>
      <patternFill patternType="solid">
        <fgColor rgb="FF92D050"/>
        <bgColor theme="1" tint="0.499984740745262"/>
      </patternFill>
    </fill>
  </fills>
  <borders count="89">
    <border>
      <left/>
      <right/>
      <top/>
      <bottom/>
      <diagonal/>
    </border>
    <border>
      <left style="medium">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thin">
        <color indexed="64"/>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medium">
        <color auto="1"/>
      </left>
      <right style="medium">
        <color auto="1"/>
      </right>
      <top style="thin">
        <color auto="1"/>
      </top>
      <bottom style="medium">
        <color auto="1"/>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auto="1"/>
      </left>
      <right/>
      <top/>
      <bottom style="medium">
        <color auto="1"/>
      </bottom>
      <diagonal/>
    </border>
    <border>
      <left style="medium">
        <color auto="1"/>
      </left>
      <right/>
      <top style="medium">
        <color auto="1"/>
      </top>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auto="1"/>
      </top>
      <bottom style="thin">
        <color auto="1"/>
      </bottom>
      <diagonal/>
    </border>
    <border>
      <left style="thin">
        <color auto="1"/>
      </left>
      <right style="thin">
        <color auto="1"/>
      </right>
      <top style="medium">
        <color auto="1"/>
      </top>
      <bottom style="medium">
        <color auto="1"/>
      </bottom>
      <diagonal/>
    </border>
    <border>
      <left style="thick">
        <color auto="1"/>
      </left>
      <right style="thick">
        <color auto="1"/>
      </right>
      <top style="thick">
        <color auto="1"/>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medium">
        <color auto="1"/>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s>
  <cellStyleXfs count="2">
    <xf numFmtId="0" fontId="0" fillId="0" borderId="0"/>
    <xf numFmtId="0" fontId="34" fillId="0" borderId="0" applyNumberFormat="0" applyFill="0" applyBorder="0" applyAlignment="0" applyProtection="0"/>
  </cellStyleXfs>
  <cellXfs count="626">
    <xf numFmtId="0" fontId="0" fillId="0" borderId="0" xfId="0"/>
    <xf numFmtId="0" fontId="4" fillId="0" borderId="0" xfId="0" applyFont="1"/>
    <xf numFmtId="164" fontId="0" fillId="0" borderId="0" xfId="0" applyNumberFormat="1"/>
    <xf numFmtId="10" fontId="0" fillId="0" borderId="0" xfId="0" applyNumberFormat="1"/>
    <xf numFmtId="2" fontId="0" fillId="0" borderId="0" xfId="0" applyNumberFormat="1"/>
    <xf numFmtId="0" fontId="3" fillId="0" borderId="0" xfId="0" applyFont="1"/>
    <xf numFmtId="0" fontId="11" fillId="0" borderId="0" xfId="0" applyFont="1"/>
    <xf numFmtId="165" fontId="0" fillId="0" borderId="0" xfId="0" applyNumberFormat="1"/>
    <xf numFmtId="0" fontId="14" fillId="0" borderId="0" xfId="0" applyFont="1"/>
    <xf numFmtId="168" fontId="2" fillId="0" borderId="0" xfId="0" applyNumberFormat="1" applyFont="1" applyAlignment="1"/>
    <xf numFmtId="0" fontId="4" fillId="2" borderId="0" xfId="0" applyFont="1" applyFill="1" applyProtection="1">
      <protection locked="0"/>
    </xf>
    <xf numFmtId="166" fontId="4" fillId="2" borderId="0" xfId="0" applyNumberFormat="1" applyFont="1" applyFill="1" applyProtection="1">
      <protection locked="0"/>
    </xf>
    <xf numFmtId="0" fontId="4" fillId="2" borderId="0" xfId="0" applyFont="1" applyFill="1" applyBorder="1" applyProtection="1">
      <protection locked="0"/>
    </xf>
    <xf numFmtId="165" fontId="4" fillId="2" borderId="0" xfId="0" applyNumberFormat="1" applyFont="1" applyFill="1" applyBorder="1" applyProtection="1">
      <protection locked="0"/>
    </xf>
    <xf numFmtId="10" fontId="4" fillId="4" borderId="0" xfId="0" applyNumberFormat="1" applyFont="1" applyFill="1" applyProtection="1">
      <protection locked="0"/>
    </xf>
    <xf numFmtId="165" fontId="1" fillId="0" borderId="47" xfId="0" applyNumberFormat="1" applyFont="1" applyFill="1" applyBorder="1" applyProtection="1">
      <protection locked="0"/>
    </xf>
    <xf numFmtId="38" fontId="2" fillId="0" borderId="0" xfId="0" applyNumberFormat="1" applyFont="1" applyAlignment="1"/>
    <xf numFmtId="0" fontId="15" fillId="0" borderId="0" xfId="0" applyFont="1" applyAlignment="1">
      <alignment horizontal="center"/>
    </xf>
    <xf numFmtId="164" fontId="4" fillId="2" borderId="0" xfId="0" applyNumberFormat="1" applyFont="1" applyFill="1" applyProtection="1">
      <protection locked="0"/>
    </xf>
    <xf numFmtId="0" fontId="0" fillId="0" borderId="0" xfId="0" applyProtection="1">
      <protection locked="0"/>
    </xf>
    <xf numFmtId="0" fontId="4" fillId="0" borderId="0" xfId="0" applyFont="1" applyProtection="1">
      <protection locked="0"/>
    </xf>
    <xf numFmtId="166" fontId="4" fillId="0" borderId="0" xfId="0" applyNumberFormat="1" applyFont="1" applyProtection="1"/>
    <xf numFmtId="166" fontId="4" fillId="0" borderId="0" xfId="0" applyNumberFormat="1" applyFont="1" applyFill="1" applyProtection="1"/>
    <xf numFmtId="0" fontId="1" fillId="0" borderId="36" xfId="0" applyFont="1" applyBorder="1" applyProtection="1"/>
    <xf numFmtId="0" fontId="3" fillId="0" borderId="51" xfId="0" applyFont="1" applyBorder="1" applyProtection="1"/>
    <xf numFmtId="166" fontId="4" fillId="0" borderId="10" xfId="0" applyNumberFormat="1" applyFont="1" applyBorder="1" applyProtection="1"/>
    <xf numFmtId="166" fontId="4" fillId="0" borderId="14" xfId="0" applyNumberFormat="1" applyFont="1" applyBorder="1" applyProtection="1"/>
    <xf numFmtId="166" fontId="4" fillId="0" borderId="15" xfId="0" applyNumberFormat="1" applyFont="1" applyBorder="1" applyProtection="1"/>
    <xf numFmtId="166" fontId="4" fillId="0" borderId="19" xfId="0" applyNumberFormat="1" applyFont="1" applyBorder="1" applyProtection="1"/>
    <xf numFmtId="166" fontId="4" fillId="0" borderId="42" xfId="0" applyNumberFormat="1" applyFont="1" applyBorder="1" applyProtection="1"/>
    <xf numFmtId="166" fontId="4" fillId="0" borderId="43" xfId="0" applyNumberFormat="1" applyFont="1" applyBorder="1" applyProtection="1"/>
    <xf numFmtId="0" fontId="3" fillId="0" borderId="36" xfId="0" applyFont="1" applyBorder="1" applyProtection="1"/>
    <xf numFmtId="166" fontId="4" fillId="0" borderId="38" xfId="0" applyNumberFormat="1" applyFont="1" applyBorder="1" applyProtection="1"/>
    <xf numFmtId="166" fontId="4" fillId="0" borderId="39" xfId="0" applyNumberFormat="1" applyFont="1" applyBorder="1" applyProtection="1"/>
    <xf numFmtId="0" fontId="3" fillId="0" borderId="52" xfId="0" applyFont="1" applyBorder="1" applyProtection="1"/>
    <xf numFmtId="166" fontId="4" fillId="0" borderId="49" xfId="0" applyNumberFormat="1" applyFont="1" applyBorder="1" applyProtection="1"/>
    <xf numFmtId="166" fontId="1" fillId="0" borderId="50" xfId="0" applyNumberFormat="1" applyFont="1" applyBorder="1" applyProtection="1"/>
    <xf numFmtId="0" fontId="3" fillId="0" borderId="0" xfId="0" applyFont="1" applyProtection="1"/>
    <xf numFmtId="0" fontId="4" fillId="0" borderId="0" xfId="0" applyFont="1" applyProtection="1"/>
    <xf numFmtId="0" fontId="1" fillId="0" borderId="0" xfId="0" applyFont="1" applyProtection="1"/>
    <xf numFmtId="0" fontId="1" fillId="0" borderId="53" xfId="0" applyFont="1" applyFill="1" applyBorder="1" applyProtection="1"/>
    <xf numFmtId="0" fontId="3" fillId="0" borderId="37" xfId="0" applyFont="1" applyBorder="1" applyProtection="1"/>
    <xf numFmtId="0" fontId="3" fillId="0" borderId="41" xfId="0" applyFont="1" applyBorder="1" applyProtection="1"/>
    <xf numFmtId="166" fontId="4" fillId="0" borderId="18" xfId="0" applyNumberFormat="1" applyFont="1" applyBorder="1" applyProtection="1"/>
    <xf numFmtId="0" fontId="0" fillId="0" borderId="41" xfId="0" applyBorder="1" applyProtection="1"/>
    <xf numFmtId="166" fontId="4" fillId="0" borderId="47" xfId="0" applyNumberFormat="1" applyFont="1" applyBorder="1" applyProtection="1"/>
    <xf numFmtId="166" fontId="4" fillId="0" borderId="44" xfId="0" applyNumberFormat="1" applyFont="1" applyBorder="1" applyProtection="1"/>
    <xf numFmtId="166" fontId="4" fillId="0" borderId="40" xfId="0" applyNumberFormat="1" applyFont="1" applyBorder="1" applyProtection="1"/>
    <xf numFmtId="0" fontId="3" fillId="0" borderId="0" xfId="0" applyFont="1" applyFill="1" applyBorder="1" applyProtection="1"/>
    <xf numFmtId="166" fontId="4" fillId="0" borderId="0" xfId="0" applyNumberFormat="1" applyFont="1" applyBorder="1" applyProtection="1"/>
    <xf numFmtId="0" fontId="0" fillId="0" borderId="0" xfId="0" applyProtection="1"/>
    <xf numFmtId="166" fontId="1" fillId="0" borderId="0" xfId="0" applyNumberFormat="1" applyFont="1" applyProtection="1"/>
    <xf numFmtId="166" fontId="5" fillId="0" borderId="0" xfId="0" applyNumberFormat="1" applyFont="1" applyProtection="1"/>
    <xf numFmtId="1" fontId="4" fillId="0" borderId="0" xfId="0" applyNumberFormat="1" applyFont="1" applyProtection="1"/>
    <xf numFmtId="165" fontId="4" fillId="0" borderId="0" xfId="0" applyNumberFormat="1" applyFont="1" applyProtection="1"/>
    <xf numFmtId="0" fontId="1" fillId="5" borderId="36" xfId="0" applyFont="1" applyFill="1" applyBorder="1" applyAlignment="1" applyProtection="1">
      <alignment horizontal="left"/>
    </xf>
    <xf numFmtId="1" fontId="1" fillId="5" borderId="45" xfId="0" applyNumberFormat="1" applyFont="1" applyFill="1" applyBorder="1" applyAlignment="1" applyProtection="1">
      <alignment horizontal="center"/>
    </xf>
    <xf numFmtId="0" fontId="0" fillId="0" borderId="45" xfId="0" applyBorder="1" applyProtection="1"/>
    <xf numFmtId="1" fontId="1" fillId="5" borderId="46" xfId="0" applyNumberFormat="1" applyFont="1" applyFill="1" applyBorder="1" applyAlignment="1" applyProtection="1">
      <alignment horizontal="center"/>
    </xf>
    <xf numFmtId="15" fontId="8" fillId="5" borderId="41" xfId="0" applyNumberFormat="1" applyFont="1" applyFill="1" applyBorder="1" applyAlignment="1" applyProtection="1"/>
    <xf numFmtId="165" fontId="3" fillId="5" borderId="0" xfId="0" applyNumberFormat="1" applyFont="1" applyFill="1" applyBorder="1" applyProtection="1"/>
    <xf numFmtId="0" fontId="0" fillId="0" borderId="0" xfId="0" applyBorder="1" applyProtection="1"/>
    <xf numFmtId="0" fontId="9" fillId="5" borderId="41" xfId="0" applyFont="1" applyFill="1" applyBorder="1" applyAlignment="1" applyProtection="1"/>
    <xf numFmtId="166" fontId="3" fillId="5" borderId="0" xfId="0" applyNumberFormat="1" applyFont="1" applyFill="1" applyBorder="1" applyProtection="1"/>
    <xf numFmtId="166" fontId="3" fillId="5" borderId="47" xfId="0" applyNumberFormat="1" applyFont="1" applyFill="1" applyBorder="1" applyProtection="1"/>
    <xf numFmtId="166" fontId="1" fillId="5" borderId="0" xfId="0" applyNumberFormat="1" applyFont="1" applyFill="1" applyBorder="1" applyAlignment="1" applyProtection="1">
      <alignment horizontal="left"/>
    </xf>
    <xf numFmtId="166" fontId="3" fillId="0" borderId="0" xfId="0" applyNumberFormat="1" applyFont="1" applyFill="1" applyBorder="1" applyProtection="1"/>
    <xf numFmtId="166" fontId="3" fillId="0" borderId="47" xfId="0" applyNumberFormat="1" applyFont="1" applyFill="1" applyBorder="1" applyProtection="1"/>
    <xf numFmtId="0" fontId="4" fillId="0" borderId="0" xfId="0" applyFont="1" applyBorder="1" applyProtection="1"/>
    <xf numFmtId="0" fontId="4" fillId="0" borderId="47" xfId="0" applyFont="1" applyFill="1" applyBorder="1" applyProtection="1"/>
    <xf numFmtId="0" fontId="3" fillId="5" borderId="41" xfId="0" applyFont="1" applyFill="1" applyBorder="1" applyAlignment="1" applyProtection="1"/>
    <xf numFmtId="165" fontId="4" fillId="0" borderId="47" xfId="0" applyNumberFormat="1" applyFont="1" applyFill="1" applyBorder="1" applyProtection="1"/>
    <xf numFmtId="0" fontId="3" fillId="5" borderId="48" xfId="0" applyFont="1" applyFill="1" applyBorder="1" applyAlignment="1" applyProtection="1"/>
    <xf numFmtId="0" fontId="4" fillId="0" borderId="49" xfId="0" applyFont="1" applyBorder="1" applyProtection="1"/>
    <xf numFmtId="166" fontId="4" fillId="0" borderId="50" xfId="0" applyNumberFormat="1" applyFont="1" applyBorder="1" applyProtection="1"/>
    <xf numFmtId="10" fontId="4" fillId="0" borderId="0" xfId="0" applyNumberFormat="1" applyFont="1" applyFill="1" applyProtection="1"/>
    <xf numFmtId="166" fontId="4" fillId="3" borderId="0" xfId="0" applyNumberFormat="1" applyFont="1" applyFill="1" applyProtection="1"/>
    <xf numFmtId="0" fontId="4" fillId="0" borderId="0" xfId="0" applyFont="1" applyAlignment="1" applyProtection="1">
      <alignment horizontal="right"/>
    </xf>
    <xf numFmtId="167" fontId="5" fillId="6" borderId="0" xfId="0" applyNumberFormat="1" applyFont="1" applyFill="1" applyProtection="1"/>
    <xf numFmtId="167" fontId="4" fillId="0" borderId="0" xfId="0" applyNumberFormat="1" applyFont="1" applyProtection="1"/>
    <xf numFmtId="0" fontId="3" fillId="0" borderId="0" xfId="0" applyFont="1" applyAlignment="1" applyProtection="1">
      <alignment horizontal="right"/>
    </xf>
    <xf numFmtId="6" fontId="4" fillId="0" borderId="0" xfId="0" applyNumberFormat="1" applyFont="1" applyProtection="1"/>
    <xf numFmtId="168" fontId="4" fillId="0" borderId="0" xfId="0" applyNumberFormat="1" applyFont="1" applyProtection="1"/>
    <xf numFmtId="0" fontId="16" fillId="0" borderId="0" xfId="0" applyFont="1" applyProtection="1"/>
    <xf numFmtId="165" fontId="16" fillId="0" borderId="0" xfId="0" applyNumberFormat="1" applyFont="1" applyProtection="1"/>
    <xf numFmtId="165" fontId="0" fillId="0" borderId="0" xfId="0" applyNumberFormat="1" applyProtection="1"/>
    <xf numFmtId="0" fontId="0" fillId="0" borderId="0" xfId="0" applyAlignment="1" applyProtection="1">
      <alignment horizontal="right"/>
    </xf>
    <xf numFmtId="6" fontId="0" fillId="0" borderId="0" xfId="0" applyNumberFormat="1" applyProtection="1"/>
    <xf numFmtId="168" fontId="0" fillId="0" borderId="0" xfId="0" applyNumberFormat="1" applyProtection="1"/>
    <xf numFmtId="166" fontId="4" fillId="0" borderId="36" xfId="0" applyNumberFormat="1" applyFont="1" applyBorder="1" applyProtection="1"/>
    <xf numFmtId="165" fontId="16" fillId="0" borderId="0" xfId="0" applyNumberFormat="1" applyFont="1"/>
    <xf numFmtId="166" fontId="19" fillId="0" borderId="0" xfId="0" applyNumberFormat="1" applyFont="1" applyBorder="1" applyProtection="1"/>
    <xf numFmtId="0" fontId="18" fillId="0" borderId="0" xfId="0" applyFont="1" applyAlignment="1" applyProtection="1">
      <alignment horizontal="right"/>
    </xf>
    <xf numFmtId="10" fontId="5" fillId="3" borderId="0" xfId="0" applyNumberFormat="1" applyFont="1" applyFill="1" applyProtection="1"/>
    <xf numFmtId="168" fontId="5" fillId="0" borderId="0" xfId="0" applyNumberFormat="1" applyFont="1" applyProtection="1"/>
    <xf numFmtId="165" fontId="5" fillId="0" borderId="0" xfId="0" applyNumberFormat="1" applyFont="1" applyProtection="1"/>
    <xf numFmtId="10" fontId="4" fillId="0" borderId="0" xfId="0" applyNumberFormat="1" applyFont="1"/>
    <xf numFmtId="166" fontId="4" fillId="0" borderId="0" xfId="0" applyNumberFormat="1" applyFont="1" applyFill="1" applyProtection="1">
      <protection locked="0"/>
    </xf>
    <xf numFmtId="166" fontId="4" fillId="8" borderId="0" xfId="0" applyNumberFormat="1" applyFont="1" applyFill="1" applyProtection="1"/>
    <xf numFmtId="10" fontId="5" fillId="9" borderId="0" xfId="0" applyNumberFormat="1" applyFont="1" applyFill="1" applyProtection="1"/>
    <xf numFmtId="1" fontId="0" fillId="0" borderId="0" xfId="0" applyNumberFormat="1" applyProtection="1"/>
    <xf numFmtId="0" fontId="0" fillId="0" borderId="0" xfId="0" applyProtection="1">
      <protection hidden="1"/>
    </xf>
    <xf numFmtId="0" fontId="1" fillId="0" borderId="0" xfId="0" applyFont="1" applyBorder="1" applyProtection="1">
      <protection hidden="1"/>
    </xf>
    <xf numFmtId="0" fontId="4" fillId="0" borderId="0" xfId="0" applyFont="1" applyBorder="1" applyProtection="1">
      <protection hidden="1"/>
    </xf>
    <xf numFmtId="0" fontId="4" fillId="0" borderId="0" xfId="0" applyFont="1" applyProtection="1">
      <protection hidden="1"/>
    </xf>
    <xf numFmtId="0" fontId="4" fillId="0" borderId="5" xfId="0" applyFont="1" applyBorder="1" applyAlignment="1" applyProtection="1">
      <alignment horizontal="right"/>
      <protection hidden="1"/>
    </xf>
    <xf numFmtId="0" fontId="4" fillId="0" borderId="6" xfId="0" applyFont="1" applyBorder="1" applyAlignment="1" applyProtection="1">
      <alignment horizontal="right"/>
      <protection hidden="1"/>
    </xf>
    <xf numFmtId="0" fontId="4" fillId="0" borderId="7" xfId="0" applyFont="1" applyBorder="1" applyProtection="1">
      <protection hidden="1"/>
    </xf>
    <xf numFmtId="0" fontId="4" fillId="0" borderId="8" xfId="0" applyFont="1" applyBorder="1" applyAlignment="1" applyProtection="1">
      <alignment horizontal="center"/>
      <protection hidden="1"/>
    </xf>
    <xf numFmtId="0" fontId="4" fillId="0" borderId="9" xfId="0" applyFont="1" applyBorder="1" applyAlignment="1" applyProtection="1">
      <alignment horizontal="center"/>
      <protection hidden="1"/>
    </xf>
    <xf numFmtId="0" fontId="4" fillId="0" borderId="24" xfId="0" applyFont="1" applyBorder="1" applyAlignment="1" applyProtection="1">
      <alignment horizontal="right"/>
      <protection hidden="1"/>
    </xf>
    <xf numFmtId="0" fontId="4" fillId="0" borderId="25" xfId="0" applyFont="1" applyBorder="1" applyAlignment="1" applyProtection="1">
      <alignment horizontal="right"/>
      <protection hidden="1"/>
    </xf>
    <xf numFmtId="0" fontId="4" fillId="0" borderId="26" xfId="0" applyFont="1" applyBorder="1" applyProtection="1">
      <protection hidden="1"/>
    </xf>
    <xf numFmtId="0" fontId="4" fillId="0" borderId="10" xfId="0" applyFont="1" applyBorder="1" applyProtection="1">
      <protection hidden="1"/>
    </xf>
    <xf numFmtId="0" fontId="4" fillId="2" borderId="11" xfId="0" applyFont="1" applyFill="1" applyBorder="1" applyProtection="1">
      <protection hidden="1"/>
    </xf>
    <xf numFmtId="10" fontId="4" fillId="0" borderId="12" xfId="0" applyNumberFormat="1" applyFont="1" applyBorder="1" applyProtection="1">
      <protection hidden="1"/>
    </xf>
    <xf numFmtId="0" fontId="4" fillId="0" borderId="11" xfId="0" applyFont="1" applyBorder="1" applyProtection="1">
      <protection hidden="1"/>
    </xf>
    <xf numFmtId="10" fontId="4" fillId="0" borderId="13" xfId="0" applyNumberFormat="1" applyFont="1" applyBorder="1" applyProtection="1">
      <protection hidden="1"/>
    </xf>
    <xf numFmtId="0" fontId="4" fillId="0" borderId="14" xfId="0" applyFont="1" applyBorder="1" applyProtection="1">
      <protection hidden="1"/>
    </xf>
    <xf numFmtId="0" fontId="4" fillId="0" borderId="17" xfId="0" applyFont="1" applyBorder="1" applyProtection="1">
      <protection hidden="1"/>
    </xf>
    <xf numFmtId="0" fontId="4" fillId="2" borderId="16" xfId="0" applyFont="1" applyFill="1" applyBorder="1" applyProtection="1">
      <protection hidden="1"/>
    </xf>
    <xf numFmtId="9" fontId="4" fillId="0" borderId="18" xfId="0" applyNumberFormat="1" applyFont="1" applyBorder="1" applyProtection="1">
      <protection hidden="1"/>
    </xf>
    <xf numFmtId="0" fontId="4" fillId="0" borderId="16" xfId="0" applyFont="1" applyBorder="1" applyProtection="1">
      <protection hidden="1"/>
    </xf>
    <xf numFmtId="0" fontId="4" fillId="0" borderId="15" xfId="0" applyFont="1" applyBorder="1" applyProtection="1">
      <protection hidden="1"/>
    </xf>
    <xf numFmtId="10" fontId="4" fillId="0" borderId="17" xfId="0" applyNumberFormat="1" applyFont="1" applyBorder="1" applyProtection="1">
      <protection hidden="1"/>
    </xf>
    <xf numFmtId="10" fontId="4" fillId="0" borderId="18" xfId="0" applyNumberFormat="1" applyFont="1" applyBorder="1" applyProtection="1">
      <protection hidden="1"/>
    </xf>
    <xf numFmtId="0" fontId="4" fillId="0" borderId="19" xfId="0" applyFont="1" applyBorder="1" applyProtection="1">
      <protection hidden="1"/>
    </xf>
    <xf numFmtId="1" fontId="4" fillId="0" borderId="16" xfId="0" applyNumberFormat="1" applyFont="1" applyBorder="1" applyProtection="1">
      <protection hidden="1"/>
    </xf>
    <xf numFmtId="0" fontId="4" fillId="0" borderId="27" xfId="0" applyFont="1" applyBorder="1" applyProtection="1">
      <protection hidden="1"/>
    </xf>
    <xf numFmtId="0" fontId="4" fillId="2" borderId="28" xfId="0" applyFont="1" applyFill="1" applyBorder="1" applyProtection="1">
      <protection hidden="1"/>
    </xf>
    <xf numFmtId="9" fontId="4" fillId="0" borderId="29" xfId="0" applyNumberFormat="1" applyFont="1" applyBorder="1" applyProtection="1">
      <protection hidden="1"/>
    </xf>
    <xf numFmtId="1" fontId="4" fillId="0" borderId="28" xfId="0" applyNumberFormat="1" applyFont="1" applyBorder="1" applyProtection="1">
      <protection hidden="1"/>
    </xf>
    <xf numFmtId="0" fontId="4" fillId="0" borderId="5" xfId="0" applyFont="1" applyBorder="1" applyProtection="1">
      <protection hidden="1"/>
    </xf>
    <xf numFmtId="0" fontId="4" fillId="0" borderId="6" xfId="0" applyFont="1" applyBorder="1" applyProtection="1">
      <protection hidden="1"/>
    </xf>
    <xf numFmtId="10" fontId="4" fillId="0" borderId="7" xfId="0" applyNumberFormat="1" applyFont="1" applyBorder="1" applyProtection="1">
      <protection hidden="1"/>
    </xf>
    <xf numFmtId="10" fontId="4" fillId="0" borderId="8" xfId="0" applyNumberFormat="1" applyFont="1" applyBorder="1" applyProtection="1">
      <protection hidden="1"/>
    </xf>
    <xf numFmtId="0" fontId="4" fillId="0" borderId="9" xfId="0" applyFont="1" applyBorder="1" applyProtection="1">
      <protection hidden="1"/>
    </xf>
    <xf numFmtId="0" fontId="4" fillId="0" borderId="30" xfId="0" applyFont="1" applyBorder="1" applyProtection="1">
      <protection hidden="1"/>
    </xf>
    <xf numFmtId="0" fontId="4" fillId="0" borderId="31" xfId="0" applyFont="1" applyBorder="1" applyProtection="1">
      <protection hidden="1"/>
    </xf>
    <xf numFmtId="10" fontId="4" fillId="0" borderId="32" xfId="0" applyNumberFormat="1" applyFont="1" applyBorder="1" applyProtection="1">
      <protection hidden="1"/>
    </xf>
    <xf numFmtId="1" fontId="4" fillId="0" borderId="31" xfId="0" applyNumberFormat="1" applyFont="1" applyBorder="1" applyProtection="1">
      <protection hidden="1"/>
    </xf>
    <xf numFmtId="0" fontId="5" fillId="0" borderId="0" xfId="0" applyFont="1" applyProtection="1">
      <protection hidden="1"/>
    </xf>
    <xf numFmtId="164" fontId="4" fillId="2" borderId="0" xfId="0" applyNumberFormat="1" applyFont="1" applyFill="1" applyProtection="1">
      <protection hidden="1"/>
    </xf>
    <xf numFmtId="0" fontId="3" fillId="2" borderId="0" xfId="0" applyNumberFormat="1" applyFont="1" applyFill="1" applyAlignment="1" applyProtection="1">
      <protection hidden="1"/>
    </xf>
    <xf numFmtId="164" fontId="4" fillId="0" borderId="0" xfId="0" applyNumberFormat="1" applyFont="1" applyProtection="1">
      <protection hidden="1"/>
    </xf>
    <xf numFmtId="0" fontId="6" fillId="2" borderId="0" xfId="0" applyNumberFormat="1" applyFont="1" applyFill="1" applyAlignment="1" applyProtection="1">
      <protection hidden="1"/>
    </xf>
    <xf numFmtId="1" fontId="3" fillId="3" borderId="0" xfId="0" applyNumberFormat="1" applyFont="1" applyFill="1" applyAlignment="1" applyProtection="1">
      <protection hidden="1"/>
    </xf>
    <xf numFmtId="1" fontId="4" fillId="0" borderId="0" xfId="0" applyNumberFormat="1" applyFont="1" applyProtection="1">
      <protection hidden="1"/>
    </xf>
    <xf numFmtId="0" fontId="4" fillId="2" borderId="0" xfId="0" applyFont="1" applyFill="1" applyProtection="1">
      <protection hidden="1"/>
    </xf>
    <xf numFmtId="2" fontId="4" fillId="0" borderId="0" xfId="0" applyNumberFormat="1" applyFont="1" applyProtection="1">
      <protection hidden="1"/>
    </xf>
    <xf numFmtId="0" fontId="2" fillId="0" borderId="0" xfId="0" applyNumberFormat="1" applyFont="1" applyAlignment="1" applyProtection="1">
      <protection hidden="1"/>
    </xf>
    <xf numFmtId="164" fontId="0" fillId="3" borderId="0" xfId="0" applyNumberFormat="1" applyFill="1" applyProtection="1">
      <protection hidden="1"/>
    </xf>
    <xf numFmtId="164" fontId="0" fillId="4" borderId="0" xfId="0" applyNumberFormat="1" applyFill="1" applyProtection="1">
      <protection hidden="1"/>
    </xf>
    <xf numFmtId="0" fontId="4" fillId="3" borderId="0" xfId="0" applyFont="1" applyFill="1" applyProtection="1">
      <protection hidden="1"/>
    </xf>
    <xf numFmtId="3" fontId="4" fillId="2" borderId="0" xfId="0" applyNumberFormat="1" applyFont="1" applyFill="1" applyProtection="1">
      <protection hidden="1"/>
    </xf>
    <xf numFmtId="10" fontId="0" fillId="4" borderId="0" xfId="0" applyNumberFormat="1" applyFill="1" applyProtection="1">
      <protection hidden="1"/>
    </xf>
    <xf numFmtId="10" fontId="0" fillId="0" borderId="0" xfId="0" applyNumberFormat="1" applyProtection="1">
      <protection hidden="1"/>
    </xf>
    <xf numFmtId="3" fontId="3" fillId="2" borderId="0" xfId="0" applyNumberFormat="1" applyFont="1" applyFill="1" applyProtection="1">
      <protection hidden="1"/>
    </xf>
    <xf numFmtId="0" fontId="15" fillId="0" borderId="0" xfId="0" applyFont="1" applyProtection="1">
      <protection hidden="1"/>
    </xf>
    <xf numFmtId="2" fontId="0" fillId="4" borderId="0" xfId="0" applyNumberFormat="1" applyFill="1" applyProtection="1">
      <protection hidden="1"/>
    </xf>
    <xf numFmtId="0" fontId="3" fillId="4" borderId="0" xfId="0" applyNumberFormat="1" applyFont="1" applyFill="1" applyAlignment="1" applyProtection="1">
      <protection hidden="1"/>
    </xf>
    <xf numFmtId="0" fontId="0" fillId="3" borderId="0" xfId="0" applyFill="1" applyProtection="1">
      <protection hidden="1"/>
    </xf>
    <xf numFmtId="3" fontId="3" fillId="8" borderId="0" xfId="0" applyNumberFormat="1" applyFont="1" applyFill="1" applyProtection="1">
      <protection hidden="1"/>
    </xf>
    <xf numFmtId="164" fontId="0" fillId="2" borderId="0" xfId="0" applyNumberFormat="1" applyFill="1" applyProtection="1">
      <protection hidden="1"/>
    </xf>
    <xf numFmtId="0" fontId="0" fillId="0" borderId="0" xfId="0" applyFill="1" applyProtection="1">
      <protection hidden="1"/>
    </xf>
    <xf numFmtId="1" fontId="0" fillId="0" borderId="0" xfId="0" applyNumberFormat="1" applyProtection="1">
      <protection hidden="1"/>
    </xf>
    <xf numFmtId="2" fontId="0" fillId="0" borderId="0" xfId="0" applyNumberFormat="1" applyProtection="1">
      <protection hidden="1"/>
    </xf>
    <xf numFmtId="0" fontId="0" fillId="0" borderId="33" xfId="0" applyBorder="1" applyAlignment="1" applyProtection="1">
      <alignment horizontal="right"/>
      <protection hidden="1"/>
    </xf>
    <xf numFmtId="0" fontId="0" fillId="0" borderId="33" xfId="0" applyBorder="1" applyProtection="1">
      <protection hidden="1"/>
    </xf>
    <xf numFmtId="0" fontId="0" fillId="0" borderId="34" xfId="0" applyBorder="1" applyProtection="1">
      <protection hidden="1"/>
    </xf>
    <xf numFmtId="0" fontId="0" fillId="2" borderId="34" xfId="0" applyFill="1" applyBorder="1" applyProtection="1">
      <protection hidden="1"/>
    </xf>
    <xf numFmtId="10" fontId="0" fillId="0" borderId="34" xfId="0" applyNumberFormat="1" applyBorder="1" applyProtection="1">
      <protection hidden="1"/>
    </xf>
    <xf numFmtId="0" fontId="1" fillId="3" borderId="35" xfId="0" applyFont="1" applyFill="1" applyBorder="1" applyProtection="1">
      <protection hidden="1"/>
    </xf>
    <xf numFmtId="10" fontId="1" fillId="0" borderId="35" xfId="0" applyNumberFormat="1" applyFont="1" applyBorder="1" applyProtection="1">
      <protection hidden="1"/>
    </xf>
    <xf numFmtId="0" fontId="0" fillId="0" borderId="35" xfId="0" applyBorder="1" applyProtection="1">
      <protection hidden="1"/>
    </xf>
    <xf numFmtId="0" fontId="0" fillId="3" borderId="35" xfId="0" applyFill="1" applyBorder="1" applyProtection="1">
      <protection hidden="1"/>
    </xf>
    <xf numFmtId="10" fontId="0" fillId="0" borderId="35" xfId="0" applyNumberFormat="1" applyBorder="1" applyProtection="1">
      <protection hidden="1"/>
    </xf>
    <xf numFmtId="0" fontId="0" fillId="2" borderId="35" xfId="0" applyFill="1" applyBorder="1" applyProtection="1">
      <protection hidden="1"/>
    </xf>
    <xf numFmtId="0" fontId="0" fillId="3" borderId="33" xfId="0" applyFill="1" applyBorder="1" applyProtection="1">
      <protection hidden="1"/>
    </xf>
    <xf numFmtId="0" fontId="0" fillId="0" borderId="33" xfId="0" applyFill="1" applyBorder="1" applyProtection="1">
      <protection hidden="1"/>
    </xf>
    <xf numFmtId="0" fontId="0" fillId="2" borderId="0" xfId="0" applyFill="1" applyProtection="1">
      <protection hidden="1"/>
    </xf>
    <xf numFmtId="0" fontId="6" fillId="7" borderId="0" xfId="0" applyNumberFormat="1" applyFont="1" applyFill="1" applyAlignment="1" applyProtection="1">
      <protection hidden="1"/>
    </xf>
    <xf numFmtId="0" fontId="20" fillId="0" borderId="0" xfId="0" applyFont="1" applyProtection="1">
      <protection hidden="1"/>
    </xf>
    <xf numFmtId="0" fontId="21" fillId="0" borderId="0" xfId="0" applyFont="1" applyProtection="1">
      <protection hidden="1"/>
    </xf>
    <xf numFmtId="0" fontId="1" fillId="0" borderId="1" xfId="0" applyFont="1" applyBorder="1" applyAlignment="1" applyProtection="1">
      <alignment horizontal="center"/>
      <protection hidden="1"/>
    </xf>
    <xf numFmtId="0" fontId="1" fillId="0" borderId="63" xfId="0" applyFont="1" applyBorder="1" applyAlignment="1" applyProtection="1">
      <alignment horizontal="center"/>
      <protection hidden="1"/>
    </xf>
    <xf numFmtId="0" fontId="0" fillId="0" borderId="64" xfId="0" applyBorder="1" applyProtection="1">
      <protection hidden="1"/>
    </xf>
    <xf numFmtId="0" fontId="1" fillId="0" borderId="67" xfId="0" applyFont="1" applyBorder="1" applyAlignment="1" applyProtection="1">
      <alignment horizontal="center"/>
      <protection hidden="1"/>
    </xf>
    <xf numFmtId="0" fontId="0" fillId="0" borderId="4" xfId="0" applyBorder="1" applyAlignment="1" applyProtection="1">
      <alignment horizontal="center"/>
      <protection hidden="1"/>
    </xf>
    <xf numFmtId="0" fontId="3" fillId="0" borderId="15" xfId="0" applyFont="1" applyBorder="1" applyProtection="1">
      <protection hidden="1"/>
    </xf>
    <xf numFmtId="0" fontId="0" fillId="0" borderId="65" xfId="0" applyBorder="1" applyProtection="1">
      <protection hidden="1"/>
    </xf>
    <xf numFmtId="0" fontId="3" fillId="0" borderId="65" xfId="0" applyFont="1" applyBorder="1" applyProtection="1">
      <protection hidden="1"/>
    </xf>
    <xf numFmtId="0" fontId="0" fillId="0" borderId="19" xfId="0" applyBorder="1" applyProtection="1">
      <protection hidden="1"/>
    </xf>
    <xf numFmtId="0" fontId="0" fillId="2" borderId="65" xfId="0" applyFill="1" applyBorder="1" applyProtection="1">
      <protection hidden="1"/>
    </xf>
    <xf numFmtId="1" fontId="0" fillId="2" borderId="65" xfId="0" applyNumberFormat="1" applyFill="1" applyBorder="1" applyProtection="1">
      <protection hidden="1"/>
    </xf>
    <xf numFmtId="0" fontId="3" fillId="0" borderId="5" xfId="0" applyFont="1" applyBorder="1" applyProtection="1">
      <protection hidden="1"/>
    </xf>
    <xf numFmtId="1" fontId="0" fillId="0" borderId="66" xfId="0" applyNumberFormat="1" applyBorder="1" applyProtection="1">
      <protection hidden="1"/>
    </xf>
    <xf numFmtId="0" fontId="0" fillId="0" borderId="66" xfId="0" applyBorder="1" applyProtection="1">
      <protection hidden="1"/>
    </xf>
    <xf numFmtId="0" fontId="3" fillId="0" borderId="66" xfId="0" applyFont="1" applyBorder="1" applyProtection="1">
      <protection hidden="1"/>
    </xf>
    <xf numFmtId="1" fontId="0" fillId="2" borderId="9" xfId="0" applyNumberFormat="1" applyFill="1" applyBorder="1" applyProtection="1">
      <protection hidden="1"/>
    </xf>
    <xf numFmtId="164" fontId="0" fillId="0" borderId="0" xfId="0" applyNumberFormat="1" applyProtection="1">
      <protection hidden="1"/>
    </xf>
    <xf numFmtId="0" fontId="3" fillId="0" borderId="0" xfId="0" applyFont="1" applyProtection="1">
      <protection hidden="1"/>
    </xf>
    <xf numFmtId="0" fontId="1" fillId="0" borderId="0" xfId="0" applyFont="1" applyProtection="1">
      <protection hidden="1"/>
    </xf>
    <xf numFmtId="0" fontId="0" fillId="0" borderId="0" xfId="0" applyAlignment="1" applyProtection="1">
      <alignment horizontal="center"/>
      <protection hidden="1"/>
    </xf>
    <xf numFmtId="169" fontId="0" fillId="0" borderId="0" xfId="0" applyNumberFormat="1" applyProtection="1">
      <protection hidden="1"/>
    </xf>
    <xf numFmtId="165" fontId="0" fillId="0" borderId="0" xfId="0" applyNumberFormat="1" applyProtection="1">
      <protection hidden="1"/>
    </xf>
    <xf numFmtId="4" fontId="0" fillId="0" borderId="0" xfId="0" applyNumberFormat="1" applyProtection="1">
      <protection hidden="1"/>
    </xf>
    <xf numFmtId="170" fontId="0" fillId="4" borderId="0" xfId="0" applyNumberFormat="1" applyFill="1" applyProtection="1">
      <protection hidden="1"/>
    </xf>
    <xf numFmtId="170" fontId="0" fillId="0" borderId="0" xfId="0" applyNumberFormat="1" applyProtection="1">
      <protection hidden="1"/>
    </xf>
    <xf numFmtId="169" fontId="0" fillId="4" borderId="0" xfId="0" applyNumberFormat="1" applyFill="1" applyProtection="1">
      <protection hidden="1"/>
    </xf>
    <xf numFmtId="171" fontId="0" fillId="4" borderId="0" xfId="0" applyNumberFormat="1" applyFill="1" applyProtection="1">
      <protection hidden="1"/>
    </xf>
    <xf numFmtId="9" fontId="0" fillId="0" borderId="0" xfId="0" applyNumberFormat="1" applyProtection="1">
      <protection hidden="1"/>
    </xf>
    <xf numFmtId="0" fontId="12" fillId="0" borderId="0" xfId="0" applyFont="1" applyProtection="1">
      <protection hidden="1"/>
    </xf>
    <xf numFmtId="0" fontId="13" fillId="0" borderId="54" xfId="0" applyFont="1" applyBorder="1" applyAlignment="1" applyProtection="1">
      <alignment horizontal="left" vertical="top" wrapText="1" readingOrder="1"/>
      <protection hidden="1"/>
    </xf>
    <xf numFmtId="0" fontId="13" fillId="0" borderId="55" xfId="0" applyFont="1" applyBorder="1" applyAlignment="1" applyProtection="1">
      <alignment horizontal="right" vertical="top" wrapText="1" readingOrder="1"/>
      <protection hidden="1"/>
    </xf>
    <xf numFmtId="0" fontId="13" fillId="0" borderId="56" xfId="0" applyFont="1" applyBorder="1" applyAlignment="1" applyProtection="1">
      <alignment horizontal="right" vertical="top" wrapText="1" readingOrder="1"/>
      <protection hidden="1"/>
    </xf>
    <xf numFmtId="0" fontId="2" fillId="0" borderId="57" xfId="0" applyNumberFormat="1" applyFont="1" applyBorder="1" applyAlignment="1" applyProtection="1">
      <protection hidden="1"/>
    </xf>
    <xf numFmtId="168" fontId="2" fillId="0" borderId="58" xfId="0" applyNumberFormat="1" applyFont="1" applyFill="1" applyBorder="1" applyAlignment="1" applyProtection="1">
      <protection hidden="1"/>
    </xf>
    <xf numFmtId="168" fontId="2" fillId="0" borderId="58" xfId="0" applyNumberFormat="1" applyFont="1" applyBorder="1" applyAlignment="1" applyProtection="1">
      <protection hidden="1"/>
    </xf>
    <xf numFmtId="168" fontId="2" fillId="0" borderId="59" xfId="0" applyNumberFormat="1" applyFont="1" applyBorder="1" applyAlignment="1" applyProtection="1">
      <protection hidden="1"/>
    </xf>
    <xf numFmtId="6" fontId="2" fillId="0" borderId="58" xfId="0" applyNumberFormat="1" applyFont="1" applyBorder="1" applyAlignment="1" applyProtection="1">
      <protection hidden="1"/>
    </xf>
    <xf numFmtId="0" fontId="2" fillId="0" borderId="58" xfId="0" applyNumberFormat="1" applyFont="1" applyBorder="1" applyAlignment="1" applyProtection="1">
      <protection hidden="1"/>
    </xf>
    <xf numFmtId="167" fontId="2" fillId="0" borderId="58" xfId="0" applyNumberFormat="1" applyFont="1" applyBorder="1" applyAlignment="1" applyProtection="1">
      <protection hidden="1"/>
    </xf>
    <xf numFmtId="0" fontId="2" fillId="0" borderId="60" xfId="0" applyNumberFormat="1" applyFont="1" applyBorder="1" applyAlignment="1" applyProtection="1">
      <protection hidden="1"/>
    </xf>
    <xf numFmtId="38" fontId="2" fillId="0" borderId="61" xfId="0" applyNumberFormat="1" applyFont="1" applyBorder="1" applyAlignment="1" applyProtection="1">
      <protection hidden="1"/>
    </xf>
    <xf numFmtId="38" fontId="2" fillId="0" borderId="62" xfId="0" applyNumberFormat="1" applyFont="1" applyBorder="1" applyAlignment="1" applyProtection="1">
      <protection hidden="1"/>
    </xf>
    <xf numFmtId="165" fontId="2" fillId="0" borderId="0" xfId="0" applyNumberFormat="1" applyFont="1" applyAlignment="1" applyProtection="1">
      <protection hidden="1"/>
    </xf>
    <xf numFmtId="6" fontId="6" fillId="0" borderId="0" xfId="0" applyNumberFormat="1" applyFont="1" applyAlignment="1" applyProtection="1">
      <protection hidden="1"/>
    </xf>
    <xf numFmtId="8" fontId="2" fillId="0" borderId="0" xfId="0" applyNumberFormat="1" applyFont="1" applyAlignment="1" applyProtection="1">
      <protection hidden="1"/>
    </xf>
    <xf numFmtId="0" fontId="14" fillId="0" borderId="0" xfId="0" applyFont="1" applyProtection="1">
      <protection hidden="1"/>
    </xf>
    <xf numFmtId="6" fontId="2" fillId="0" borderId="0" xfId="0" applyNumberFormat="1" applyFont="1" applyAlignment="1" applyProtection="1">
      <protection hidden="1"/>
    </xf>
    <xf numFmtId="165" fontId="0" fillId="4" borderId="0" xfId="0" applyNumberFormat="1" applyFill="1" applyProtection="1">
      <protection hidden="1"/>
    </xf>
    <xf numFmtId="1" fontId="0" fillId="4" borderId="0" xfId="0" applyNumberFormat="1" applyFill="1" applyProtection="1">
      <protection hidden="1"/>
    </xf>
    <xf numFmtId="169" fontId="0" fillId="3" borderId="0" xfId="0" applyNumberFormat="1" applyFill="1" applyProtection="1">
      <protection hidden="1"/>
    </xf>
    <xf numFmtId="168" fontId="2" fillId="0" borderId="0" xfId="0" applyNumberFormat="1" applyFont="1" applyAlignment="1" applyProtection="1">
      <protection hidden="1"/>
    </xf>
    <xf numFmtId="10" fontId="0" fillId="3" borderId="0" xfId="0" applyNumberFormat="1" applyFill="1" applyProtection="1">
      <protection hidden="1"/>
    </xf>
    <xf numFmtId="167" fontId="0" fillId="3" borderId="0" xfId="0" applyNumberFormat="1" applyFill="1" applyProtection="1">
      <protection hidden="1"/>
    </xf>
    <xf numFmtId="38" fontId="2" fillId="0" borderId="0" xfId="0" applyNumberFormat="1" applyFont="1" applyAlignment="1" applyProtection="1">
      <protection hidden="1"/>
    </xf>
    <xf numFmtId="0" fontId="4" fillId="9" borderId="0" xfId="0" applyFont="1" applyFill="1" applyProtection="1">
      <protection hidden="1"/>
    </xf>
    <xf numFmtId="164" fontId="4" fillId="9" borderId="0" xfId="0" applyNumberFormat="1" applyFont="1" applyFill="1" applyProtection="1">
      <protection hidden="1"/>
    </xf>
    <xf numFmtId="164" fontId="7" fillId="2" borderId="0" xfId="0" applyNumberFormat="1" applyFont="1" applyFill="1" applyAlignment="1" applyProtection="1">
      <protection hidden="1"/>
    </xf>
    <xf numFmtId="0" fontId="4" fillId="2" borderId="6" xfId="0" applyFont="1" applyFill="1" applyBorder="1" applyProtection="1">
      <protection hidden="1"/>
    </xf>
    <xf numFmtId="0" fontId="24" fillId="0" borderId="0" xfId="0" applyFont="1" applyProtection="1">
      <protection hidden="1"/>
    </xf>
    <xf numFmtId="0" fontId="25" fillId="0" borderId="0" xfId="0" applyFont="1" applyProtection="1">
      <protection hidden="1"/>
    </xf>
    <xf numFmtId="0" fontId="1" fillId="0" borderId="38" xfId="0" applyFont="1" applyBorder="1" applyProtection="1"/>
    <xf numFmtId="0" fontId="1" fillId="0" borderId="39" xfId="0" applyFont="1" applyBorder="1" applyProtection="1"/>
    <xf numFmtId="0" fontId="1" fillId="0" borderId="40" xfId="0" applyFont="1" applyBorder="1" applyProtection="1"/>
    <xf numFmtId="0" fontId="0" fillId="0" borderId="0" xfId="0" applyFont="1" applyAlignment="1" applyProtection="1">
      <alignment horizontal="center"/>
      <protection hidden="1"/>
    </xf>
    <xf numFmtId="0" fontId="0" fillId="0" borderId="0" xfId="0" applyFont="1" applyProtection="1">
      <protection hidden="1"/>
    </xf>
    <xf numFmtId="169" fontId="0" fillId="0" borderId="0" xfId="0" applyNumberFormat="1" applyFont="1" applyProtection="1">
      <protection hidden="1"/>
    </xf>
    <xf numFmtId="165" fontId="0" fillId="0" borderId="0" xfId="0" applyNumberFormat="1" applyFont="1" applyProtection="1">
      <protection hidden="1"/>
    </xf>
    <xf numFmtId="4" fontId="0" fillId="0" borderId="0" xfId="0" applyNumberFormat="1" applyFont="1" applyProtection="1">
      <protection hidden="1"/>
    </xf>
    <xf numFmtId="170" fontId="0" fillId="0" borderId="0" xfId="0" applyNumberFormat="1" applyFont="1" applyProtection="1">
      <protection hidden="1"/>
    </xf>
    <xf numFmtId="169" fontId="0" fillId="4" borderId="0" xfId="0" applyNumberFormat="1" applyFont="1" applyFill="1" applyProtection="1">
      <protection hidden="1"/>
    </xf>
    <xf numFmtId="9" fontId="0" fillId="0" borderId="0" xfId="0" applyNumberFormat="1" applyFont="1" applyProtection="1">
      <protection hidden="1"/>
    </xf>
    <xf numFmtId="0" fontId="26" fillId="0" borderId="0" xfId="0" applyFont="1" applyProtection="1">
      <protection hidden="1"/>
    </xf>
    <xf numFmtId="0" fontId="4" fillId="0" borderId="38" xfId="0" applyFont="1" applyBorder="1" applyProtection="1">
      <protection hidden="1"/>
    </xf>
    <xf numFmtId="0" fontId="4" fillId="0" borderId="68" xfId="0" applyFont="1" applyBorder="1" applyProtection="1">
      <protection hidden="1"/>
    </xf>
    <xf numFmtId="10" fontId="4" fillId="0" borderId="68" xfId="0" applyNumberFormat="1" applyFont="1" applyBorder="1" applyProtection="1">
      <protection hidden="1"/>
    </xf>
    <xf numFmtId="0" fontId="4" fillId="0" borderId="39" xfId="0" applyFont="1" applyBorder="1" applyProtection="1">
      <protection hidden="1"/>
    </xf>
    <xf numFmtId="172" fontId="4" fillId="9" borderId="0" xfId="0" applyNumberFormat="1" applyFont="1" applyFill="1" applyProtection="1">
      <protection hidden="1"/>
    </xf>
    <xf numFmtId="8" fontId="0" fillId="0" borderId="0" xfId="0" applyNumberFormat="1" applyProtection="1">
      <protection hidden="1"/>
    </xf>
    <xf numFmtId="172" fontId="0" fillId="0" borderId="0" xfId="0" applyNumberFormat="1" applyProtection="1">
      <protection hidden="1"/>
    </xf>
    <xf numFmtId="8" fontId="0" fillId="0" borderId="0" xfId="0" applyNumberFormat="1"/>
    <xf numFmtId="172" fontId="0" fillId="0" borderId="0" xfId="0" applyNumberFormat="1"/>
    <xf numFmtId="173" fontId="0" fillId="0" borderId="0" xfId="0" applyNumberFormat="1"/>
    <xf numFmtId="174" fontId="0" fillId="0" borderId="0" xfId="0" applyNumberFormat="1" applyProtection="1">
      <protection hidden="1"/>
    </xf>
    <xf numFmtId="167" fontId="0" fillId="0" borderId="0" xfId="0" applyNumberFormat="1" applyFill="1" applyProtection="1">
      <protection hidden="1"/>
    </xf>
    <xf numFmtId="0" fontId="2" fillId="0" borderId="0" xfId="0" applyNumberFormat="1" applyFont="1" applyFill="1" applyAlignment="1" applyProtection="1">
      <protection hidden="1"/>
    </xf>
    <xf numFmtId="168" fontId="2" fillId="0" borderId="0" xfId="0" applyNumberFormat="1" applyFont="1" applyFill="1" applyAlignment="1" applyProtection="1">
      <protection hidden="1"/>
    </xf>
    <xf numFmtId="10" fontId="5" fillId="2" borderId="0" xfId="0" applyNumberFormat="1" applyFont="1" applyFill="1" applyProtection="1">
      <protection locked="0"/>
    </xf>
    <xf numFmtId="9" fontId="4" fillId="2" borderId="0" xfId="0" applyNumberFormat="1" applyFont="1" applyFill="1" applyProtection="1">
      <protection locked="0"/>
    </xf>
    <xf numFmtId="9" fontId="0" fillId="0" borderId="0" xfId="0" applyNumberFormat="1"/>
    <xf numFmtId="171" fontId="0" fillId="0" borderId="0" xfId="0" applyNumberFormat="1"/>
    <xf numFmtId="0" fontId="24" fillId="0" borderId="0" xfId="0" applyFont="1"/>
    <xf numFmtId="0" fontId="27" fillId="0" borderId="0" xfId="0" applyFont="1"/>
    <xf numFmtId="9" fontId="4" fillId="0" borderId="0" xfId="0" applyNumberFormat="1" applyFont="1"/>
    <xf numFmtId="0" fontId="5" fillId="0" borderId="0" xfId="0" applyFont="1"/>
    <xf numFmtId="0" fontId="15" fillId="0" borderId="0" xfId="0" applyFont="1"/>
    <xf numFmtId="168" fontId="4" fillId="9" borderId="0" xfId="0" applyNumberFormat="1" applyFont="1" applyFill="1"/>
    <xf numFmtId="168" fontId="4" fillId="0" borderId="0" xfId="0" applyNumberFormat="1" applyFont="1" applyFill="1"/>
    <xf numFmtId="10" fontId="4" fillId="9" borderId="0" xfId="0" applyNumberFormat="1" applyFont="1" applyFill="1"/>
    <xf numFmtId="8" fontId="4" fillId="9" borderId="0" xfId="0" applyNumberFormat="1" applyFont="1" applyFill="1"/>
    <xf numFmtId="0" fontId="4" fillId="0" borderId="0" xfId="0" applyFont="1" applyAlignment="1">
      <alignment horizontal="center"/>
    </xf>
    <xf numFmtId="10" fontId="4" fillId="2" borderId="0" xfId="0" applyNumberFormat="1" applyFont="1" applyFill="1" applyProtection="1">
      <protection locked="0"/>
    </xf>
    <xf numFmtId="0" fontId="1" fillId="0" borderId="37" xfId="0" applyFont="1" applyBorder="1" applyAlignment="1">
      <alignment horizontal="center"/>
    </xf>
    <xf numFmtId="166" fontId="3" fillId="5" borderId="41" xfId="0" applyNumberFormat="1" applyFont="1" applyFill="1" applyBorder="1"/>
    <xf numFmtId="168" fontId="1" fillId="0" borderId="41" xfId="0" applyNumberFormat="1" applyFont="1" applyBorder="1"/>
    <xf numFmtId="165" fontId="4" fillId="0" borderId="41" xfId="0" applyNumberFormat="1" applyFont="1" applyBorder="1"/>
    <xf numFmtId="168" fontId="4" fillId="0" borderId="41" xfId="0" applyNumberFormat="1" applyFont="1" applyBorder="1"/>
    <xf numFmtId="0" fontId="4" fillId="0" borderId="41" xfId="0" applyFont="1" applyBorder="1"/>
    <xf numFmtId="168" fontId="4" fillId="0" borderId="48" xfId="0" applyNumberFormat="1" applyFont="1" applyBorder="1"/>
    <xf numFmtId="168" fontId="0" fillId="0" borderId="0" xfId="0" applyNumberFormat="1"/>
    <xf numFmtId="167" fontId="5" fillId="6" borderId="69" xfId="0" applyNumberFormat="1" applyFont="1" applyFill="1" applyBorder="1" applyProtection="1"/>
    <xf numFmtId="168" fontId="4" fillId="0" borderId="0" xfId="0" applyNumberFormat="1" applyFont="1"/>
    <xf numFmtId="167" fontId="4" fillId="0" borderId="69" xfId="0" applyNumberFormat="1" applyFont="1" applyBorder="1"/>
    <xf numFmtId="0" fontId="4" fillId="0" borderId="0" xfId="0" applyFont="1" applyAlignment="1" applyProtection="1">
      <alignment horizontal="center"/>
    </xf>
    <xf numFmtId="0" fontId="4" fillId="0" borderId="0" xfId="0" applyFont="1" applyBorder="1" applyAlignment="1" applyProtection="1">
      <alignment horizontal="center"/>
      <protection hidden="1"/>
    </xf>
    <xf numFmtId="0" fontId="4" fillId="0" borderId="0" xfId="0" applyFont="1" applyBorder="1" applyAlignment="1" applyProtection="1">
      <alignment horizontal="right"/>
      <protection hidden="1"/>
    </xf>
    <xf numFmtId="1" fontId="4" fillId="0" borderId="0" xfId="0" applyNumberFormat="1" applyFont="1" applyBorder="1" applyProtection="1">
      <protection hidden="1"/>
    </xf>
    <xf numFmtId="0" fontId="0" fillId="0" borderId="0" xfId="0" applyBorder="1" applyAlignment="1" applyProtection="1">
      <alignment horizontal="center"/>
      <protection hidden="1"/>
    </xf>
    <xf numFmtId="0" fontId="0" fillId="0" borderId="0" xfId="0" applyBorder="1" applyAlignment="1" applyProtection="1">
      <alignment horizontal="right"/>
      <protection hidden="1"/>
    </xf>
    <xf numFmtId="0" fontId="0" fillId="0" borderId="0" xfId="0" applyBorder="1" applyProtection="1">
      <protection hidden="1"/>
    </xf>
    <xf numFmtId="0" fontId="0" fillId="0" borderId="0" xfId="0" applyFill="1" applyBorder="1" applyProtection="1">
      <protection hidden="1"/>
    </xf>
    <xf numFmtId="0" fontId="25" fillId="0" borderId="0" xfId="0" applyFont="1" applyBorder="1" applyProtection="1">
      <protection hidden="1"/>
    </xf>
    <xf numFmtId="3" fontId="0" fillId="0" borderId="0" xfId="0" applyNumberFormat="1"/>
    <xf numFmtId="166" fontId="4" fillId="15" borderId="0" xfId="0" applyNumberFormat="1" applyFont="1" applyFill="1" applyProtection="1">
      <protection locked="0"/>
    </xf>
    <xf numFmtId="3" fontId="2" fillId="0" borderId="0" xfId="0" applyNumberFormat="1" applyFont="1" applyAlignment="1" applyProtection="1">
      <protection hidden="1"/>
    </xf>
    <xf numFmtId="3" fontId="4" fillId="0" borderId="0" xfId="0" applyNumberFormat="1" applyFont="1" applyProtection="1"/>
    <xf numFmtId="0" fontId="4" fillId="0" borderId="0" xfId="0" applyFont="1" applyAlignment="1">
      <alignment horizontal="center"/>
    </xf>
    <xf numFmtId="0" fontId="23" fillId="0" borderId="0" xfId="0" applyFont="1" applyAlignment="1" applyProtection="1">
      <alignment horizontal="center"/>
    </xf>
    <xf numFmtId="8" fontId="4" fillId="0" borderId="0" xfId="0" applyNumberFormat="1" applyFont="1"/>
    <xf numFmtId="168" fontId="4" fillId="2" borderId="0" xfId="0" applyNumberFormat="1" applyFont="1" applyFill="1"/>
    <xf numFmtId="0" fontId="4" fillId="0" borderId="0" xfId="0" applyFont="1" applyFill="1" applyProtection="1">
      <protection locked="0"/>
    </xf>
    <xf numFmtId="0" fontId="4" fillId="8" borderId="0" xfId="0" applyFont="1" applyFill="1" applyProtection="1"/>
    <xf numFmtId="0" fontId="4" fillId="0" borderId="70" xfId="0" applyFont="1" applyBorder="1"/>
    <xf numFmtId="172" fontId="4" fillId="2" borderId="64" xfId="0" applyNumberFormat="1" applyFont="1" applyFill="1" applyBorder="1" applyProtection="1">
      <protection locked="0"/>
    </xf>
    <xf numFmtId="168" fontId="4" fillId="9" borderId="64" xfId="0" applyNumberFormat="1" applyFont="1" applyFill="1" applyBorder="1"/>
    <xf numFmtId="172" fontId="4" fillId="19" borderId="64" xfId="0" applyNumberFormat="1" applyFont="1" applyFill="1" applyBorder="1" applyProtection="1"/>
    <xf numFmtId="172" fontId="4" fillId="10" borderId="64" xfId="0" applyNumberFormat="1" applyFont="1" applyFill="1" applyBorder="1" applyProtection="1">
      <protection locked="0"/>
    </xf>
    <xf numFmtId="172" fontId="4" fillId="2" borderId="71" xfId="0" applyNumberFormat="1" applyFont="1" applyFill="1" applyBorder="1" applyProtection="1">
      <protection locked="0"/>
    </xf>
    <xf numFmtId="0" fontId="4" fillId="0" borderId="15" xfId="0" applyFont="1" applyBorder="1"/>
    <xf numFmtId="172" fontId="4" fillId="2" borderId="65" xfId="0" applyNumberFormat="1" applyFont="1" applyFill="1" applyBorder="1" applyProtection="1">
      <protection locked="0"/>
    </xf>
    <xf numFmtId="168" fontId="4" fillId="9" borderId="65" xfId="0" applyNumberFormat="1" applyFont="1" applyFill="1" applyBorder="1"/>
    <xf numFmtId="172" fontId="4" fillId="2" borderId="19" xfId="0" applyNumberFormat="1" applyFont="1" applyFill="1" applyBorder="1" applyProtection="1">
      <protection locked="0"/>
    </xf>
    <xf numFmtId="0" fontId="4" fillId="0" borderId="5" xfId="0" applyFont="1" applyBorder="1"/>
    <xf numFmtId="168" fontId="4" fillId="9" borderId="66" xfId="0" applyNumberFormat="1" applyFont="1" applyFill="1" applyBorder="1"/>
    <xf numFmtId="168" fontId="4" fillId="9" borderId="9" xfId="0" applyNumberFormat="1" applyFont="1" applyFill="1" applyBorder="1"/>
    <xf numFmtId="0" fontId="4" fillId="2" borderId="64" xfId="0" applyFont="1" applyFill="1" applyBorder="1" applyProtection="1">
      <protection locked="0"/>
    </xf>
    <xf numFmtId="0" fontId="4" fillId="2" borderId="71" xfId="0" applyFont="1" applyFill="1" applyBorder="1" applyProtection="1">
      <protection locked="0"/>
    </xf>
    <xf numFmtId="0" fontId="4" fillId="2" borderId="65" xfId="0" applyFont="1" applyFill="1" applyBorder="1" applyProtection="1">
      <protection locked="0"/>
    </xf>
    <xf numFmtId="0" fontId="4" fillId="2" borderId="19" xfId="0" applyFont="1" applyFill="1" applyBorder="1" applyProtection="1">
      <protection locked="0"/>
    </xf>
    <xf numFmtId="0" fontId="4" fillId="0" borderId="65" xfId="0" applyFont="1" applyBorder="1"/>
    <xf numFmtId="0" fontId="4" fillId="0" borderId="19" xfId="0" applyFont="1" applyBorder="1"/>
    <xf numFmtId="0" fontId="0" fillId="0" borderId="65" xfId="0" applyBorder="1"/>
    <xf numFmtId="0" fontId="0" fillId="0" borderId="19" xfId="0" applyBorder="1"/>
    <xf numFmtId="168" fontId="4" fillId="2" borderId="65" xfId="0" applyNumberFormat="1" applyFont="1" applyFill="1" applyBorder="1" applyProtection="1">
      <protection locked="0"/>
    </xf>
    <xf numFmtId="168" fontId="4" fillId="2" borderId="19" xfId="0" applyNumberFormat="1" applyFont="1" applyFill="1" applyBorder="1" applyProtection="1">
      <protection locked="0"/>
    </xf>
    <xf numFmtId="168" fontId="4" fillId="2" borderId="66" xfId="0" applyNumberFormat="1" applyFont="1" applyFill="1" applyBorder="1" applyProtection="1">
      <protection locked="0"/>
    </xf>
    <xf numFmtId="168" fontId="4" fillId="2" borderId="9" xfId="0" applyNumberFormat="1" applyFont="1" applyFill="1" applyBorder="1" applyProtection="1">
      <protection locked="0"/>
    </xf>
    <xf numFmtId="0" fontId="0" fillId="0" borderId="64" xfId="0" applyBorder="1"/>
    <xf numFmtId="0" fontId="0" fillId="0" borderId="66" xfId="0" applyBorder="1"/>
    <xf numFmtId="0" fontId="4" fillId="2" borderId="9" xfId="0" applyFont="1" applyFill="1" applyBorder="1" applyProtection="1">
      <protection locked="0"/>
    </xf>
    <xf numFmtId="0" fontId="15" fillId="0" borderId="70" xfId="0" applyFont="1" applyBorder="1"/>
    <xf numFmtId="0" fontId="5" fillId="0" borderId="64" xfId="0" applyFont="1" applyBorder="1"/>
    <xf numFmtId="0" fontId="5" fillId="0" borderId="64" xfId="0" applyFont="1" applyBorder="1" applyAlignment="1">
      <alignment horizontal="center"/>
    </xf>
    <xf numFmtId="0" fontId="5" fillId="0" borderId="71" xfId="0" applyFont="1" applyBorder="1" applyAlignment="1">
      <alignment horizontal="center"/>
    </xf>
    <xf numFmtId="10" fontId="4" fillId="9" borderId="65" xfId="0" applyNumberFormat="1" applyFont="1" applyFill="1" applyBorder="1"/>
    <xf numFmtId="0" fontId="4" fillId="9" borderId="65" xfId="0" applyFont="1" applyFill="1" applyBorder="1"/>
    <xf numFmtId="175" fontId="4" fillId="9" borderId="65" xfId="0" applyNumberFormat="1" applyFont="1" applyFill="1" applyBorder="1"/>
    <xf numFmtId="0" fontId="4" fillId="0" borderId="42" xfId="0" applyFont="1" applyBorder="1"/>
    <xf numFmtId="168" fontId="4" fillId="9" borderId="73" xfId="0" applyNumberFormat="1" applyFont="1" applyFill="1" applyBorder="1"/>
    <xf numFmtId="0" fontId="4" fillId="0" borderId="73" xfId="0" applyFont="1" applyBorder="1"/>
    <xf numFmtId="0" fontId="0" fillId="0" borderId="43" xfId="0" applyBorder="1"/>
    <xf numFmtId="0" fontId="4" fillId="0" borderId="38" xfId="0" applyFont="1" applyBorder="1"/>
    <xf numFmtId="0" fontId="4" fillId="0" borderId="39" xfId="0" applyFont="1" applyBorder="1"/>
    <xf numFmtId="171" fontId="4" fillId="2" borderId="71" xfId="0" applyNumberFormat="1" applyFont="1" applyFill="1" applyBorder="1" applyProtection="1">
      <protection locked="0"/>
    </xf>
    <xf numFmtId="0" fontId="4" fillId="0" borderId="64" xfId="0" applyFont="1" applyBorder="1"/>
    <xf numFmtId="0" fontId="4" fillId="0" borderId="71" xfId="0" applyFont="1" applyBorder="1"/>
    <xf numFmtId="0" fontId="0" fillId="0" borderId="65" xfId="0" applyBorder="1" applyProtection="1">
      <protection locked="0"/>
    </xf>
    <xf numFmtId="0" fontId="3" fillId="0" borderId="15" xfId="0" applyFont="1" applyBorder="1"/>
    <xf numFmtId="166" fontId="4" fillId="2" borderId="65" xfId="0" applyNumberFormat="1" applyFont="1" applyFill="1" applyBorder="1" applyProtection="1">
      <protection locked="0"/>
    </xf>
    <xf numFmtId="166" fontId="4" fillId="16" borderId="65" xfId="0" applyNumberFormat="1" applyFont="1" applyFill="1" applyBorder="1" applyProtection="1">
      <protection locked="0"/>
    </xf>
    <xf numFmtId="166" fontId="4" fillId="0" borderId="65" xfId="0" applyNumberFormat="1" applyFont="1" applyBorder="1" applyProtection="1"/>
    <xf numFmtId="9" fontId="4" fillId="2" borderId="65" xfId="0" applyNumberFormat="1" applyFont="1" applyFill="1" applyBorder="1" applyProtection="1">
      <protection locked="0"/>
    </xf>
    <xf numFmtId="166" fontId="4" fillId="0" borderId="9" xfId="0" applyNumberFormat="1" applyFont="1" applyBorder="1" applyProtection="1"/>
    <xf numFmtId="166" fontId="4" fillId="9" borderId="19" xfId="0" applyNumberFormat="1" applyFont="1" applyFill="1" applyBorder="1" applyProtection="1"/>
    <xf numFmtId="166" fontId="5" fillId="8" borderId="65" xfId="0" applyNumberFormat="1" applyFont="1" applyFill="1" applyBorder="1" applyProtection="1">
      <protection locked="0"/>
    </xf>
    <xf numFmtId="0" fontId="1" fillId="9" borderId="5" xfId="0" applyFont="1" applyFill="1" applyBorder="1" applyProtection="1"/>
    <xf numFmtId="166" fontId="5" fillId="9" borderId="66" xfId="0" applyNumberFormat="1" applyFont="1" applyFill="1" applyBorder="1" applyProtection="1"/>
    <xf numFmtId="166" fontId="5" fillId="9" borderId="9" xfId="0" applyNumberFormat="1" applyFont="1" applyFill="1" applyBorder="1" applyProtection="1"/>
    <xf numFmtId="0" fontId="15" fillId="0" borderId="15" xfId="0" applyFont="1" applyBorder="1" applyAlignment="1">
      <alignment horizontal="center"/>
    </xf>
    <xf numFmtId="0" fontId="15" fillId="0" borderId="65" xfId="0" applyFont="1" applyBorder="1" applyAlignment="1">
      <alignment horizontal="center"/>
    </xf>
    <xf numFmtId="10" fontId="5" fillId="2" borderId="5" xfId="0" applyNumberFormat="1" applyFont="1" applyFill="1" applyBorder="1" applyProtection="1">
      <protection locked="0"/>
    </xf>
    <xf numFmtId="10" fontId="5" fillId="3" borderId="66" xfId="0" applyNumberFormat="1" applyFont="1" applyFill="1" applyBorder="1" applyProtection="1"/>
    <xf numFmtId="10" fontId="5" fillId="9" borderId="9" xfId="0" applyNumberFormat="1" applyFont="1" applyFill="1" applyBorder="1" applyProtection="1"/>
    <xf numFmtId="166" fontId="4" fillId="0" borderId="64" xfId="0" applyNumberFormat="1" applyFont="1" applyFill="1" applyBorder="1" applyAlignment="1" applyProtection="1">
      <alignment horizontal="center"/>
      <protection locked="0"/>
    </xf>
    <xf numFmtId="166" fontId="4" fillId="0" borderId="64" xfId="0" applyNumberFormat="1" applyFont="1" applyBorder="1" applyAlignment="1" applyProtection="1">
      <alignment horizontal="center"/>
    </xf>
    <xf numFmtId="0" fontId="22" fillId="0" borderId="0" xfId="0" applyFont="1" applyProtection="1"/>
    <xf numFmtId="0" fontId="1" fillId="0" borderId="70" xfId="0" applyFont="1" applyBorder="1"/>
    <xf numFmtId="166" fontId="4" fillId="15" borderId="0" xfId="0" applyNumberFormat="1" applyFont="1" applyFill="1" applyProtection="1"/>
    <xf numFmtId="0" fontId="1" fillId="15" borderId="0" xfId="0" applyFont="1" applyFill="1"/>
    <xf numFmtId="165" fontId="16" fillId="0" borderId="76" xfId="0" applyNumberFormat="1" applyFont="1" applyBorder="1" applyProtection="1"/>
    <xf numFmtId="165" fontId="16" fillId="0" borderId="35" xfId="0" applyNumberFormat="1" applyFont="1" applyBorder="1" applyProtection="1"/>
    <xf numFmtId="165" fontId="16" fillId="0" borderId="33" xfId="0" applyNumberFormat="1" applyFont="1" applyBorder="1"/>
    <xf numFmtId="0" fontId="16" fillId="0" borderId="1" xfId="0" applyFont="1" applyBorder="1" applyProtection="1"/>
    <xf numFmtId="0" fontId="16" fillId="0" borderId="4" xfId="0" applyFont="1" applyBorder="1" applyProtection="1"/>
    <xf numFmtId="0" fontId="16" fillId="0" borderId="77" xfId="0" applyFont="1" applyBorder="1" applyProtection="1"/>
    <xf numFmtId="0" fontId="0" fillId="0" borderId="78" xfId="0" applyBorder="1" applyProtection="1"/>
    <xf numFmtId="0" fontId="16" fillId="0" borderId="79" xfId="0" applyFont="1" applyBorder="1" applyProtection="1"/>
    <xf numFmtId="0" fontId="0" fillId="0" borderId="80" xfId="0" applyBorder="1"/>
    <xf numFmtId="0" fontId="0" fillId="0" borderId="19" xfId="0" applyBorder="1" applyAlignment="1">
      <alignment horizontal="center"/>
    </xf>
    <xf numFmtId="0" fontId="29" fillId="0" borderId="0" xfId="0" applyFont="1" applyProtection="1"/>
    <xf numFmtId="0" fontId="18" fillId="0" borderId="0" xfId="0" applyFont="1"/>
    <xf numFmtId="0" fontId="4" fillId="15" borderId="0" xfId="0" applyFont="1" applyFill="1"/>
    <xf numFmtId="166" fontId="4" fillId="0" borderId="70" xfId="0" applyNumberFormat="1" applyFont="1" applyFill="1" applyBorder="1" applyProtection="1"/>
    <xf numFmtId="0" fontId="4" fillId="0" borderId="64" xfId="0" applyFont="1" applyBorder="1" applyProtection="1"/>
    <xf numFmtId="166" fontId="4" fillId="0" borderId="64" xfId="0" applyNumberFormat="1" applyFont="1" applyFill="1" applyBorder="1" applyProtection="1"/>
    <xf numFmtId="0" fontId="0" fillId="0" borderId="71" xfId="0" applyBorder="1" applyProtection="1"/>
    <xf numFmtId="10" fontId="4" fillId="4" borderId="15" xfId="0" applyNumberFormat="1" applyFont="1" applyFill="1" applyBorder="1" applyProtection="1">
      <protection locked="0"/>
    </xf>
    <xf numFmtId="0" fontId="4" fillId="0" borderId="65" xfId="0" applyFont="1" applyBorder="1" applyProtection="1"/>
    <xf numFmtId="10" fontId="4" fillId="0" borderId="65" xfId="0" applyNumberFormat="1" applyFont="1" applyFill="1" applyBorder="1" applyProtection="1"/>
    <xf numFmtId="0" fontId="0" fillId="0" borderId="19" xfId="0" applyBorder="1" applyProtection="1"/>
    <xf numFmtId="166" fontId="4" fillId="3" borderId="15" xfId="0" applyNumberFormat="1" applyFont="1" applyFill="1" applyBorder="1" applyProtection="1"/>
    <xf numFmtId="0" fontId="4" fillId="0" borderId="65" xfId="0" applyFont="1" applyBorder="1" applyAlignment="1" applyProtection="1">
      <alignment horizontal="right"/>
    </xf>
    <xf numFmtId="166" fontId="4" fillId="3" borderId="65" xfId="0" applyNumberFormat="1" applyFont="1" applyFill="1" applyBorder="1" applyProtection="1"/>
    <xf numFmtId="0" fontId="4" fillId="0" borderId="19" xfId="0" applyFont="1" applyBorder="1" applyAlignment="1" applyProtection="1">
      <alignment horizontal="right"/>
    </xf>
    <xf numFmtId="167" fontId="5" fillId="6" borderId="15" xfId="0" applyNumberFormat="1" applyFont="1" applyFill="1" applyBorder="1" applyProtection="1"/>
    <xf numFmtId="167" fontId="4" fillId="0" borderId="65" xfId="0" applyNumberFormat="1" applyFont="1" applyBorder="1" applyProtection="1"/>
    <xf numFmtId="167" fontId="5" fillId="6" borderId="65" xfId="0" applyNumberFormat="1" applyFont="1" applyFill="1" applyBorder="1" applyProtection="1"/>
    <xf numFmtId="167" fontId="4" fillId="0" borderId="19" xfId="0" applyNumberFormat="1" applyFont="1" applyBorder="1" applyProtection="1"/>
    <xf numFmtId="166" fontId="4" fillId="0" borderId="15" xfId="0" applyNumberFormat="1" applyFont="1" applyFill="1" applyBorder="1" applyProtection="1"/>
    <xf numFmtId="0" fontId="4" fillId="0" borderId="65" xfId="0" applyFont="1" applyBorder="1" applyAlignment="1" applyProtection="1">
      <alignment horizontal="center"/>
    </xf>
    <xf numFmtId="166" fontId="4" fillId="0" borderId="65" xfId="0" applyNumberFormat="1" applyFont="1" applyFill="1" applyBorder="1" applyProtection="1"/>
    <xf numFmtId="0" fontId="4" fillId="0" borderId="19" xfId="0" applyFont="1" applyBorder="1" applyAlignment="1" applyProtection="1">
      <alignment horizontal="center"/>
    </xf>
    <xf numFmtId="0" fontId="4" fillId="0" borderId="42" xfId="0" applyFont="1" applyBorder="1" applyProtection="1"/>
    <xf numFmtId="6" fontId="4" fillId="0" borderId="73" xfId="0" applyNumberFormat="1" applyFont="1" applyBorder="1" applyProtection="1"/>
    <xf numFmtId="0" fontId="4" fillId="0" borderId="73" xfId="0" applyFont="1" applyBorder="1" applyProtection="1"/>
    <xf numFmtId="6" fontId="4" fillId="0" borderId="43" xfId="0" applyNumberFormat="1" applyFont="1" applyBorder="1" applyProtection="1"/>
    <xf numFmtId="6" fontId="4" fillId="0" borderId="81" xfId="0" applyNumberFormat="1" applyFont="1" applyBorder="1" applyProtection="1"/>
    <xf numFmtId="168" fontId="4" fillId="0" borderId="82" xfId="0" applyNumberFormat="1" applyFont="1" applyBorder="1" applyProtection="1"/>
    <xf numFmtId="6" fontId="4" fillId="0" borderId="82" xfId="0" applyNumberFormat="1" applyFont="1" applyBorder="1" applyProtection="1"/>
    <xf numFmtId="168" fontId="4" fillId="0" borderId="51" xfId="0" applyNumberFormat="1" applyFont="1" applyBorder="1" applyProtection="1"/>
    <xf numFmtId="6" fontId="4" fillId="0" borderId="83" xfId="0" applyNumberFormat="1" applyFont="1" applyBorder="1" applyProtection="1"/>
    <xf numFmtId="168" fontId="4" fillId="0" borderId="84" xfId="0" applyNumberFormat="1" applyFont="1" applyBorder="1" applyProtection="1"/>
    <xf numFmtId="6" fontId="4" fillId="0" borderId="84" xfId="0" applyNumberFormat="1" applyFont="1" applyBorder="1" applyProtection="1"/>
    <xf numFmtId="168" fontId="4" fillId="0" borderId="85" xfId="0" applyNumberFormat="1" applyFont="1" applyBorder="1" applyProtection="1"/>
    <xf numFmtId="0" fontId="4" fillId="2" borderId="70" xfId="0" applyFont="1" applyFill="1" applyBorder="1"/>
    <xf numFmtId="0" fontId="1" fillId="0" borderId="70" xfId="0" applyFont="1" applyBorder="1" applyProtection="1"/>
    <xf numFmtId="0" fontId="0" fillId="0" borderId="64" xfId="0" applyBorder="1" applyProtection="1"/>
    <xf numFmtId="0" fontId="4" fillId="0" borderId="71" xfId="0" applyFont="1" applyBorder="1" applyProtection="1"/>
    <xf numFmtId="0" fontId="3" fillId="0" borderId="15" xfId="0" applyFont="1" applyBorder="1" applyProtection="1"/>
    <xf numFmtId="0" fontId="3" fillId="0" borderId="5" xfId="0" applyFont="1" applyBorder="1" applyProtection="1"/>
    <xf numFmtId="166" fontId="4" fillId="0" borderId="66" xfId="0" applyNumberFormat="1" applyFont="1" applyBorder="1" applyProtection="1"/>
    <xf numFmtId="166" fontId="1" fillId="0" borderId="66" xfId="0" applyNumberFormat="1" applyFont="1" applyBorder="1" applyProtection="1"/>
    <xf numFmtId="166" fontId="5" fillId="0" borderId="9" xfId="0" applyNumberFormat="1" applyFont="1" applyBorder="1" applyProtection="1"/>
    <xf numFmtId="0" fontId="3" fillId="0" borderId="70" xfId="0" applyFont="1" applyBorder="1" applyProtection="1"/>
    <xf numFmtId="166" fontId="1" fillId="0" borderId="64" xfId="0" applyNumberFormat="1" applyFont="1" applyBorder="1" applyProtection="1"/>
    <xf numFmtId="0" fontId="3" fillId="0" borderId="64" xfId="0" applyFont="1" applyBorder="1" applyProtection="1"/>
    <xf numFmtId="166" fontId="5" fillId="0" borderId="66" xfId="0" applyNumberFormat="1" applyFont="1" applyBorder="1" applyProtection="1"/>
    <xf numFmtId="165" fontId="4" fillId="0" borderId="66" xfId="0" applyNumberFormat="1" applyFont="1" applyBorder="1" applyProtection="1"/>
    <xf numFmtId="0" fontId="4" fillId="0" borderId="19" xfId="0" applyFont="1" applyBorder="1" applyProtection="1"/>
    <xf numFmtId="0" fontId="0" fillId="0" borderId="15" xfId="0" applyBorder="1" applyProtection="1"/>
    <xf numFmtId="166" fontId="5" fillId="13" borderId="9" xfId="0" applyNumberFormat="1" applyFont="1" applyFill="1" applyBorder="1" applyProtection="1"/>
    <xf numFmtId="0" fontId="0" fillId="0" borderId="0" xfId="0" applyFill="1" applyProtection="1"/>
    <xf numFmtId="0" fontId="0" fillId="0" borderId="0" xfId="0" applyFill="1"/>
    <xf numFmtId="0" fontId="5" fillId="17" borderId="64" xfId="0" applyFont="1" applyFill="1" applyBorder="1" applyAlignment="1" applyProtection="1">
      <alignment horizontal="center"/>
    </xf>
    <xf numFmtId="166" fontId="5" fillId="17" borderId="66" xfId="0" applyNumberFormat="1" applyFont="1" applyFill="1" applyBorder="1" applyProtection="1"/>
    <xf numFmtId="0" fontId="5" fillId="13" borderId="64" xfId="0" applyFont="1" applyFill="1" applyBorder="1" applyAlignment="1" applyProtection="1">
      <alignment horizontal="center"/>
    </xf>
    <xf numFmtId="0" fontId="5" fillId="13" borderId="71" xfId="0" applyFont="1" applyFill="1" applyBorder="1" applyAlignment="1" applyProtection="1">
      <alignment horizontal="center"/>
    </xf>
    <xf numFmtId="0" fontId="4" fillId="0" borderId="71" xfId="0" applyFont="1" applyBorder="1" applyAlignment="1" applyProtection="1">
      <alignment horizontal="center"/>
    </xf>
    <xf numFmtId="165" fontId="4" fillId="0" borderId="0" xfId="0" applyNumberFormat="1" applyFont="1"/>
    <xf numFmtId="0" fontId="4" fillId="0" borderId="76" xfId="0" applyFont="1" applyBorder="1" applyAlignment="1">
      <alignment horizontal="center"/>
    </xf>
    <xf numFmtId="0" fontId="0" fillId="0" borderId="35" xfId="0" applyBorder="1"/>
    <xf numFmtId="165" fontId="4" fillId="0" borderId="35" xfId="0" applyNumberFormat="1" applyFont="1" applyBorder="1" applyProtection="1"/>
    <xf numFmtId="165" fontId="5" fillId="0" borderId="66" xfId="0" applyNumberFormat="1" applyFont="1" applyBorder="1" applyProtection="1"/>
    <xf numFmtId="165" fontId="5" fillId="0" borderId="33" xfId="0" applyNumberFormat="1" applyFont="1" applyBorder="1" applyProtection="1"/>
    <xf numFmtId="0" fontId="3" fillId="17" borderId="15" xfId="0" applyFont="1" applyFill="1" applyBorder="1"/>
    <xf numFmtId="166" fontId="4" fillId="20" borderId="65" xfId="0" applyNumberFormat="1" applyFont="1" applyFill="1" applyBorder="1" applyProtection="1"/>
    <xf numFmtId="164" fontId="4" fillId="17" borderId="19" xfId="0" applyNumberFormat="1" applyFont="1" applyFill="1" applyBorder="1"/>
    <xf numFmtId="168" fontId="4" fillId="17" borderId="0" xfId="0" applyNumberFormat="1" applyFont="1" applyFill="1"/>
    <xf numFmtId="0" fontId="0" fillId="17" borderId="0" xfId="0" applyFill="1"/>
    <xf numFmtId="0" fontId="3" fillId="13" borderId="5" xfId="0" applyFont="1" applyFill="1" applyBorder="1"/>
    <xf numFmtId="166" fontId="4" fillId="21" borderId="66" xfId="0" applyNumberFormat="1" applyFont="1" applyFill="1" applyBorder="1" applyProtection="1"/>
    <xf numFmtId="166" fontId="4" fillId="13" borderId="9" xfId="0" applyNumberFormat="1" applyFont="1" applyFill="1" applyBorder="1"/>
    <xf numFmtId="168" fontId="4" fillId="13" borderId="0" xfId="0" applyNumberFormat="1" applyFont="1" applyFill="1"/>
    <xf numFmtId="0" fontId="0" fillId="13" borderId="0" xfId="0" applyFill="1"/>
    <xf numFmtId="0" fontId="4" fillId="0" borderId="0" xfId="0" applyFont="1" applyFill="1"/>
    <xf numFmtId="0" fontId="0" fillId="0" borderId="0" xfId="0" applyFill="1" applyProtection="1">
      <protection locked="0"/>
    </xf>
    <xf numFmtId="168" fontId="4" fillId="2" borderId="71" xfId="0" applyNumberFormat="1" applyFont="1" applyFill="1" applyBorder="1" applyProtection="1">
      <protection locked="0"/>
    </xf>
    <xf numFmtId="0" fontId="4" fillId="0" borderId="1" xfId="0" applyFont="1" applyBorder="1"/>
    <xf numFmtId="0" fontId="4" fillId="0" borderId="77" xfId="0" applyFont="1" applyBorder="1"/>
    <xf numFmtId="0" fontId="4" fillId="0" borderId="18" xfId="0" applyFont="1" applyBorder="1"/>
    <xf numFmtId="0" fontId="4" fillId="0" borderId="79" xfId="0" applyFont="1" applyBorder="1"/>
    <xf numFmtId="0" fontId="4" fillId="0" borderId="8" xfId="0" applyFont="1" applyBorder="1"/>
    <xf numFmtId="168" fontId="4" fillId="9" borderId="19" xfId="0" applyNumberFormat="1" applyFont="1" applyFill="1" applyBorder="1"/>
    <xf numFmtId="10" fontId="4" fillId="9" borderId="19" xfId="0" applyNumberFormat="1" applyFont="1" applyFill="1" applyBorder="1"/>
    <xf numFmtId="0" fontId="4" fillId="16" borderId="65" xfId="0" applyFont="1" applyFill="1" applyBorder="1" applyProtection="1">
      <protection locked="0"/>
    </xf>
    <xf numFmtId="0" fontId="4" fillId="16" borderId="19" xfId="0" applyFont="1" applyFill="1" applyBorder="1" applyProtection="1">
      <protection locked="0"/>
    </xf>
    <xf numFmtId="0" fontId="4" fillId="0" borderId="3" xfId="0" applyFont="1" applyBorder="1"/>
    <xf numFmtId="168" fontId="4" fillId="2" borderId="14" xfId="0" applyNumberFormat="1" applyFont="1" applyFill="1" applyBorder="1" applyProtection="1">
      <protection locked="0"/>
    </xf>
    <xf numFmtId="0" fontId="4" fillId="0" borderId="5" xfId="0" applyFont="1" applyBorder="1" applyAlignment="1">
      <alignment horizontal="center"/>
    </xf>
    <xf numFmtId="0" fontId="4" fillId="0" borderId="66" xfId="0" applyFont="1" applyBorder="1" applyAlignment="1">
      <alignment horizontal="center"/>
    </xf>
    <xf numFmtId="0" fontId="4" fillId="0" borderId="9" xfId="0" applyFont="1" applyBorder="1" applyAlignment="1">
      <alignment horizontal="center"/>
    </xf>
    <xf numFmtId="0" fontId="4" fillId="0" borderId="74" xfId="0" applyFont="1" applyBorder="1"/>
    <xf numFmtId="0" fontId="4" fillId="0" borderId="46" xfId="0" applyFont="1" applyBorder="1"/>
    <xf numFmtId="0" fontId="4" fillId="9" borderId="38" xfId="0" applyFont="1" applyFill="1" applyBorder="1" applyAlignment="1">
      <alignment horizontal="center"/>
    </xf>
    <xf numFmtId="0" fontId="4" fillId="9" borderId="68" xfId="0" applyFont="1" applyFill="1" applyBorder="1" applyAlignment="1">
      <alignment horizontal="center"/>
    </xf>
    <xf numFmtId="0" fontId="4" fillId="9" borderId="39" xfId="0" applyFont="1" applyFill="1" applyBorder="1" applyAlignment="1">
      <alignment horizontal="center"/>
    </xf>
    <xf numFmtId="168" fontId="5" fillId="9" borderId="66" xfId="0" applyNumberFormat="1" applyFont="1" applyFill="1" applyBorder="1"/>
    <xf numFmtId="168" fontId="5" fillId="9" borderId="9" xfId="0" applyNumberFormat="1" applyFont="1" applyFill="1" applyBorder="1"/>
    <xf numFmtId="0" fontId="4" fillId="0" borderId="0" xfId="0" applyFont="1" applyAlignment="1">
      <alignment horizontal="center"/>
    </xf>
    <xf numFmtId="0" fontId="1" fillId="0" borderId="70" xfId="0" applyFont="1" applyBorder="1" applyProtection="1">
      <protection hidden="1"/>
    </xf>
    <xf numFmtId="0" fontId="25" fillId="0" borderId="64" xfId="0" applyFont="1" applyBorder="1" applyProtection="1">
      <protection hidden="1"/>
    </xf>
    <xf numFmtId="0" fontId="3" fillId="0" borderId="64" xfId="0" applyFont="1" applyBorder="1" applyProtection="1">
      <protection hidden="1"/>
    </xf>
    <xf numFmtId="0" fontId="25" fillId="0" borderId="71" xfId="0" applyFont="1" applyBorder="1" applyProtection="1">
      <protection hidden="1"/>
    </xf>
    <xf numFmtId="0" fontId="25" fillId="0" borderId="15" xfId="0" applyFont="1" applyBorder="1" applyProtection="1">
      <protection hidden="1"/>
    </xf>
    <xf numFmtId="0" fontId="25" fillId="0" borderId="65" xfId="0" applyFont="1" applyBorder="1" applyProtection="1">
      <protection hidden="1"/>
    </xf>
    <xf numFmtId="0" fontId="25" fillId="0" borderId="19" xfId="0" applyFont="1" applyBorder="1" applyProtection="1">
      <protection hidden="1"/>
    </xf>
    <xf numFmtId="1" fontId="25" fillId="0" borderId="65" xfId="0" applyNumberFormat="1" applyFont="1" applyBorder="1" applyProtection="1">
      <protection hidden="1"/>
    </xf>
    <xf numFmtId="0" fontId="25" fillId="0" borderId="5" xfId="0" applyFont="1" applyBorder="1" applyProtection="1">
      <protection hidden="1"/>
    </xf>
    <xf numFmtId="0" fontId="25" fillId="0" borderId="66" xfId="0" applyFont="1" applyBorder="1" applyProtection="1">
      <protection hidden="1"/>
    </xf>
    <xf numFmtId="0" fontId="25" fillId="0" borderId="9" xfId="0" applyFont="1" applyBorder="1" applyProtection="1">
      <protection hidden="1"/>
    </xf>
    <xf numFmtId="0" fontId="3" fillId="0" borderId="64" xfId="0" applyFont="1" applyBorder="1"/>
    <xf numFmtId="0" fontId="0" fillId="0" borderId="71" xfId="0" applyBorder="1"/>
    <xf numFmtId="0" fontId="0" fillId="0" borderId="15" xfId="0" applyBorder="1"/>
    <xf numFmtId="1" fontId="0" fillId="0" borderId="65" xfId="0" applyNumberFormat="1" applyBorder="1"/>
    <xf numFmtId="0" fontId="0" fillId="0" borderId="5" xfId="0" applyBorder="1"/>
    <xf numFmtId="0" fontId="0" fillId="0" borderId="9" xfId="0" applyBorder="1"/>
    <xf numFmtId="0" fontId="0" fillId="0" borderId="71" xfId="0" applyBorder="1" applyProtection="1">
      <protection hidden="1"/>
    </xf>
    <xf numFmtId="0" fontId="0" fillId="0" borderId="15" xfId="0" applyBorder="1" applyProtection="1">
      <protection hidden="1"/>
    </xf>
    <xf numFmtId="1" fontId="0" fillId="0" borderId="65" xfId="0" applyNumberFormat="1" applyBorder="1" applyProtection="1">
      <protection hidden="1"/>
    </xf>
    <xf numFmtId="0" fontId="0" fillId="0" borderId="9" xfId="0" applyBorder="1" applyProtection="1">
      <protection hidden="1"/>
    </xf>
    <xf numFmtId="0" fontId="5" fillId="0" borderId="70" xfId="0" applyFont="1" applyBorder="1" applyProtection="1">
      <protection hidden="1"/>
    </xf>
    <xf numFmtId="0" fontId="4" fillId="0" borderId="18" xfId="0" applyFont="1" applyBorder="1" applyProtection="1">
      <protection hidden="1"/>
    </xf>
    <xf numFmtId="0" fontId="4" fillId="0" borderId="36" xfId="0" applyFont="1" applyBorder="1" applyProtection="1">
      <protection hidden="1"/>
    </xf>
    <xf numFmtId="10" fontId="4" fillId="0" borderId="0" xfId="0" applyNumberFormat="1" applyFont="1" applyProtection="1">
      <protection hidden="1"/>
    </xf>
    <xf numFmtId="165" fontId="4" fillId="0" borderId="0" xfId="0" applyNumberFormat="1" applyFont="1" applyProtection="1">
      <protection hidden="1"/>
    </xf>
    <xf numFmtId="0" fontId="4" fillId="0" borderId="0" xfId="0" applyFont="1" applyAlignment="1">
      <alignment horizontal="center"/>
    </xf>
    <xf numFmtId="0" fontId="23" fillId="0" borderId="0" xfId="0" applyFont="1" applyAlignment="1" applyProtection="1">
      <alignment horizontal="center"/>
    </xf>
    <xf numFmtId="166" fontId="4" fillId="0" borderId="19" xfId="0" applyNumberFormat="1" applyFont="1" applyFill="1" applyBorder="1" applyProtection="1"/>
    <xf numFmtId="1" fontId="5" fillId="0" borderId="0" xfId="0" applyNumberFormat="1" applyFont="1" applyProtection="1"/>
    <xf numFmtId="168" fontId="5" fillId="0" borderId="0" xfId="0" applyNumberFormat="1" applyFont="1" applyAlignment="1">
      <alignment horizontal="center"/>
    </xf>
    <xf numFmtId="168" fontId="5" fillId="0" borderId="0" xfId="0" applyNumberFormat="1" applyFont="1"/>
    <xf numFmtId="168" fontId="4" fillId="9" borderId="76" xfId="0" applyNumberFormat="1" applyFont="1" applyFill="1" applyBorder="1"/>
    <xf numFmtId="168" fontId="4" fillId="9" borderId="33" xfId="0" applyNumberFormat="1" applyFont="1" applyFill="1" applyBorder="1"/>
    <xf numFmtId="0" fontId="31" fillId="11" borderId="72" xfId="0" applyFont="1" applyFill="1" applyBorder="1"/>
    <xf numFmtId="168" fontId="31" fillId="12" borderId="72" xfId="0" applyNumberFormat="1" applyFont="1" applyFill="1" applyBorder="1"/>
    <xf numFmtId="168" fontId="31" fillId="11" borderId="72" xfId="0" applyNumberFormat="1" applyFont="1" applyFill="1" applyBorder="1"/>
    <xf numFmtId="0" fontId="0" fillId="0" borderId="0" xfId="0" applyBorder="1"/>
    <xf numFmtId="167" fontId="4" fillId="9" borderId="65" xfId="0" applyNumberFormat="1" applyFont="1" applyFill="1" applyBorder="1"/>
    <xf numFmtId="0" fontId="4" fillId="10" borderId="65" xfId="0" applyFont="1" applyFill="1" applyBorder="1" applyProtection="1">
      <protection locked="0"/>
    </xf>
    <xf numFmtId="0" fontId="4" fillId="10" borderId="19" xfId="0" applyFont="1" applyFill="1" applyBorder="1" applyProtection="1">
      <protection locked="0"/>
    </xf>
    <xf numFmtId="176" fontId="4" fillId="10" borderId="65" xfId="0" applyNumberFormat="1" applyFont="1" applyFill="1" applyBorder="1" applyProtection="1">
      <protection locked="0"/>
    </xf>
    <xf numFmtId="176" fontId="4" fillId="10" borderId="19" xfId="0" applyNumberFormat="1" applyFont="1" applyFill="1" applyBorder="1" applyProtection="1">
      <protection locked="0"/>
    </xf>
    <xf numFmtId="10" fontId="4" fillId="8" borderId="65" xfId="0" applyNumberFormat="1" applyFont="1" applyFill="1" applyBorder="1" applyProtection="1"/>
    <xf numFmtId="10" fontId="4" fillId="8" borderId="19" xfId="0" applyNumberFormat="1" applyFont="1" applyFill="1" applyBorder="1" applyProtection="1"/>
    <xf numFmtId="0" fontId="32" fillId="0" borderId="0" xfId="0" applyFont="1"/>
    <xf numFmtId="0" fontId="33" fillId="0" borderId="0" xfId="0" applyFont="1"/>
    <xf numFmtId="0" fontId="0" fillId="0" borderId="0" xfId="0" applyFill="1" applyBorder="1" applyProtection="1"/>
    <xf numFmtId="10" fontId="0" fillId="0" borderId="0" xfId="0" applyNumberFormat="1" applyProtection="1"/>
    <xf numFmtId="166" fontId="0" fillId="0" borderId="0" xfId="0" applyNumberFormat="1" applyProtection="1"/>
    <xf numFmtId="3" fontId="0" fillId="0" borderId="0" xfId="0" applyNumberFormat="1" applyProtection="1"/>
    <xf numFmtId="0" fontId="3" fillId="15" borderId="0" xfId="0" applyFont="1" applyFill="1"/>
    <xf numFmtId="0" fontId="5" fillId="0" borderId="36" xfId="0" applyFont="1" applyBorder="1"/>
    <xf numFmtId="0" fontId="0" fillId="0" borderId="36" xfId="0" applyBorder="1"/>
    <xf numFmtId="10" fontId="4" fillId="9" borderId="65" xfId="0" applyNumberFormat="1" applyFont="1" applyFill="1" applyBorder="1" applyProtection="1">
      <protection locked="0"/>
    </xf>
    <xf numFmtId="10" fontId="4" fillId="9" borderId="19" xfId="0" applyNumberFormat="1" applyFont="1" applyFill="1" applyBorder="1" applyProtection="1">
      <protection locked="0"/>
    </xf>
    <xf numFmtId="168" fontId="4" fillId="16" borderId="19" xfId="0" applyNumberFormat="1" applyFont="1" applyFill="1" applyBorder="1" applyProtection="1">
      <protection locked="0"/>
    </xf>
    <xf numFmtId="166" fontId="0" fillId="0" borderId="0" xfId="0" applyNumberFormat="1"/>
    <xf numFmtId="164" fontId="0" fillId="0" borderId="65" xfId="0" applyNumberFormat="1" applyBorder="1" applyProtection="1">
      <protection hidden="1"/>
    </xf>
    <xf numFmtId="0" fontId="34" fillId="0" borderId="0" xfId="1"/>
    <xf numFmtId="0" fontId="0" fillId="0" borderId="86" xfId="0" applyBorder="1"/>
    <xf numFmtId="3" fontId="0" fillId="0" borderId="87" xfId="0" applyNumberFormat="1" applyBorder="1"/>
    <xf numFmtId="3" fontId="0" fillId="0" borderId="88" xfId="0" applyNumberFormat="1" applyBorder="1"/>
    <xf numFmtId="3" fontId="0" fillId="2" borderId="0" xfId="0" applyNumberFormat="1" applyFill="1" applyProtection="1">
      <protection locked="0"/>
    </xf>
    <xf numFmtId="0" fontId="0" fillId="2" borderId="0" xfId="0" applyFill="1" applyProtection="1">
      <protection locked="0"/>
    </xf>
    <xf numFmtId="10" fontId="0" fillId="2" borderId="0" xfId="0" applyNumberFormat="1" applyFill="1" applyProtection="1">
      <protection locked="0"/>
    </xf>
    <xf numFmtId="1" fontId="0" fillId="22" borderId="0" xfId="0" applyNumberFormat="1" applyFill="1"/>
    <xf numFmtId="0" fontId="0" fillId="0" borderId="70" xfId="0" applyBorder="1"/>
    <xf numFmtId="3" fontId="0" fillId="0" borderId="65" xfId="0" applyNumberFormat="1" applyBorder="1"/>
    <xf numFmtId="3" fontId="0" fillId="0" borderId="15" xfId="0" applyNumberFormat="1" applyBorder="1"/>
    <xf numFmtId="3" fontId="0" fillId="0" borderId="19" xfId="0" applyNumberFormat="1" applyBorder="1"/>
    <xf numFmtId="3" fontId="0" fillId="0" borderId="5" xfId="0" applyNumberFormat="1" applyBorder="1"/>
    <xf numFmtId="3" fontId="0" fillId="0" borderId="66" xfId="0" applyNumberFormat="1" applyBorder="1"/>
    <xf numFmtId="3" fontId="0" fillId="0" borderId="9" xfId="0" applyNumberFormat="1" applyBorder="1"/>
    <xf numFmtId="3" fontId="0" fillId="0" borderId="64" xfId="0" applyNumberFormat="1" applyBorder="1"/>
    <xf numFmtId="3" fontId="0" fillId="0" borderId="71" xfId="0" applyNumberFormat="1" applyBorder="1"/>
    <xf numFmtId="3" fontId="0" fillId="22" borderId="0" xfId="0" applyNumberFormat="1" applyFill="1"/>
    <xf numFmtId="3" fontId="0" fillId="0" borderId="76" xfId="0" applyNumberFormat="1" applyBorder="1"/>
    <xf numFmtId="3" fontId="0" fillId="0" borderId="35" xfId="0" applyNumberFormat="1" applyBorder="1"/>
    <xf numFmtId="3" fontId="0" fillId="22" borderId="35" xfId="0" applyNumberFormat="1" applyFill="1" applyBorder="1"/>
    <xf numFmtId="3" fontId="0" fillId="0" borderId="33" xfId="0" applyNumberFormat="1" applyBorder="1"/>
    <xf numFmtId="3" fontId="24" fillId="9" borderId="69" xfId="0" applyNumberFormat="1" applyFont="1" applyFill="1" applyBorder="1"/>
    <xf numFmtId="0" fontId="0" fillId="0" borderId="0" xfId="0" applyFont="1"/>
    <xf numFmtId="0" fontId="35" fillId="0" borderId="0" xfId="0" applyFont="1"/>
    <xf numFmtId="3" fontId="15" fillId="0" borderId="0" xfId="0" applyNumberFormat="1" applyFont="1" applyFill="1" applyBorder="1" applyAlignment="1">
      <alignment horizontal="left"/>
    </xf>
    <xf numFmtId="168" fontId="36" fillId="13" borderId="0" xfId="0" applyNumberFormat="1" applyFont="1" applyFill="1" applyAlignment="1">
      <alignment horizontal="center"/>
    </xf>
    <xf numFmtId="168" fontId="5" fillId="13" borderId="0" xfId="0" applyNumberFormat="1" applyFont="1" applyFill="1"/>
    <xf numFmtId="0" fontId="36" fillId="0" borderId="0" xfId="0" applyFont="1"/>
    <xf numFmtId="0" fontId="37" fillId="0" borderId="0" xfId="0" applyFont="1"/>
    <xf numFmtId="0" fontId="4" fillId="0" borderId="74" xfId="0" applyFont="1" applyFill="1" applyBorder="1"/>
    <xf numFmtId="0" fontId="0" fillId="0" borderId="46" xfId="0" applyBorder="1"/>
    <xf numFmtId="168" fontId="4" fillId="8" borderId="36" xfId="0" applyNumberFormat="1" applyFont="1" applyFill="1" applyBorder="1" applyProtection="1">
      <protection locked="0"/>
    </xf>
    <xf numFmtId="0" fontId="0" fillId="0" borderId="81" xfId="0" applyBorder="1"/>
    <xf numFmtId="0" fontId="0" fillId="0" borderId="82" xfId="0" applyBorder="1" applyProtection="1">
      <protection hidden="1"/>
    </xf>
    <xf numFmtId="0" fontId="0" fillId="0" borderId="82" xfId="0" applyBorder="1"/>
    <xf numFmtId="0" fontId="0" fillId="0" borderId="51" xfId="0" applyBorder="1" applyProtection="1">
      <protection hidden="1"/>
    </xf>
    <xf numFmtId="0" fontId="28" fillId="0" borderId="0" xfId="0" applyFont="1" applyAlignment="1">
      <alignment horizontal="center"/>
    </xf>
    <xf numFmtId="0" fontId="4" fillId="0" borderId="0" xfId="0" applyFont="1" applyAlignment="1">
      <alignment horizontal="center"/>
    </xf>
    <xf numFmtId="0" fontId="28" fillId="0" borderId="75" xfId="0" applyFont="1" applyBorder="1" applyAlignment="1">
      <alignment horizontal="center"/>
    </xf>
    <xf numFmtId="0" fontId="11" fillId="0" borderId="0" xfId="0" applyFont="1" applyAlignment="1">
      <alignment horizontal="center"/>
    </xf>
    <xf numFmtId="0" fontId="0" fillId="0" borderId="0" xfId="0" applyAlignment="1">
      <alignment horizontal="center"/>
    </xf>
    <xf numFmtId="0" fontId="1" fillId="17" borderId="38" xfId="0" applyFont="1" applyFill="1" applyBorder="1" applyAlignment="1" applyProtection="1">
      <alignment horizontal="center"/>
    </xf>
    <xf numFmtId="0" fontId="24" fillId="17" borderId="39" xfId="0" applyFont="1" applyFill="1" applyBorder="1" applyAlignment="1" applyProtection="1">
      <alignment horizontal="center"/>
    </xf>
    <xf numFmtId="0" fontId="1" fillId="13" borderId="38" xfId="0" applyFont="1" applyFill="1" applyBorder="1" applyAlignment="1" applyProtection="1">
      <alignment horizontal="center"/>
    </xf>
    <xf numFmtId="0" fontId="24" fillId="13" borderId="39" xfId="0" applyFont="1" applyFill="1" applyBorder="1" applyAlignment="1" applyProtection="1">
      <alignment horizontal="center"/>
    </xf>
    <xf numFmtId="0" fontId="5" fillId="0" borderId="74" xfId="0" applyFont="1" applyBorder="1" applyAlignment="1">
      <alignment horizontal="center"/>
    </xf>
    <xf numFmtId="0" fontId="24" fillId="0" borderId="46" xfId="0" applyFont="1" applyBorder="1" applyAlignment="1">
      <alignment horizontal="center"/>
    </xf>
    <xf numFmtId="0" fontId="5" fillId="0" borderId="1" xfId="0" applyFont="1" applyBorder="1" applyAlignment="1">
      <alignment horizontal="center"/>
    </xf>
    <xf numFmtId="0" fontId="24" fillId="0" borderId="3" xfId="0" applyFont="1" applyBorder="1" applyAlignment="1">
      <alignment horizontal="center"/>
    </xf>
    <xf numFmtId="0" fontId="24" fillId="0" borderId="4" xfId="0" applyFont="1" applyBorder="1" applyAlignment="1">
      <alignment horizontal="center"/>
    </xf>
    <xf numFmtId="0" fontId="5" fillId="13" borderId="0" xfId="0" applyFont="1" applyFill="1" applyAlignment="1">
      <alignment horizontal="center"/>
    </xf>
    <xf numFmtId="0" fontId="5" fillId="14" borderId="0" xfId="0" applyFont="1" applyFill="1" applyAlignment="1">
      <alignment horizontal="center"/>
    </xf>
    <xf numFmtId="0" fontId="4" fillId="18" borderId="0" xfId="0" applyFont="1" applyFill="1" applyAlignment="1">
      <alignment horizontal="center"/>
    </xf>
    <xf numFmtId="0" fontId="0" fillId="18" borderId="0" xfId="0" applyFill="1" applyAlignment="1">
      <alignment horizontal="center"/>
    </xf>
    <xf numFmtId="0" fontId="5" fillId="17" borderId="0" xfId="0" applyFont="1" applyFill="1" applyAlignment="1">
      <alignment horizontal="center"/>
    </xf>
    <xf numFmtId="0" fontId="24" fillId="17" borderId="0" xfId="0" applyFont="1" applyFill="1" applyAlignment="1">
      <alignment horizontal="center"/>
    </xf>
    <xf numFmtId="0" fontId="24" fillId="13" borderId="0" xfId="0" applyFont="1" applyFill="1" applyAlignment="1">
      <alignment horizontal="center"/>
    </xf>
    <xf numFmtId="0" fontId="0" fillId="13" borderId="0" xfId="0" applyFill="1" applyAlignment="1">
      <alignment horizontal="center"/>
    </xf>
    <xf numFmtId="0" fontId="30" fillId="0" borderId="0" xfId="0" applyFont="1" applyAlignment="1">
      <alignment horizontal="center"/>
    </xf>
    <xf numFmtId="0" fontId="20" fillId="0" borderId="0" xfId="0" applyFont="1" applyAlignment="1">
      <alignment horizontal="center"/>
    </xf>
    <xf numFmtId="0" fontId="0" fillId="0" borderId="1" xfId="0" applyBorder="1" applyAlignment="1" applyProtection="1">
      <alignment horizontal="center"/>
      <protection hidden="1"/>
    </xf>
    <xf numFmtId="0" fontId="0" fillId="0" borderId="4" xfId="0" applyBorder="1" applyAlignment="1" applyProtection="1">
      <alignment horizontal="center"/>
      <protection hidden="1"/>
    </xf>
    <xf numFmtId="0" fontId="4" fillId="0" borderId="1" xfId="0" applyFont="1" applyBorder="1" applyAlignment="1" applyProtection="1">
      <alignment horizontal="center"/>
      <protection hidden="1"/>
    </xf>
    <xf numFmtId="0" fontId="4" fillId="0" borderId="2" xfId="0" applyFont="1" applyBorder="1" applyAlignment="1" applyProtection="1">
      <alignment horizontal="center"/>
      <protection hidden="1"/>
    </xf>
    <xf numFmtId="0" fontId="4" fillId="0" borderId="3" xfId="0" applyFont="1" applyBorder="1" applyAlignment="1" applyProtection="1">
      <alignment horizontal="center"/>
      <protection hidden="1"/>
    </xf>
    <xf numFmtId="0" fontId="4" fillId="0" borderId="4" xfId="0" applyFont="1" applyBorder="1" applyAlignment="1" applyProtection="1">
      <alignment horizontal="center"/>
      <protection hidden="1"/>
    </xf>
    <xf numFmtId="0" fontId="4" fillId="0" borderId="20" xfId="0" applyFont="1" applyBorder="1" applyAlignment="1" applyProtection="1">
      <alignment horizontal="center"/>
      <protection hidden="1"/>
    </xf>
    <xf numFmtId="0" fontId="4" fillId="0" borderId="21" xfId="0" applyFont="1" applyBorder="1" applyAlignment="1" applyProtection="1">
      <alignment horizontal="center"/>
      <protection hidden="1"/>
    </xf>
    <xf numFmtId="0" fontId="4" fillId="0" borderId="22" xfId="0" applyFont="1" applyBorder="1" applyAlignment="1" applyProtection="1">
      <alignment horizontal="center"/>
      <protection hidden="1"/>
    </xf>
    <xf numFmtId="0" fontId="4" fillId="0" borderId="23" xfId="0" applyFont="1" applyBorder="1" applyAlignment="1" applyProtection="1">
      <alignment horizontal="center"/>
      <protection hidden="1"/>
    </xf>
    <xf numFmtId="0" fontId="22" fillId="0" borderId="0" xfId="0" applyFont="1" applyAlignment="1" applyProtection="1">
      <alignment horizontal="center"/>
    </xf>
    <xf numFmtId="0" fontId="23" fillId="0" borderId="0" xfId="0" applyFont="1" applyAlignment="1" applyProtection="1">
      <alignment horizontal="center"/>
    </xf>
    <xf numFmtId="0" fontId="1" fillId="0" borderId="38" xfId="0" applyFont="1" applyBorder="1" applyAlignment="1" applyProtection="1">
      <alignment horizontal="center"/>
    </xf>
    <xf numFmtId="0" fontId="24" fillId="0" borderId="39" xfId="0" applyFont="1" applyBorder="1" applyAlignment="1" applyProtection="1">
      <alignment horizontal="center"/>
    </xf>
  </cellXfs>
  <cellStyles count="2">
    <cellStyle name="Lien hypertexte" xfId="1" builtinId="8"/>
    <cellStyle name="Normal" xfId="0" builtinId="0"/>
  </cellStyles>
  <dxfs count="0"/>
  <tableStyles count="0" defaultTableStyle="TableStyleMedium9" defaultPivotStyle="PivotStyleLight16"/>
  <colors>
    <mruColors>
      <color rgb="FFFFFF99"/>
      <color rgb="FF3FCDFF"/>
      <color rgb="FF0099FF"/>
      <color rgb="FF1DC4FF"/>
      <color rgb="FF008000"/>
      <color rgb="FFEBA915"/>
      <color rgb="FF47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fr-CA"/>
              <a:t>Comparaison</a:t>
            </a:r>
            <a:r>
              <a:rPr lang="fr-CA" baseline="0"/>
              <a:t> décaissement CELI VS REER </a:t>
            </a:r>
          </a:p>
          <a:p>
            <a:pPr>
              <a:defRPr/>
            </a:pPr>
            <a:r>
              <a:rPr lang="fr-CA" baseline="0"/>
              <a:t>Selon votre réalité financière et fiscale de 2021 !</a:t>
            </a:r>
          </a:p>
        </c:rich>
      </c:tx>
      <c:layout>
        <c:manualLayout>
          <c:xMode val="edge"/>
          <c:yMode val="edge"/>
          <c:x val="0.14370915859732708"/>
          <c:y val="2.6017858368897091E-5"/>
        </c:manualLayout>
      </c:layout>
      <c:overlay val="0"/>
    </c:title>
    <c:autoTitleDeleted val="0"/>
    <c:plotArea>
      <c:layout>
        <c:manualLayout>
          <c:layoutTarget val="inner"/>
          <c:xMode val="edge"/>
          <c:yMode val="edge"/>
          <c:x val="0.13772120494096179"/>
          <c:y val="0.24350039747132576"/>
          <c:w val="0.83197207602110201"/>
          <c:h val="0.67776147935041975"/>
        </c:manualLayout>
      </c:layout>
      <c:lineChart>
        <c:grouping val="standard"/>
        <c:varyColors val="0"/>
        <c:ser>
          <c:idx val="1"/>
          <c:order val="0"/>
          <c:tx>
            <c:strRef>
              <c:f>'Données graphique RVER vs CELI'!$C$7</c:f>
              <c:strCache>
                <c:ptCount val="1"/>
                <c:pt idx="0">
                  <c:v>CELI</c:v>
                </c:pt>
              </c:strCache>
            </c:strRef>
          </c:tx>
          <c:spPr>
            <a:ln>
              <a:solidFill>
                <a:srgbClr val="0070C0"/>
              </a:solidFill>
            </a:ln>
          </c:spPr>
          <c:marker>
            <c:symbol val="none"/>
          </c:marker>
          <c:cat>
            <c:numRef>
              <c:f>'Données graphique RVER vs CELI'!$B$8:$B$38</c:f>
              <c:numCache>
                <c:formatCode>General</c:formatCode>
                <c:ptCount val="31"/>
                <c:pt idx="0">
                  <c:v>64</c:v>
                </c:pt>
                <c:pt idx="1">
                  <c:v>65</c:v>
                </c:pt>
                <c:pt idx="2">
                  <c:v>66</c:v>
                </c:pt>
                <c:pt idx="3">
                  <c:v>67</c:v>
                </c:pt>
                <c:pt idx="4">
                  <c:v>68</c:v>
                </c:pt>
                <c:pt idx="5">
                  <c:v>69</c:v>
                </c:pt>
                <c:pt idx="6">
                  <c:v>70</c:v>
                </c:pt>
                <c:pt idx="7">
                  <c:v>71</c:v>
                </c:pt>
                <c:pt idx="8">
                  <c:v>72</c:v>
                </c:pt>
                <c:pt idx="9">
                  <c:v>73</c:v>
                </c:pt>
                <c:pt idx="10">
                  <c:v>74</c:v>
                </c:pt>
                <c:pt idx="11">
                  <c:v>75</c:v>
                </c:pt>
                <c:pt idx="12">
                  <c:v>76</c:v>
                </c:pt>
                <c:pt idx="13">
                  <c:v>77</c:v>
                </c:pt>
                <c:pt idx="14">
                  <c:v>78</c:v>
                </c:pt>
                <c:pt idx="15">
                  <c:v>79</c:v>
                </c:pt>
                <c:pt idx="16">
                  <c:v>80</c:v>
                </c:pt>
                <c:pt idx="17">
                  <c:v>81</c:v>
                </c:pt>
                <c:pt idx="18">
                  <c:v>82</c:v>
                </c:pt>
                <c:pt idx="19">
                  <c:v>83</c:v>
                </c:pt>
                <c:pt idx="20">
                  <c:v>84</c:v>
                </c:pt>
                <c:pt idx="21">
                  <c:v>85</c:v>
                </c:pt>
                <c:pt idx="22">
                  <c:v>86</c:v>
                </c:pt>
                <c:pt idx="23">
                  <c:v>87</c:v>
                </c:pt>
                <c:pt idx="24">
                  <c:v>88</c:v>
                </c:pt>
                <c:pt idx="25">
                  <c:v>89</c:v>
                </c:pt>
                <c:pt idx="26">
                  <c:v>90</c:v>
                </c:pt>
                <c:pt idx="27">
                  <c:v>91</c:v>
                </c:pt>
                <c:pt idx="28">
                  <c:v>92</c:v>
                </c:pt>
                <c:pt idx="29">
                  <c:v>93</c:v>
                </c:pt>
                <c:pt idx="30">
                  <c:v>94</c:v>
                </c:pt>
              </c:numCache>
            </c:numRef>
          </c:cat>
          <c:val>
            <c:numRef>
              <c:f>'Données graphique RVER vs CELI'!$C$8:$C$38</c:f>
              <c:numCache>
                <c:formatCode>#\ ##0\ "$"</c:formatCode>
                <c:ptCount val="31"/>
                <c:pt idx="0" formatCode="&quot;$&quot;#,##0_);[Red]\(&quot;$&quot;#,##0\)">
                  <c:v>239792.03562756503</c:v>
                </c:pt>
                <c:pt idx="1">
                  <c:v>233219.10484920227</c:v>
                </c:pt>
                <c:pt idx="2">
                  <c:v>226550.26392197577</c:v>
                </c:pt>
                <c:pt idx="3">
                  <c:v>219784.11335500921</c:v>
                </c:pt>
                <c:pt idx="4">
                  <c:v>212919.23323649337</c:v>
                </c:pt>
                <c:pt idx="5">
                  <c:v>205954.18293571027</c:v>
                </c:pt>
                <c:pt idx="6">
                  <c:v>198887.50080070939</c:v>
                </c:pt>
                <c:pt idx="7">
                  <c:v>191717.70385157235</c:v>
                </c:pt>
                <c:pt idx="8">
                  <c:v>184443.28746920195</c:v>
                </c:pt>
                <c:pt idx="9">
                  <c:v>177062.72507956999</c:v>
                </c:pt>
                <c:pt idx="10">
                  <c:v>169574.46783335778</c:v>
                </c:pt>
                <c:pt idx="11">
                  <c:v>161976.94428092209</c:v>
                </c:pt>
                <c:pt idx="12">
                  <c:v>154268.56004251834</c:v>
                </c:pt>
                <c:pt idx="13">
                  <c:v>146447.69747371168</c:v>
                </c:pt>
                <c:pt idx="14">
                  <c:v>138512.71532590591</c:v>
                </c:pt>
                <c:pt idx="15">
                  <c:v>130461.94840191895</c:v>
                </c:pt>
                <c:pt idx="16">
                  <c:v>122293.70720653259</c:v>
                </c:pt>
                <c:pt idx="17">
                  <c:v>114006.27759194313</c:v>
                </c:pt>
                <c:pt idx="18">
                  <c:v>105597.92039803859</c:v>
                </c:pt>
                <c:pt idx="19">
                  <c:v>97066.871087426902</c:v>
                </c:pt>
                <c:pt idx="20">
                  <c:v>88411.339375138617</c:v>
                </c:pt>
                <c:pt idx="21">
                  <c:v>79629.508852926287</c:v>
                </c:pt>
                <c:pt idx="22">
                  <c:v>70719.536608081762</c:v>
                </c:pt>
                <c:pt idx="23">
                  <c:v>61679.552836691444</c:v>
                </c:pt>
                <c:pt idx="24">
                  <c:v>52507.660451248164</c:v>
                </c:pt>
                <c:pt idx="25">
                  <c:v>43201.934682537583</c:v>
                </c:pt>
                <c:pt idx="26">
                  <c:v>33760.422675715359</c:v>
                </c:pt>
                <c:pt idx="27">
                  <c:v>24181.143080490408</c:v>
                </c:pt>
                <c:pt idx="28">
                  <c:v>14462.085635328287</c:v>
                </c:pt>
                <c:pt idx="29">
                  <c:v>4601.2107455873702</c:v>
                </c:pt>
                <c:pt idx="30">
                  <c:v>-5403.550944500671</c:v>
                </c:pt>
              </c:numCache>
            </c:numRef>
          </c:val>
          <c:smooth val="0"/>
          <c:extLst>
            <c:ext xmlns:c16="http://schemas.microsoft.com/office/drawing/2014/chart" uri="{C3380CC4-5D6E-409C-BE32-E72D297353CC}">
              <c16:uniqueId val="{00000000-A113-4B3E-883F-84CAEA51B736}"/>
            </c:ext>
          </c:extLst>
        </c:ser>
        <c:ser>
          <c:idx val="2"/>
          <c:order val="1"/>
          <c:tx>
            <c:strRef>
              <c:f>'Données graphique RVER vs CELI'!$D$7</c:f>
              <c:strCache>
                <c:ptCount val="1"/>
                <c:pt idx="0">
                  <c:v>FERR</c:v>
                </c:pt>
              </c:strCache>
            </c:strRef>
          </c:tx>
          <c:spPr>
            <a:ln>
              <a:solidFill>
                <a:srgbClr val="FFC000"/>
              </a:solidFill>
              <a:prstDash val="solid"/>
            </a:ln>
          </c:spPr>
          <c:marker>
            <c:symbol val="none"/>
          </c:marker>
          <c:cat>
            <c:numRef>
              <c:f>'Données graphique RVER vs CELI'!$B$8:$B$38</c:f>
              <c:numCache>
                <c:formatCode>General</c:formatCode>
                <c:ptCount val="31"/>
                <c:pt idx="0">
                  <c:v>64</c:v>
                </c:pt>
                <c:pt idx="1">
                  <c:v>65</c:v>
                </c:pt>
                <c:pt idx="2">
                  <c:v>66</c:v>
                </c:pt>
                <c:pt idx="3">
                  <c:v>67</c:v>
                </c:pt>
                <c:pt idx="4">
                  <c:v>68</c:v>
                </c:pt>
                <c:pt idx="5">
                  <c:v>69</c:v>
                </c:pt>
                <c:pt idx="6">
                  <c:v>70</c:v>
                </c:pt>
                <c:pt idx="7">
                  <c:v>71</c:v>
                </c:pt>
                <c:pt idx="8">
                  <c:v>72</c:v>
                </c:pt>
                <c:pt idx="9">
                  <c:v>73</c:v>
                </c:pt>
                <c:pt idx="10">
                  <c:v>74</c:v>
                </c:pt>
                <c:pt idx="11">
                  <c:v>75</c:v>
                </c:pt>
                <c:pt idx="12">
                  <c:v>76</c:v>
                </c:pt>
                <c:pt idx="13">
                  <c:v>77</c:v>
                </c:pt>
                <c:pt idx="14">
                  <c:v>78</c:v>
                </c:pt>
                <c:pt idx="15">
                  <c:v>79</c:v>
                </c:pt>
                <c:pt idx="16">
                  <c:v>80</c:v>
                </c:pt>
                <c:pt idx="17">
                  <c:v>81</c:v>
                </c:pt>
                <c:pt idx="18">
                  <c:v>82</c:v>
                </c:pt>
                <c:pt idx="19">
                  <c:v>83</c:v>
                </c:pt>
                <c:pt idx="20">
                  <c:v>84</c:v>
                </c:pt>
                <c:pt idx="21">
                  <c:v>85</c:v>
                </c:pt>
                <c:pt idx="22">
                  <c:v>86</c:v>
                </c:pt>
                <c:pt idx="23">
                  <c:v>87</c:v>
                </c:pt>
                <c:pt idx="24">
                  <c:v>88</c:v>
                </c:pt>
                <c:pt idx="25">
                  <c:v>89</c:v>
                </c:pt>
                <c:pt idx="26">
                  <c:v>90</c:v>
                </c:pt>
                <c:pt idx="27">
                  <c:v>91</c:v>
                </c:pt>
                <c:pt idx="28">
                  <c:v>92</c:v>
                </c:pt>
                <c:pt idx="29">
                  <c:v>93</c:v>
                </c:pt>
                <c:pt idx="30">
                  <c:v>94</c:v>
                </c:pt>
              </c:numCache>
            </c:numRef>
          </c:cat>
          <c:val>
            <c:numRef>
              <c:f>'Données graphique RVER vs CELI'!$D$8:$D$38</c:f>
              <c:numCache>
                <c:formatCode>#\ ##0\ "$"</c:formatCode>
                <c:ptCount val="31"/>
                <c:pt idx="0" formatCode="&quot;$&quot;#,##0_);[Red]\(&quot;$&quot;#,##0\)">
                  <c:v>417029.62717837392</c:v>
                </c:pt>
                <c:pt idx="1">
                  <c:v>404752.4184015537</c:v>
                </c:pt>
                <c:pt idx="2">
                  <c:v>392296.06443651818</c:v>
                </c:pt>
                <c:pt idx="3">
                  <c:v>379657.95125274593</c:v>
                </c:pt>
                <c:pt idx="4">
                  <c:v>366835.42667660018</c:v>
                </c:pt>
                <c:pt idx="5">
                  <c:v>353825.79983475653</c:v>
                </c:pt>
                <c:pt idx="6">
                  <c:v>340626.34058950917</c:v>
                </c:pt>
                <c:pt idx="7">
                  <c:v>327234.27896583726</c:v>
                </c:pt>
                <c:pt idx="8">
                  <c:v>313646.80457011139</c:v>
                </c:pt>
                <c:pt idx="9">
                  <c:v>299861.06600031781</c:v>
                </c:pt>
                <c:pt idx="10">
                  <c:v>285874.17024767696</c:v>
                </c:pt>
                <c:pt idx="11">
                  <c:v>271683.18208953063</c:v>
                </c:pt>
                <c:pt idx="12">
                  <c:v>257285.12347337004</c:v>
                </c:pt>
                <c:pt idx="13">
                  <c:v>242676.97289187633</c:v>
                </c:pt>
                <c:pt idx="14">
                  <c:v>227855.6647488414</c:v>
                </c:pt>
                <c:pt idx="15">
                  <c:v>212818.0887158367</c:v>
                </c:pt>
                <c:pt idx="16">
                  <c:v>197561.08907949468</c:v>
                </c:pt>
                <c:pt idx="17">
                  <c:v>182081.46407926586</c:v>
                </c:pt>
                <c:pt idx="18">
                  <c:v>166375.96523551294</c:v>
                </c:pt>
                <c:pt idx="19">
                  <c:v>150441.29666780031</c:v>
                </c:pt>
                <c:pt idx="20">
                  <c:v>134274.11440323657</c:v>
                </c:pt>
                <c:pt idx="21">
                  <c:v>117871.02567472437</c:v>
                </c:pt>
                <c:pt idx="22">
                  <c:v>101228.5882089707</c:v>
                </c:pt>
                <c:pt idx="23">
                  <c:v>84343.30950410795</c:v>
                </c:pt>
                <c:pt idx="24">
                  <c:v>67211.646096774246</c:v>
                </c:pt>
                <c:pt idx="25">
                  <c:v>49830.002818499299</c:v>
                </c:pt>
                <c:pt idx="26">
                  <c:v>32194.732041239648</c:v>
                </c:pt>
                <c:pt idx="27">
                  <c:v>14302.132911904971</c:v>
                </c:pt>
                <c:pt idx="28">
                  <c:v>-3851.54942428513</c:v>
                </c:pt>
                <c:pt idx="29">
                  <c:v>-22270.124611776901</c:v>
                </c:pt>
                <c:pt idx="30">
                  <c:v>-40957.45788415608</c:v>
                </c:pt>
              </c:numCache>
            </c:numRef>
          </c:val>
          <c:smooth val="0"/>
          <c:extLst>
            <c:ext xmlns:c16="http://schemas.microsoft.com/office/drawing/2014/chart" uri="{C3380CC4-5D6E-409C-BE32-E72D297353CC}">
              <c16:uniqueId val="{00000001-A113-4B3E-883F-84CAEA51B736}"/>
            </c:ext>
          </c:extLst>
        </c:ser>
        <c:ser>
          <c:idx val="0"/>
          <c:order val="2"/>
          <c:tx>
            <c:v>FERR ajusté</c:v>
          </c:tx>
          <c:spPr>
            <a:ln>
              <a:solidFill>
                <a:srgbClr val="FFC000"/>
              </a:solidFill>
              <a:prstDash val="sysDash"/>
            </a:ln>
          </c:spPr>
          <c:marker>
            <c:symbol val="none"/>
          </c:marker>
          <c:cat>
            <c:numRef>
              <c:f>'Données graphique RVER vs CELI'!$B$8:$B$38</c:f>
              <c:numCache>
                <c:formatCode>General</c:formatCode>
                <c:ptCount val="31"/>
                <c:pt idx="0">
                  <c:v>64</c:v>
                </c:pt>
                <c:pt idx="1">
                  <c:v>65</c:v>
                </c:pt>
                <c:pt idx="2">
                  <c:v>66</c:v>
                </c:pt>
                <c:pt idx="3">
                  <c:v>67</c:v>
                </c:pt>
                <c:pt idx="4">
                  <c:v>68</c:v>
                </c:pt>
                <c:pt idx="5">
                  <c:v>69</c:v>
                </c:pt>
                <c:pt idx="6">
                  <c:v>70</c:v>
                </c:pt>
                <c:pt idx="7">
                  <c:v>71</c:v>
                </c:pt>
                <c:pt idx="8">
                  <c:v>72</c:v>
                </c:pt>
                <c:pt idx="9">
                  <c:v>73</c:v>
                </c:pt>
                <c:pt idx="10">
                  <c:v>74</c:v>
                </c:pt>
                <c:pt idx="11">
                  <c:v>75</c:v>
                </c:pt>
                <c:pt idx="12">
                  <c:v>76</c:v>
                </c:pt>
                <c:pt idx="13">
                  <c:v>77</c:v>
                </c:pt>
                <c:pt idx="14">
                  <c:v>78</c:v>
                </c:pt>
                <c:pt idx="15">
                  <c:v>79</c:v>
                </c:pt>
                <c:pt idx="16">
                  <c:v>80</c:v>
                </c:pt>
                <c:pt idx="17">
                  <c:v>81</c:v>
                </c:pt>
                <c:pt idx="18">
                  <c:v>82</c:v>
                </c:pt>
                <c:pt idx="19">
                  <c:v>83</c:v>
                </c:pt>
                <c:pt idx="20">
                  <c:v>84</c:v>
                </c:pt>
                <c:pt idx="21">
                  <c:v>85</c:v>
                </c:pt>
                <c:pt idx="22">
                  <c:v>86</c:v>
                </c:pt>
                <c:pt idx="23">
                  <c:v>87</c:v>
                </c:pt>
                <c:pt idx="24">
                  <c:v>88</c:v>
                </c:pt>
                <c:pt idx="25">
                  <c:v>89</c:v>
                </c:pt>
                <c:pt idx="26">
                  <c:v>90</c:v>
                </c:pt>
                <c:pt idx="27">
                  <c:v>91</c:v>
                </c:pt>
                <c:pt idx="28">
                  <c:v>92</c:v>
                </c:pt>
                <c:pt idx="29">
                  <c:v>93</c:v>
                </c:pt>
                <c:pt idx="30">
                  <c:v>94</c:v>
                </c:pt>
              </c:numCache>
            </c:numRef>
          </c:cat>
          <c:val>
            <c:numRef>
              <c:f>'Données graphique RVER vs CELI'!$F$8:$F$38</c:f>
              <c:numCache>
                <c:formatCode>#\ ##0\ "$"</c:formatCode>
                <c:ptCount val="31"/>
                <c:pt idx="0">
                  <c:v>437171.80392194708</c:v>
                </c:pt>
                <c:pt idx="1">
                  <c:v>425188.503484505</c:v>
                </c:pt>
                <c:pt idx="2">
                  <c:v>413030.3464773547</c:v>
                </c:pt>
                <c:pt idx="3">
                  <c:v>400694.7814481539</c:v>
                </c:pt>
                <c:pt idx="4">
                  <c:v>388179.21971456608</c:v>
                </c:pt>
                <c:pt idx="5">
                  <c:v>375481.03482101235</c:v>
                </c:pt>
                <c:pt idx="6">
                  <c:v>362597.56198749598</c:v>
                </c:pt>
                <c:pt idx="7">
                  <c:v>349526.09755038447</c:v>
                </c:pt>
                <c:pt idx="8">
                  <c:v>336263.89839503163</c:v>
                </c:pt>
                <c:pt idx="9">
                  <c:v>322808.18138012104</c:v>
                </c:pt>
                <c:pt idx="10">
                  <c:v>309156.12275360897</c:v>
                </c:pt>
                <c:pt idx="11">
                  <c:v>295304.85756014573</c:v>
                </c:pt>
                <c:pt idx="12">
                  <c:v>281251.47903984977</c:v>
                </c:pt>
                <c:pt idx="13">
                  <c:v>266993.03801830899</c:v>
                </c:pt>
                <c:pt idx="14">
                  <c:v>252526.54228768128</c:v>
                </c:pt>
                <c:pt idx="15">
                  <c:v>237848.9559787641</c:v>
                </c:pt>
                <c:pt idx="16">
                  <c:v>222957.19892390165</c:v>
                </c:pt>
                <c:pt idx="17">
                  <c:v>207848.14601059564</c:v>
                </c:pt>
                <c:pt idx="18">
                  <c:v>192518.62652568423</c:v>
                </c:pt>
                <c:pt idx="19">
                  <c:v>176965.42348995141</c:v>
                </c:pt>
                <c:pt idx="20">
                  <c:v>161185.27298302727</c:v>
                </c:pt>
                <c:pt idx="21">
                  <c:v>145174.86345843729</c:v>
                </c:pt>
                <c:pt idx="22">
                  <c:v>128930.83504865722</c:v>
                </c:pt>
                <c:pt idx="23">
                  <c:v>112449.77886002736</c:v>
                </c:pt>
                <c:pt idx="24">
                  <c:v>95728.236257378579</c:v>
                </c:pt>
                <c:pt idx="25">
                  <c:v>78762.698138219741</c:v>
                </c:pt>
                <c:pt idx="26">
                  <c:v>61549.604196334396</c:v>
                </c:pt>
                <c:pt idx="27">
                  <c:v>44085.342174632009</c:v>
                </c:pt>
                <c:pt idx="28">
                  <c:v>26366.247107097053</c:v>
                </c:pt>
                <c:pt idx="29">
                  <c:v>8388.6005496768939</c:v>
                </c:pt>
                <c:pt idx="30">
                  <c:v>-9851.3702000530047</c:v>
                </c:pt>
              </c:numCache>
            </c:numRef>
          </c:val>
          <c:smooth val="0"/>
          <c:extLst>
            <c:ext xmlns:c16="http://schemas.microsoft.com/office/drawing/2014/chart" uri="{C3380CC4-5D6E-409C-BE32-E72D297353CC}">
              <c16:uniqueId val="{00000001-90AD-494C-A3DD-48727DF78665}"/>
            </c:ext>
          </c:extLst>
        </c:ser>
        <c:dLbls>
          <c:showLegendKey val="0"/>
          <c:showVal val="0"/>
          <c:showCatName val="0"/>
          <c:showSerName val="0"/>
          <c:showPercent val="0"/>
          <c:showBubbleSize val="0"/>
        </c:dLbls>
        <c:smooth val="0"/>
        <c:axId val="47250816"/>
        <c:axId val="74384896"/>
      </c:lineChart>
      <c:catAx>
        <c:axId val="47250816"/>
        <c:scaling>
          <c:orientation val="minMax"/>
        </c:scaling>
        <c:delete val="0"/>
        <c:axPos val="b"/>
        <c:title>
          <c:tx>
            <c:rich>
              <a:bodyPr/>
              <a:lstStyle/>
              <a:p>
                <a:pPr>
                  <a:defRPr/>
                </a:pPr>
                <a:r>
                  <a:rPr lang="en-US"/>
                  <a:t>Âge</a:t>
                </a:r>
              </a:p>
            </c:rich>
          </c:tx>
          <c:overlay val="0"/>
        </c:title>
        <c:numFmt formatCode="General" sourceLinked="1"/>
        <c:majorTickMark val="out"/>
        <c:minorTickMark val="none"/>
        <c:tickLblPos val="nextTo"/>
        <c:txPr>
          <a:bodyPr rot="-5400000" vert="horz"/>
          <a:lstStyle/>
          <a:p>
            <a:pPr>
              <a:defRPr/>
            </a:pPr>
            <a:endParaRPr lang="fr-FR"/>
          </a:p>
        </c:txPr>
        <c:crossAx val="74384896"/>
        <c:crosses val="autoZero"/>
        <c:auto val="1"/>
        <c:lblAlgn val="ctr"/>
        <c:lblOffset val="100"/>
        <c:noMultiLvlLbl val="0"/>
      </c:catAx>
      <c:valAx>
        <c:axId val="74384896"/>
        <c:scaling>
          <c:orientation val="minMax"/>
        </c:scaling>
        <c:delete val="0"/>
        <c:axPos val="l"/>
        <c:majorGridlines/>
        <c:title>
          <c:tx>
            <c:rich>
              <a:bodyPr rot="-5400000" vert="horz"/>
              <a:lstStyle/>
              <a:p>
                <a:pPr>
                  <a:defRPr/>
                </a:pPr>
                <a:r>
                  <a:rPr lang="fr-CA"/>
                  <a:t>Valeur du portefeuille</a:t>
                </a:r>
              </a:p>
            </c:rich>
          </c:tx>
          <c:overlay val="0"/>
        </c:title>
        <c:numFmt formatCode="&quot;$&quot;#,##0_);[Red]\(&quot;$&quot;#,##0\)" sourceLinked="1"/>
        <c:majorTickMark val="out"/>
        <c:minorTickMark val="none"/>
        <c:tickLblPos val="nextTo"/>
        <c:txPr>
          <a:bodyPr/>
          <a:lstStyle/>
          <a:p>
            <a:pPr>
              <a:defRPr sz="800" baseline="0"/>
            </a:pPr>
            <a:endParaRPr lang="fr-FR"/>
          </a:p>
        </c:txPr>
        <c:crossAx val="47250816"/>
        <c:crosses val="autoZero"/>
        <c:crossBetween val="between"/>
      </c:valAx>
      <c:spPr>
        <a:solidFill>
          <a:schemeClr val="lt1"/>
        </a:solidFill>
        <a:ln w="25400" cap="flat" cmpd="sng" algn="ctr">
          <a:solidFill>
            <a:schemeClr val="dk1"/>
          </a:solidFill>
          <a:prstDash val="solid"/>
        </a:ln>
        <a:effectLst/>
      </c:spPr>
    </c:plotArea>
    <c:legend>
      <c:legendPos val="r"/>
      <c:layout>
        <c:manualLayout>
          <c:xMode val="edge"/>
          <c:yMode val="edge"/>
          <c:x val="0.73053040976622075"/>
          <c:y val="0.43671239164174636"/>
          <c:w val="0.18373477630039908"/>
          <c:h val="0.16446487845226715"/>
        </c:manualLayout>
      </c:layout>
      <c:overlay val="0"/>
    </c:legend>
    <c:plotVisOnly val="1"/>
    <c:dispBlanksAs val="gap"/>
    <c:showDLblsOverMax val="0"/>
  </c:chart>
  <c:spPr>
    <a:solidFill>
      <a:schemeClr val="lt1"/>
    </a:solidFill>
    <a:ln w="25400" cap="flat" cmpd="sng" algn="ctr">
      <a:solidFill>
        <a:schemeClr val="accent1"/>
      </a:solidFill>
      <a:prstDash val="solid"/>
    </a:ln>
    <a:effectLst/>
  </c:spPr>
  <c:txPr>
    <a:bodyPr/>
    <a:lstStyle/>
    <a:p>
      <a:pPr>
        <a:defRPr>
          <a:solidFill>
            <a:schemeClr val="dk1"/>
          </a:solidFill>
          <a:latin typeface="+mn-lt"/>
          <a:ea typeface="+mn-ea"/>
          <a:cs typeface="+mn-cs"/>
        </a:defRPr>
      </a:pPr>
      <a:endParaRPr lang="fr-FR"/>
    </a:p>
  </c:txPr>
  <c:printSettings>
    <c:headerFooter/>
    <c:pageMargins b="0.74803149606299213" l="0.51181102362204722" r="0.51181102362204722" t="0.74803149606299213" header="0.31496062992125984" footer="0.31496062992125984"/>
    <c:pageSetup paperSize="173"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fr-CA"/>
              <a:t>Comparaison</a:t>
            </a:r>
            <a:r>
              <a:rPr lang="fr-CA" baseline="0"/>
              <a:t> décaissement CELI VS REER </a:t>
            </a:r>
          </a:p>
          <a:p>
            <a:pPr>
              <a:defRPr/>
            </a:pPr>
            <a:r>
              <a:rPr lang="fr-CA" baseline="0"/>
              <a:t>Selon votre réalité financière et fiscale de 2021 !</a:t>
            </a:r>
          </a:p>
        </c:rich>
      </c:tx>
      <c:layout>
        <c:manualLayout>
          <c:xMode val="edge"/>
          <c:yMode val="edge"/>
          <c:x val="0.14370915859732708"/>
          <c:y val="2.6017858368897091E-5"/>
        </c:manualLayout>
      </c:layout>
      <c:overlay val="0"/>
    </c:title>
    <c:autoTitleDeleted val="0"/>
    <c:plotArea>
      <c:layout>
        <c:manualLayout>
          <c:layoutTarget val="inner"/>
          <c:xMode val="edge"/>
          <c:yMode val="edge"/>
          <c:x val="0.13772120494096179"/>
          <c:y val="0.24350039747132576"/>
          <c:w val="0.83197207602110201"/>
          <c:h val="0.67776147935041975"/>
        </c:manualLayout>
      </c:layout>
      <c:lineChart>
        <c:grouping val="standard"/>
        <c:varyColors val="0"/>
        <c:ser>
          <c:idx val="1"/>
          <c:order val="0"/>
          <c:tx>
            <c:strRef>
              <c:f>'Données graphique RVER vs CELI'!$C$7</c:f>
              <c:strCache>
                <c:ptCount val="1"/>
                <c:pt idx="0">
                  <c:v>CELI</c:v>
                </c:pt>
              </c:strCache>
            </c:strRef>
          </c:tx>
          <c:spPr>
            <a:ln>
              <a:solidFill>
                <a:srgbClr val="0070C0"/>
              </a:solidFill>
            </a:ln>
          </c:spPr>
          <c:marker>
            <c:symbol val="none"/>
          </c:marker>
          <c:cat>
            <c:strRef>
              <c:f>'Données graphique RVER vs CELI'!$B$6:$B$38</c:f>
              <c:strCache>
                <c:ptCount val="33"/>
                <c:pt idx="1">
                  <c:v>Année</c:v>
                </c:pt>
                <c:pt idx="2">
                  <c:v>64</c:v>
                </c:pt>
                <c:pt idx="3">
                  <c:v>65</c:v>
                </c:pt>
                <c:pt idx="4">
                  <c:v>66</c:v>
                </c:pt>
                <c:pt idx="5">
                  <c:v>67</c:v>
                </c:pt>
                <c:pt idx="6">
                  <c:v>68</c:v>
                </c:pt>
                <c:pt idx="7">
                  <c:v>69</c:v>
                </c:pt>
                <c:pt idx="8">
                  <c:v>70</c:v>
                </c:pt>
                <c:pt idx="9">
                  <c:v>71</c:v>
                </c:pt>
                <c:pt idx="10">
                  <c:v>72</c:v>
                </c:pt>
                <c:pt idx="11">
                  <c:v>73</c:v>
                </c:pt>
                <c:pt idx="12">
                  <c:v>74</c:v>
                </c:pt>
                <c:pt idx="13">
                  <c:v>75</c:v>
                </c:pt>
                <c:pt idx="14">
                  <c:v>76</c:v>
                </c:pt>
                <c:pt idx="15">
                  <c:v>77</c:v>
                </c:pt>
                <c:pt idx="16">
                  <c:v>78</c:v>
                </c:pt>
                <c:pt idx="17">
                  <c:v>79</c:v>
                </c:pt>
                <c:pt idx="18">
                  <c:v>80</c:v>
                </c:pt>
                <c:pt idx="19">
                  <c:v>81</c:v>
                </c:pt>
                <c:pt idx="20">
                  <c:v>82</c:v>
                </c:pt>
                <c:pt idx="21">
                  <c:v>83</c:v>
                </c:pt>
                <c:pt idx="22">
                  <c:v>84</c:v>
                </c:pt>
                <c:pt idx="23">
                  <c:v>85</c:v>
                </c:pt>
                <c:pt idx="24">
                  <c:v>86</c:v>
                </c:pt>
                <c:pt idx="25">
                  <c:v>87</c:v>
                </c:pt>
                <c:pt idx="26">
                  <c:v>88</c:v>
                </c:pt>
                <c:pt idx="27">
                  <c:v>89</c:v>
                </c:pt>
                <c:pt idx="28">
                  <c:v>90</c:v>
                </c:pt>
                <c:pt idx="29">
                  <c:v>91</c:v>
                </c:pt>
                <c:pt idx="30">
                  <c:v>92</c:v>
                </c:pt>
                <c:pt idx="31">
                  <c:v>93</c:v>
                </c:pt>
                <c:pt idx="32">
                  <c:v>94</c:v>
                </c:pt>
              </c:strCache>
            </c:strRef>
          </c:cat>
          <c:val>
            <c:numRef>
              <c:f>'Données graphique RVER vs CELI'!$C$8:$C$38</c:f>
              <c:numCache>
                <c:formatCode>#\ ##0\ "$"</c:formatCode>
                <c:ptCount val="31"/>
                <c:pt idx="0" formatCode="&quot;$&quot;#,##0_);[Red]\(&quot;$&quot;#,##0\)">
                  <c:v>239792.03562756503</c:v>
                </c:pt>
                <c:pt idx="1">
                  <c:v>233219.10484920227</c:v>
                </c:pt>
                <c:pt idx="2">
                  <c:v>226550.26392197577</c:v>
                </c:pt>
                <c:pt idx="3">
                  <c:v>219784.11335500921</c:v>
                </c:pt>
                <c:pt idx="4">
                  <c:v>212919.23323649337</c:v>
                </c:pt>
                <c:pt idx="5">
                  <c:v>205954.18293571027</c:v>
                </c:pt>
                <c:pt idx="6">
                  <c:v>198887.50080070939</c:v>
                </c:pt>
                <c:pt idx="7">
                  <c:v>191717.70385157235</c:v>
                </c:pt>
                <c:pt idx="8">
                  <c:v>184443.28746920195</c:v>
                </c:pt>
                <c:pt idx="9">
                  <c:v>177062.72507956999</c:v>
                </c:pt>
                <c:pt idx="10">
                  <c:v>169574.46783335778</c:v>
                </c:pt>
                <c:pt idx="11">
                  <c:v>161976.94428092209</c:v>
                </c:pt>
                <c:pt idx="12">
                  <c:v>154268.56004251834</c:v>
                </c:pt>
                <c:pt idx="13">
                  <c:v>146447.69747371168</c:v>
                </c:pt>
                <c:pt idx="14">
                  <c:v>138512.71532590591</c:v>
                </c:pt>
                <c:pt idx="15">
                  <c:v>130461.94840191895</c:v>
                </c:pt>
                <c:pt idx="16">
                  <c:v>122293.70720653259</c:v>
                </c:pt>
                <c:pt idx="17">
                  <c:v>114006.27759194313</c:v>
                </c:pt>
                <c:pt idx="18">
                  <c:v>105597.92039803859</c:v>
                </c:pt>
                <c:pt idx="19">
                  <c:v>97066.871087426902</c:v>
                </c:pt>
                <c:pt idx="20">
                  <c:v>88411.339375138617</c:v>
                </c:pt>
                <c:pt idx="21">
                  <c:v>79629.508852926287</c:v>
                </c:pt>
                <c:pt idx="22">
                  <c:v>70719.536608081762</c:v>
                </c:pt>
                <c:pt idx="23">
                  <c:v>61679.552836691444</c:v>
                </c:pt>
                <c:pt idx="24">
                  <c:v>52507.660451248164</c:v>
                </c:pt>
                <c:pt idx="25">
                  <c:v>43201.934682537583</c:v>
                </c:pt>
                <c:pt idx="26">
                  <c:v>33760.422675715359</c:v>
                </c:pt>
                <c:pt idx="27">
                  <c:v>24181.143080490408</c:v>
                </c:pt>
                <c:pt idx="28">
                  <c:v>14462.085635328287</c:v>
                </c:pt>
                <c:pt idx="29">
                  <c:v>4601.2107455873702</c:v>
                </c:pt>
                <c:pt idx="30">
                  <c:v>-5403.550944500671</c:v>
                </c:pt>
              </c:numCache>
            </c:numRef>
          </c:val>
          <c:smooth val="0"/>
          <c:extLst>
            <c:ext xmlns:c16="http://schemas.microsoft.com/office/drawing/2014/chart" uri="{C3380CC4-5D6E-409C-BE32-E72D297353CC}">
              <c16:uniqueId val="{00000000-38E6-43D9-8E11-930DD10833F9}"/>
            </c:ext>
          </c:extLst>
        </c:ser>
        <c:ser>
          <c:idx val="2"/>
          <c:order val="1"/>
          <c:tx>
            <c:strRef>
              <c:f>'Données graphique RVER vs CELI'!$D$7</c:f>
              <c:strCache>
                <c:ptCount val="1"/>
                <c:pt idx="0">
                  <c:v>FERR</c:v>
                </c:pt>
              </c:strCache>
            </c:strRef>
          </c:tx>
          <c:spPr>
            <a:ln>
              <a:solidFill>
                <a:srgbClr val="FFC000"/>
              </a:solidFill>
              <a:prstDash val="solid"/>
            </a:ln>
          </c:spPr>
          <c:marker>
            <c:symbol val="none"/>
          </c:marker>
          <c:cat>
            <c:strRef>
              <c:f>'Données graphique RVER vs CELI'!$B$6:$B$38</c:f>
              <c:strCache>
                <c:ptCount val="33"/>
                <c:pt idx="1">
                  <c:v>Année</c:v>
                </c:pt>
                <c:pt idx="2">
                  <c:v>64</c:v>
                </c:pt>
                <c:pt idx="3">
                  <c:v>65</c:v>
                </c:pt>
                <c:pt idx="4">
                  <c:v>66</c:v>
                </c:pt>
                <c:pt idx="5">
                  <c:v>67</c:v>
                </c:pt>
                <c:pt idx="6">
                  <c:v>68</c:v>
                </c:pt>
                <c:pt idx="7">
                  <c:v>69</c:v>
                </c:pt>
                <c:pt idx="8">
                  <c:v>70</c:v>
                </c:pt>
                <c:pt idx="9">
                  <c:v>71</c:v>
                </c:pt>
                <c:pt idx="10">
                  <c:v>72</c:v>
                </c:pt>
                <c:pt idx="11">
                  <c:v>73</c:v>
                </c:pt>
                <c:pt idx="12">
                  <c:v>74</c:v>
                </c:pt>
                <c:pt idx="13">
                  <c:v>75</c:v>
                </c:pt>
                <c:pt idx="14">
                  <c:v>76</c:v>
                </c:pt>
                <c:pt idx="15">
                  <c:v>77</c:v>
                </c:pt>
                <c:pt idx="16">
                  <c:v>78</c:v>
                </c:pt>
                <c:pt idx="17">
                  <c:v>79</c:v>
                </c:pt>
                <c:pt idx="18">
                  <c:v>80</c:v>
                </c:pt>
                <c:pt idx="19">
                  <c:v>81</c:v>
                </c:pt>
                <c:pt idx="20">
                  <c:v>82</c:v>
                </c:pt>
                <c:pt idx="21">
                  <c:v>83</c:v>
                </c:pt>
                <c:pt idx="22">
                  <c:v>84</c:v>
                </c:pt>
                <c:pt idx="23">
                  <c:v>85</c:v>
                </c:pt>
                <c:pt idx="24">
                  <c:v>86</c:v>
                </c:pt>
                <c:pt idx="25">
                  <c:v>87</c:v>
                </c:pt>
                <c:pt idx="26">
                  <c:v>88</c:v>
                </c:pt>
                <c:pt idx="27">
                  <c:v>89</c:v>
                </c:pt>
                <c:pt idx="28">
                  <c:v>90</c:v>
                </c:pt>
                <c:pt idx="29">
                  <c:v>91</c:v>
                </c:pt>
                <c:pt idx="30">
                  <c:v>92</c:v>
                </c:pt>
                <c:pt idx="31">
                  <c:v>93</c:v>
                </c:pt>
                <c:pt idx="32">
                  <c:v>94</c:v>
                </c:pt>
              </c:strCache>
            </c:strRef>
          </c:cat>
          <c:val>
            <c:numRef>
              <c:f>'Données graphique RVER vs CELI'!$D$8:$D$38</c:f>
              <c:numCache>
                <c:formatCode>#\ ##0\ "$"</c:formatCode>
                <c:ptCount val="31"/>
                <c:pt idx="0" formatCode="&quot;$&quot;#,##0_);[Red]\(&quot;$&quot;#,##0\)">
                  <c:v>417029.62717837392</c:v>
                </c:pt>
                <c:pt idx="1">
                  <c:v>404752.4184015537</c:v>
                </c:pt>
                <c:pt idx="2">
                  <c:v>392296.06443651818</c:v>
                </c:pt>
                <c:pt idx="3">
                  <c:v>379657.95125274593</c:v>
                </c:pt>
                <c:pt idx="4">
                  <c:v>366835.42667660018</c:v>
                </c:pt>
                <c:pt idx="5">
                  <c:v>353825.79983475653</c:v>
                </c:pt>
                <c:pt idx="6">
                  <c:v>340626.34058950917</c:v>
                </c:pt>
                <c:pt idx="7">
                  <c:v>327234.27896583726</c:v>
                </c:pt>
                <c:pt idx="8">
                  <c:v>313646.80457011139</c:v>
                </c:pt>
                <c:pt idx="9">
                  <c:v>299861.06600031781</c:v>
                </c:pt>
                <c:pt idx="10">
                  <c:v>285874.17024767696</c:v>
                </c:pt>
                <c:pt idx="11">
                  <c:v>271683.18208953063</c:v>
                </c:pt>
                <c:pt idx="12">
                  <c:v>257285.12347337004</c:v>
                </c:pt>
                <c:pt idx="13">
                  <c:v>242676.97289187633</c:v>
                </c:pt>
                <c:pt idx="14">
                  <c:v>227855.6647488414</c:v>
                </c:pt>
                <c:pt idx="15">
                  <c:v>212818.0887158367</c:v>
                </c:pt>
                <c:pt idx="16">
                  <c:v>197561.08907949468</c:v>
                </c:pt>
                <c:pt idx="17">
                  <c:v>182081.46407926586</c:v>
                </c:pt>
                <c:pt idx="18">
                  <c:v>166375.96523551294</c:v>
                </c:pt>
                <c:pt idx="19">
                  <c:v>150441.29666780031</c:v>
                </c:pt>
                <c:pt idx="20">
                  <c:v>134274.11440323657</c:v>
                </c:pt>
                <c:pt idx="21">
                  <c:v>117871.02567472437</c:v>
                </c:pt>
                <c:pt idx="22">
                  <c:v>101228.5882089707</c:v>
                </c:pt>
                <c:pt idx="23">
                  <c:v>84343.30950410795</c:v>
                </c:pt>
                <c:pt idx="24">
                  <c:v>67211.646096774246</c:v>
                </c:pt>
                <c:pt idx="25">
                  <c:v>49830.002818499299</c:v>
                </c:pt>
                <c:pt idx="26">
                  <c:v>32194.732041239648</c:v>
                </c:pt>
                <c:pt idx="27">
                  <c:v>14302.132911904971</c:v>
                </c:pt>
                <c:pt idx="28">
                  <c:v>-3851.54942428513</c:v>
                </c:pt>
                <c:pt idx="29">
                  <c:v>-22270.124611776901</c:v>
                </c:pt>
                <c:pt idx="30">
                  <c:v>-40957.45788415608</c:v>
                </c:pt>
              </c:numCache>
            </c:numRef>
          </c:val>
          <c:smooth val="0"/>
          <c:extLst>
            <c:ext xmlns:c16="http://schemas.microsoft.com/office/drawing/2014/chart" uri="{C3380CC4-5D6E-409C-BE32-E72D297353CC}">
              <c16:uniqueId val="{00000001-38E6-43D9-8E11-930DD10833F9}"/>
            </c:ext>
          </c:extLst>
        </c:ser>
        <c:ser>
          <c:idx val="0"/>
          <c:order val="2"/>
          <c:tx>
            <c:v>FERR ajusté</c:v>
          </c:tx>
          <c:spPr>
            <a:ln>
              <a:solidFill>
                <a:srgbClr val="FFC000"/>
              </a:solidFill>
              <a:prstDash val="sysDash"/>
            </a:ln>
          </c:spPr>
          <c:marker>
            <c:symbol val="none"/>
          </c:marker>
          <c:val>
            <c:numRef>
              <c:f>'Données graphique RVER vs CELI'!$F$8:$F$38</c:f>
              <c:numCache>
                <c:formatCode>#\ ##0\ "$"</c:formatCode>
                <c:ptCount val="31"/>
                <c:pt idx="0">
                  <c:v>437171.80392194708</c:v>
                </c:pt>
                <c:pt idx="1">
                  <c:v>425188.503484505</c:v>
                </c:pt>
                <c:pt idx="2">
                  <c:v>413030.3464773547</c:v>
                </c:pt>
                <c:pt idx="3">
                  <c:v>400694.7814481539</c:v>
                </c:pt>
                <c:pt idx="4">
                  <c:v>388179.21971456608</c:v>
                </c:pt>
                <c:pt idx="5">
                  <c:v>375481.03482101235</c:v>
                </c:pt>
                <c:pt idx="6">
                  <c:v>362597.56198749598</c:v>
                </c:pt>
                <c:pt idx="7">
                  <c:v>349526.09755038447</c:v>
                </c:pt>
                <c:pt idx="8">
                  <c:v>336263.89839503163</c:v>
                </c:pt>
                <c:pt idx="9">
                  <c:v>322808.18138012104</c:v>
                </c:pt>
                <c:pt idx="10">
                  <c:v>309156.12275360897</c:v>
                </c:pt>
                <c:pt idx="11">
                  <c:v>295304.85756014573</c:v>
                </c:pt>
                <c:pt idx="12">
                  <c:v>281251.47903984977</c:v>
                </c:pt>
                <c:pt idx="13">
                  <c:v>266993.03801830899</c:v>
                </c:pt>
                <c:pt idx="14">
                  <c:v>252526.54228768128</c:v>
                </c:pt>
                <c:pt idx="15">
                  <c:v>237848.9559787641</c:v>
                </c:pt>
                <c:pt idx="16">
                  <c:v>222957.19892390165</c:v>
                </c:pt>
                <c:pt idx="17">
                  <c:v>207848.14601059564</c:v>
                </c:pt>
                <c:pt idx="18">
                  <c:v>192518.62652568423</c:v>
                </c:pt>
                <c:pt idx="19">
                  <c:v>176965.42348995141</c:v>
                </c:pt>
                <c:pt idx="20">
                  <c:v>161185.27298302727</c:v>
                </c:pt>
                <c:pt idx="21">
                  <c:v>145174.86345843729</c:v>
                </c:pt>
                <c:pt idx="22">
                  <c:v>128930.83504865722</c:v>
                </c:pt>
                <c:pt idx="23">
                  <c:v>112449.77886002736</c:v>
                </c:pt>
                <c:pt idx="24">
                  <c:v>95728.236257378579</c:v>
                </c:pt>
                <c:pt idx="25">
                  <c:v>78762.698138219741</c:v>
                </c:pt>
                <c:pt idx="26">
                  <c:v>61549.604196334396</c:v>
                </c:pt>
                <c:pt idx="27">
                  <c:v>44085.342174632009</c:v>
                </c:pt>
                <c:pt idx="28">
                  <c:v>26366.247107097053</c:v>
                </c:pt>
                <c:pt idx="29">
                  <c:v>8388.6005496768939</c:v>
                </c:pt>
                <c:pt idx="30">
                  <c:v>-9851.3702000530047</c:v>
                </c:pt>
              </c:numCache>
            </c:numRef>
          </c:val>
          <c:smooth val="0"/>
          <c:extLst>
            <c:ext xmlns:c16="http://schemas.microsoft.com/office/drawing/2014/chart" uri="{C3380CC4-5D6E-409C-BE32-E72D297353CC}">
              <c16:uniqueId val="{00000002-38E6-43D9-8E11-930DD10833F9}"/>
            </c:ext>
          </c:extLst>
        </c:ser>
        <c:dLbls>
          <c:showLegendKey val="0"/>
          <c:showVal val="0"/>
          <c:showCatName val="0"/>
          <c:showSerName val="0"/>
          <c:showPercent val="0"/>
          <c:showBubbleSize val="0"/>
        </c:dLbls>
        <c:smooth val="0"/>
        <c:axId val="47250816"/>
        <c:axId val="74384896"/>
      </c:lineChart>
      <c:catAx>
        <c:axId val="47250816"/>
        <c:scaling>
          <c:orientation val="minMax"/>
        </c:scaling>
        <c:delete val="0"/>
        <c:axPos val="b"/>
        <c:title>
          <c:tx>
            <c:rich>
              <a:bodyPr/>
              <a:lstStyle/>
              <a:p>
                <a:pPr>
                  <a:defRPr/>
                </a:pPr>
                <a:r>
                  <a:rPr lang="en-US"/>
                  <a:t>Âge</a:t>
                </a:r>
              </a:p>
            </c:rich>
          </c:tx>
          <c:overlay val="0"/>
        </c:title>
        <c:numFmt formatCode="General" sourceLinked="1"/>
        <c:majorTickMark val="out"/>
        <c:minorTickMark val="none"/>
        <c:tickLblPos val="nextTo"/>
        <c:txPr>
          <a:bodyPr rot="-5400000" vert="horz"/>
          <a:lstStyle/>
          <a:p>
            <a:pPr>
              <a:defRPr/>
            </a:pPr>
            <a:endParaRPr lang="fr-FR"/>
          </a:p>
        </c:txPr>
        <c:crossAx val="74384896"/>
        <c:crosses val="autoZero"/>
        <c:auto val="1"/>
        <c:lblAlgn val="ctr"/>
        <c:lblOffset val="100"/>
        <c:noMultiLvlLbl val="0"/>
      </c:catAx>
      <c:valAx>
        <c:axId val="74384896"/>
        <c:scaling>
          <c:orientation val="minMax"/>
        </c:scaling>
        <c:delete val="0"/>
        <c:axPos val="l"/>
        <c:majorGridlines/>
        <c:title>
          <c:tx>
            <c:rich>
              <a:bodyPr rot="-5400000" vert="horz"/>
              <a:lstStyle/>
              <a:p>
                <a:pPr>
                  <a:defRPr/>
                </a:pPr>
                <a:r>
                  <a:rPr lang="fr-CA"/>
                  <a:t>Valeur du portefeuille</a:t>
                </a:r>
              </a:p>
            </c:rich>
          </c:tx>
          <c:overlay val="0"/>
        </c:title>
        <c:numFmt formatCode="&quot;$&quot;#,##0_);[Red]\(&quot;$&quot;#,##0\)" sourceLinked="1"/>
        <c:majorTickMark val="out"/>
        <c:minorTickMark val="none"/>
        <c:tickLblPos val="nextTo"/>
        <c:txPr>
          <a:bodyPr/>
          <a:lstStyle/>
          <a:p>
            <a:pPr>
              <a:defRPr sz="800" baseline="0"/>
            </a:pPr>
            <a:endParaRPr lang="fr-FR"/>
          </a:p>
        </c:txPr>
        <c:crossAx val="47250816"/>
        <c:crosses val="autoZero"/>
        <c:crossBetween val="between"/>
      </c:valAx>
      <c:spPr>
        <a:solidFill>
          <a:schemeClr val="lt1"/>
        </a:solidFill>
        <a:ln w="25400" cap="flat" cmpd="sng" algn="ctr">
          <a:solidFill>
            <a:schemeClr val="dk1"/>
          </a:solidFill>
          <a:prstDash val="solid"/>
        </a:ln>
        <a:effectLst/>
      </c:spPr>
    </c:plotArea>
    <c:legend>
      <c:legendPos val="r"/>
      <c:layout>
        <c:manualLayout>
          <c:xMode val="edge"/>
          <c:yMode val="edge"/>
          <c:x val="0.73053040976622075"/>
          <c:y val="0.43671239164174636"/>
          <c:w val="0.18373477630039908"/>
          <c:h val="0.16446487845226715"/>
        </c:manualLayout>
      </c:layout>
      <c:overlay val="0"/>
    </c:legend>
    <c:plotVisOnly val="1"/>
    <c:dispBlanksAs val="gap"/>
    <c:showDLblsOverMax val="0"/>
  </c:chart>
  <c:spPr>
    <a:solidFill>
      <a:schemeClr val="lt1"/>
    </a:solidFill>
    <a:ln w="25400" cap="flat" cmpd="sng" algn="ctr">
      <a:solidFill>
        <a:schemeClr val="accent1"/>
      </a:solidFill>
      <a:prstDash val="solid"/>
    </a:ln>
    <a:effectLst/>
  </c:spPr>
  <c:txPr>
    <a:bodyPr/>
    <a:lstStyle/>
    <a:p>
      <a:pPr>
        <a:defRPr>
          <a:solidFill>
            <a:schemeClr val="dk1"/>
          </a:solidFill>
          <a:latin typeface="+mn-lt"/>
          <a:ea typeface="+mn-ea"/>
          <a:cs typeface="+mn-cs"/>
        </a:defRPr>
      </a:pPr>
      <a:endParaRPr lang="fr-FR"/>
    </a:p>
  </c:txPr>
  <c:printSettings>
    <c:headerFooter/>
    <c:pageMargins b="0.74803149606299213" l="0.51181102362204722" r="0.51181102362204722" t="0.74803149606299213" header="0.31496062992125984" footer="0.31496062992125984"/>
    <c:pageSetup paperSize="173"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fr-CA"/>
              <a:t>Comparaison</a:t>
            </a:r>
            <a:r>
              <a:rPr lang="fr-CA" baseline="0"/>
              <a:t> décaissement CELI VS FERR :</a:t>
            </a:r>
          </a:p>
          <a:p>
            <a:pPr>
              <a:defRPr/>
            </a:pPr>
            <a:r>
              <a:rPr lang="fr-CA" baseline="0"/>
              <a:t>Selon votre réalité financière et fiscale de 2021 !</a:t>
            </a:r>
          </a:p>
        </c:rich>
      </c:tx>
      <c:layout>
        <c:manualLayout>
          <c:xMode val="edge"/>
          <c:yMode val="edge"/>
          <c:x val="0.14154108508507671"/>
          <c:y val="2.5936026389426835E-5"/>
        </c:manualLayout>
      </c:layout>
      <c:overlay val="0"/>
    </c:title>
    <c:autoTitleDeleted val="0"/>
    <c:plotArea>
      <c:layout>
        <c:manualLayout>
          <c:layoutTarget val="inner"/>
          <c:xMode val="edge"/>
          <c:yMode val="edge"/>
          <c:x val="0.13772120494096179"/>
          <c:y val="0.24350039747132576"/>
          <c:w val="0.83197207602110201"/>
          <c:h val="0.67776147935041975"/>
        </c:manualLayout>
      </c:layout>
      <c:lineChart>
        <c:grouping val="standard"/>
        <c:varyColors val="0"/>
        <c:ser>
          <c:idx val="1"/>
          <c:order val="0"/>
          <c:tx>
            <c:strRef>
              <c:f>'Données graphique RVER vs CELI'!$C$7</c:f>
              <c:strCache>
                <c:ptCount val="1"/>
                <c:pt idx="0">
                  <c:v>CELI</c:v>
                </c:pt>
              </c:strCache>
            </c:strRef>
          </c:tx>
          <c:spPr>
            <a:ln>
              <a:solidFill>
                <a:srgbClr val="0070C0"/>
              </a:solidFill>
            </a:ln>
          </c:spPr>
          <c:marker>
            <c:symbol val="none"/>
          </c:marker>
          <c:cat>
            <c:strRef>
              <c:f>'Données graphique RVER vs CELI'!$B$6:$B$38</c:f>
              <c:strCache>
                <c:ptCount val="33"/>
                <c:pt idx="1">
                  <c:v>Année</c:v>
                </c:pt>
                <c:pt idx="2">
                  <c:v>64</c:v>
                </c:pt>
                <c:pt idx="3">
                  <c:v>65</c:v>
                </c:pt>
                <c:pt idx="4">
                  <c:v>66</c:v>
                </c:pt>
                <c:pt idx="5">
                  <c:v>67</c:v>
                </c:pt>
                <c:pt idx="6">
                  <c:v>68</c:v>
                </c:pt>
                <c:pt idx="7">
                  <c:v>69</c:v>
                </c:pt>
                <c:pt idx="8">
                  <c:v>70</c:v>
                </c:pt>
                <c:pt idx="9">
                  <c:v>71</c:v>
                </c:pt>
                <c:pt idx="10">
                  <c:v>72</c:v>
                </c:pt>
                <c:pt idx="11">
                  <c:v>73</c:v>
                </c:pt>
                <c:pt idx="12">
                  <c:v>74</c:v>
                </c:pt>
                <c:pt idx="13">
                  <c:v>75</c:v>
                </c:pt>
                <c:pt idx="14">
                  <c:v>76</c:v>
                </c:pt>
                <c:pt idx="15">
                  <c:v>77</c:v>
                </c:pt>
                <c:pt idx="16">
                  <c:v>78</c:v>
                </c:pt>
                <c:pt idx="17">
                  <c:v>79</c:v>
                </c:pt>
                <c:pt idx="18">
                  <c:v>80</c:v>
                </c:pt>
                <c:pt idx="19">
                  <c:v>81</c:v>
                </c:pt>
                <c:pt idx="20">
                  <c:v>82</c:v>
                </c:pt>
                <c:pt idx="21">
                  <c:v>83</c:v>
                </c:pt>
                <c:pt idx="22">
                  <c:v>84</c:v>
                </c:pt>
                <c:pt idx="23">
                  <c:v>85</c:v>
                </c:pt>
                <c:pt idx="24">
                  <c:v>86</c:v>
                </c:pt>
                <c:pt idx="25">
                  <c:v>87</c:v>
                </c:pt>
                <c:pt idx="26">
                  <c:v>88</c:v>
                </c:pt>
                <c:pt idx="27">
                  <c:v>89</c:v>
                </c:pt>
                <c:pt idx="28">
                  <c:v>90</c:v>
                </c:pt>
                <c:pt idx="29">
                  <c:v>91</c:v>
                </c:pt>
                <c:pt idx="30">
                  <c:v>92</c:v>
                </c:pt>
                <c:pt idx="31">
                  <c:v>93</c:v>
                </c:pt>
                <c:pt idx="32">
                  <c:v>94</c:v>
                </c:pt>
              </c:strCache>
            </c:strRef>
          </c:cat>
          <c:val>
            <c:numRef>
              <c:f>'Données graphique RVER vs CELI'!$C$8:$C$38</c:f>
              <c:numCache>
                <c:formatCode>#\ ##0\ "$"</c:formatCode>
                <c:ptCount val="31"/>
                <c:pt idx="0" formatCode="&quot;$&quot;#,##0_);[Red]\(&quot;$&quot;#,##0\)">
                  <c:v>239792.03562756503</c:v>
                </c:pt>
                <c:pt idx="1">
                  <c:v>233219.10484920227</c:v>
                </c:pt>
                <c:pt idx="2">
                  <c:v>226550.26392197577</c:v>
                </c:pt>
                <c:pt idx="3">
                  <c:v>219784.11335500921</c:v>
                </c:pt>
                <c:pt idx="4">
                  <c:v>212919.23323649337</c:v>
                </c:pt>
                <c:pt idx="5">
                  <c:v>205954.18293571027</c:v>
                </c:pt>
                <c:pt idx="6">
                  <c:v>198887.50080070939</c:v>
                </c:pt>
                <c:pt idx="7">
                  <c:v>191717.70385157235</c:v>
                </c:pt>
                <c:pt idx="8">
                  <c:v>184443.28746920195</c:v>
                </c:pt>
                <c:pt idx="9">
                  <c:v>177062.72507956999</c:v>
                </c:pt>
                <c:pt idx="10">
                  <c:v>169574.46783335778</c:v>
                </c:pt>
                <c:pt idx="11">
                  <c:v>161976.94428092209</c:v>
                </c:pt>
                <c:pt idx="12">
                  <c:v>154268.56004251834</c:v>
                </c:pt>
                <c:pt idx="13">
                  <c:v>146447.69747371168</c:v>
                </c:pt>
                <c:pt idx="14">
                  <c:v>138512.71532590591</c:v>
                </c:pt>
                <c:pt idx="15">
                  <c:v>130461.94840191895</c:v>
                </c:pt>
                <c:pt idx="16">
                  <c:v>122293.70720653259</c:v>
                </c:pt>
                <c:pt idx="17">
                  <c:v>114006.27759194313</c:v>
                </c:pt>
                <c:pt idx="18">
                  <c:v>105597.92039803859</c:v>
                </c:pt>
                <c:pt idx="19">
                  <c:v>97066.871087426902</c:v>
                </c:pt>
                <c:pt idx="20">
                  <c:v>88411.339375138617</c:v>
                </c:pt>
                <c:pt idx="21">
                  <c:v>79629.508852926287</c:v>
                </c:pt>
                <c:pt idx="22">
                  <c:v>70719.536608081762</c:v>
                </c:pt>
                <c:pt idx="23">
                  <c:v>61679.552836691444</c:v>
                </c:pt>
                <c:pt idx="24">
                  <c:v>52507.660451248164</c:v>
                </c:pt>
                <c:pt idx="25">
                  <c:v>43201.934682537583</c:v>
                </c:pt>
                <c:pt idx="26">
                  <c:v>33760.422675715359</c:v>
                </c:pt>
                <c:pt idx="27">
                  <c:v>24181.143080490408</c:v>
                </c:pt>
                <c:pt idx="28">
                  <c:v>14462.085635328287</c:v>
                </c:pt>
                <c:pt idx="29">
                  <c:v>4601.2107455873702</c:v>
                </c:pt>
                <c:pt idx="30">
                  <c:v>-5403.550944500671</c:v>
                </c:pt>
              </c:numCache>
            </c:numRef>
          </c:val>
          <c:smooth val="0"/>
          <c:extLst>
            <c:ext xmlns:c16="http://schemas.microsoft.com/office/drawing/2014/chart" uri="{C3380CC4-5D6E-409C-BE32-E72D297353CC}">
              <c16:uniqueId val="{00000000-9F4B-4B33-B336-ABBFFE00E075}"/>
            </c:ext>
          </c:extLst>
        </c:ser>
        <c:ser>
          <c:idx val="2"/>
          <c:order val="1"/>
          <c:tx>
            <c:strRef>
              <c:f>'Données graphique RVER vs CELI'!$D$7</c:f>
              <c:strCache>
                <c:ptCount val="1"/>
                <c:pt idx="0">
                  <c:v>FERR</c:v>
                </c:pt>
              </c:strCache>
            </c:strRef>
          </c:tx>
          <c:spPr>
            <a:ln>
              <a:solidFill>
                <a:srgbClr val="FFC000"/>
              </a:solidFill>
              <a:prstDash val="solid"/>
            </a:ln>
          </c:spPr>
          <c:marker>
            <c:symbol val="none"/>
          </c:marker>
          <c:cat>
            <c:strRef>
              <c:f>'Données graphique RVER vs CELI'!$B$6:$B$38</c:f>
              <c:strCache>
                <c:ptCount val="33"/>
                <c:pt idx="1">
                  <c:v>Année</c:v>
                </c:pt>
                <c:pt idx="2">
                  <c:v>64</c:v>
                </c:pt>
                <c:pt idx="3">
                  <c:v>65</c:v>
                </c:pt>
                <c:pt idx="4">
                  <c:v>66</c:v>
                </c:pt>
                <c:pt idx="5">
                  <c:v>67</c:v>
                </c:pt>
                <c:pt idx="6">
                  <c:v>68</c:v>
                </c:pt>
                <c:pt idx="7">
                  <c:v>69</c:v>
                </c:pt>
                <c:pt idx="8">
                  <c:v>70</c:v>
                </c:pt>
                <c:pt idx="9">
                  <c:v>71</c:v>
                </c:pt>
                <c:pt idx="10">
                  <c:v>72</c:v>
                </c:pt>
                <c:pt idx="11">
                  <c:v>73</c:v>
                </c:pt>
                <c:pt idx="12">
                  <c:v>74</c:v>
                </c:pt>
                <c:pt idx="13">
                  <c:v>75</c:v>
                </c:pt>
                <c:pt idx="14">
                  <c:v>76</c:v>
                </c:pt>
                <c:pt idx="15">
                  <c:v>77</c:v>
                </c:pt>
                <c:pt idx="16">
                  <c:v>78</c:v>
                </c:pt>
                <c:pt idx="17">
                  <c:v>79</c:v>
                </c:pt>
                <c:pt idx="18">
                  <c:v>80</c:v>
                </c:pt>
                <c:pt idx="19">
                  <c:v>81</c:v>
                </c:pt>
                <c:pt idx="20">
                  <c:v>82</c:v>
                </c:pt>
                <c:pt idx="21">
                  <c:v>83</c:v>
                </c:pt>
                <c:pt idx="22">
                  <c:v>84</c:v>
                </c:pt>
                <c:pt idx="23">
                  <c:v>85</c:v>
                </c:pt>
                <c:pt idx="24">
                  <c:v>86</c:v>
                </c:pt>
                <c:pt idx="25">
                  <c:v>87</c:v>
                </c:pt>
                <c:pt idx="26">
                  <c:v>88</c:v>
                </c:pt>
                <c:pt idx="27">
                  <c:v>89</c:v>
                </c:pt>
                <c:pt idx="28">
                  <c:v>90</c:v>
                </c:pt>
                <c:pt idx="29">
                  <c:v>91</c:v>
                </c:pt>
                <c:pt idx="30">
                  <c:v>92</c:v>
                </c:pt>
                <c:pt idx="31">
                  <c:v>93</c:v>
                </c:pt>
                <c:pt idx="32">
                  <c:v>94</c:v>
                </c:pt>
              </c:strCache>
            </c:strRef>
          </c:cat>
          <c:val>
            <c:numRef>
              <c:f>'Données graphique RVER vs CELI'!$D$8:$D$38</c:f>
              <c:numCache>
                <c:formatCode>#\ ##0\ "$"</c:formatCode>
                <c:ptCount val="31"/>
                <c:pt idx="0" formatCode="&quot;$&quot;#,##0_);[Red]\(&quot;$&quot;#,##0\)">
                  <c:v>417029.62717837392</c:v>
                </c:pt>
                <c:pt idx="1">
                  <c:v>404752.4184015537</c:v>
                </c:pt>
                <c:pt idx="2">
                  <c:v>392296.06443651818</c:v>
                </c:pt>
                <c:pt idx="3">
                  <c:v>379657.95125274593</c:v>
                </c:pt>
                <c:pt idx="4">
                  <c:v>366835.42667660018</c:v>
                </c:pt>
                <c:pt idx="5">
                  <c:v>353825.79983475653</c:v>
                </c:pt>
                <c:pt idx="6">
                  <c:v>340626.34058950917</c:v>
                </c:pt>
                <c:pt idx="7">
                  <c:v>327234.27896583726</c:v>
                </c:pt>
                <c:pt idx="8">
                  <c:v>313646.80457011139</c:v>
                </c:pt>
                <c:pt idx="9">
                  <c:v>299861.06600031781</c:v>
                </c:pt>
                <c:pt idx="10">
                  <c:v>285874.17024767696</c:v>
                </c:pt>
                <c:pt idx="11">
                  <c:v>271683.18208953063</c:v>
                </c:pt>
                <c:pt idx="12">
                  <c:v>257285.12347337004</c:v>
                </c:pt>
                <c:pt idx="13">
                  <c:v>242676.97289187633</c:v>
                </c:pt>
                <c:pt idx="14">
                  <c:v>227855.6647488414</c:v>
                </c:pt>
                <c:pt idx="15">
                  <c:v>212818.0887158367</c:v>
                </c:pt>
                <c:pt idx="16">
                  <c:v>197561.08907949468</c:v>
                </c:pt>
                <c:pt idx="17">
                  <c:v>182081.46407926586</c:v>
                </c:pt>
                <c:pt idx="18">
                  <c:v>166375.96523551294</c:v>
                </c:pt>
                <c:pt idx="19">
                  <c:v>150441.29666780031</c:v>
                </c:pt>
                <c:pt idx="20">
                  <c:v>134274.11440323657</c:v>
                </c:pt>
                <c:pt idx="21">
                  <c:v>117871.02567472437</c:v>
                </c:pt>
                <c:pt idx="22">
                  <c:v>101228.5882089707</c:v>
                </c:pt>
                <c:pt idx="23">
                  <c:v>84343.30950410795</c:v>
                </c:pt>
                <c:pt idx="24">
                  <c:v>67211.646096774246</c:v>
                </c:pt>
                <c:pt idx="25">
                  <c:v>49830.002818499299</c:v>
                </c:pt>
                <c:pt idx="26">
                  <c:v>32194.732041239648</c:v>
                </c:pt>
                <c:pt idx="27">
                  <c:v>14302.132911904971</c:v>
                </c:pt>
                <c:pt idx="28">
                  <c:v>-3851.54942428513</c:v>
                </c:pt>
                <c:pt idx="29">
                  <c:v>-22270.124611776901</c:v>
                </c:pt>
                <c:pt idx="30">
                  <c:v>-40957.45788415608</c:v>
                </c:pt>
              </c:numCache>
            </c:numRef>
          </c:val>
          <c:smooth val="0"/>
          <c:extLst>
            <c:ext xmlns:c16="http://schemas.microsoft.com/office/drawing/2014/chart" uri="{C3380CC4-5D6E-409C-BE32-E72D297353CC}">
              <c16:uniqueId val="{00000001-9F4B-4B33-B336-ABBFFE00E075}"/>
            </c:ext>
          </c:extLst>
        </c:ser>
        <c:ser>
          <c:idx val="0"/>
          <c:order val="2"/>
          <c:tx>
            <c:v>FERR ajusté</c:v>
          </c:tx>
          <c:spPr>
            <a:ln>
              <a:solidFill>
                <a:srgbClr val="FFC000"/>
              </a:solidFill>
              <a:prstDash val="sysDash"/>
            </a:ln>
          </c:spPr>
          <c:marker>
            <c:symbol val="none"/>
          </c:marker>
          <c:val>
            <c:numRef>
              <c:f>'Données graphique RVER vs CELI'!$F$8:$F$38</c:f>
              <c:numCache>
                <c:formatCode>#\ ##0\ "$"</c:formatCode>
                <c:ptCount val="31"/>
                <c:pt idx="0">
                  <c:v>437171.80392194708</c:v>
                </c:pt>
                <c:pt idx="1">
                  <c:v>425188.503484505</c:v>
                </c:pt>
                <c:pt idx="2">
                  <c:v>413030.3464773547</c:v>
                </c:pt>
                <c:pt idx="3">
                  <c:v>400694.7814481539</c:v>
                </c:pt>
                <c:pt idx="4">
                  <c:v>388179.21971456608</c:v>
                </c:pt>
                <c:pt idx="5">
                  <c:v>375481.03482101235</c:v>
                </c:pt>
                <c:pt idx="6">
                  <c:v>362597.56198749598</c:v>
                </c:pt>
                <c:pt idx="7">
                  <c:v>349526.09755038447</c:v>
                </c:pt>
                <c:pt idx="8">
                  <c:v>336263.89839503163</c:v>
                </c:pt>
                <c:pt idx="9">
                  <c:v>322808.18138012104</c:v>
                </c:pt>
                <c:pt idx="10">
                  <c:v>309156.12275360897</c:v>
                </c:pt>
                <c:pt idx="11">
                  <c:v>295304.85756014573</c:v>
                </c:pt>
                <c:pt idx="12">
                  <c:v>281251.47903984977</c:v>
                </c:pt>
                <c:pt idx="13">
                  <c:v>266993.03801830899</c:v>
                </c:pt>
                <c:pt idx="14">
                  <c:v>252526.54228768128</c:v>
                </c:pt>
                <c:pt idx="15">
                  <c:v>237848.9559787641</c:v>
                </c:pt>
                <c:pt idx="16">
                  <c:v>222957.19892390165</c:v>
                </c:pt>
                <c:pt idx="17">
                  <c:v>207848.14601059564</c:v>
                </c:pt>
                <c:pt idx="18">
                  <c:v>192518.62652568423</c:v>
                </c:pt>
                <c:pt idx="19">
                  <c:v>176965.42348995141</c:v>
                </c:pt>
                <c:pt idx="20">
                  <c:v>161185.27298302727</c:v>
                </c:pt>
                <c:pt idx="21">
                  <c:v>145174.86345843729</c:v>
                </c:pt>
                <c:pt idx="22">
                  <c:v>128930.83504865722</c:v>
                </c:pt>
                <c:pt idx="23">
                  <c:v>112449.77886002736</c:v>
                </c:pt>
                <c:pt idx="24">
                  <c:v>95728.236257378579</c:v>
                </c:pt>
                <c:pt idx="25">
                  <c:v>78762.698138219741</c:v>
                </c:pt>
                <c:pt idx="26">
                  <c:v>61549.604196334396</c:v>
                </c:pt>
                <c:pt idx="27">
                  <c:v>44085.342174632009</c:v>
                </c:pt>
                <c:pt idx="28">
                  <c:v>26366.247107097053</c:v>
                </c:pt>
                <c:pt idx="29">
                  <c:v>8388.6005496768939</c:v>
                </c:pt>
                <c:pt idx="30">
                  <c:v>-9851.3702000530047</c:v>
                </c:pt>
              </c:numCache>
            </c:numRef>
          </c:val>
          <c:smooth val="0"/>
          <c:extLst>
            <c:ext xmlns:c16="http://schemas.microsoft.com/office/drawing/2014/chart" uri="{C3380CC4-5D6E-409C-BE32-E72D297353CC}">
              <c16:uniqueId val="{00000002-9F4B-4B33-B336-ABBFFE00E075}"/>
            </c:ext>
          </c:extLst>
        </c:ser>
        <c:dLbls>
          <c:showLegendKey val="0"/>
          <c:showVal val="0"/>
          <c:showCatName val="0"/>
          <c:showSerName val="0"/>
          <c:showPercent val="0"/>
          <c:showBubbleSize val="0"/>
        </c:dLbls>
        <c:smooth val="0"/>
        <c:axId val="47250816"/>
        <c:axId val="74384896"/>
      </c:lineChart>
      <c:catAx>
        <c:axId val="47250816"/>
        <c:scaling>
          <c:orientation val="minMax"/>
        </c:scaling>
        <c:delete val="0"/>
        <c:axPos val="b"/>
        <c:title>
          <c:tx>
            <c:rich>
              <a:bodyPr/>
              <a:lstStyle/>
              <a:p>
                <a:pPr>
                  <a:defRPr/>
                </a:pPr>
                <a:r>
                  <a:rPr lang="en-US"/>
                  <a:t>Âge</a:t>
                </a:r>
              </a:p>
            </c:rich>
          </c:tx>
          <c:overlay val="0"/>
        </c:title>
        <c:numFmt formatCode="General" sourceLinked="1"/>
        <c:majorTickMark val="out"/>
        <c:minorTickMark val="none"/>
        <c:tickLblPos val="nextTo"/>
        <c:txPr>
          <a:bodyPr rot="-5400000" vert="horz"/>
          <a:lstStyle/>
          <a:p>
            <a:pPr>
              <a:defRPr/>
            </a:pPr>
            <a:endParaRPr lang="fr-FR"/>
          </a:p>
        </c:txPr>
        <c:crossAx val="74384896"/>
        <c:crosses val="autoZero"/>
        <c:auto val="1"/>
        <c:lblAlgn val="ctr"/>
        <c:lblOffset val="100"/>
        <c:noMultiLvlLbl val="0"/>
      </c:catAx>
      <c:valAx>
        <c:axId val="74384896"/>
        <c:scaling>
          <c:orientation val="minMax"/>
        </c:scaling>
        <c:delete val="0"/>
        <c:axPos val="l"/>
        <c:majorGridlines/>
        <c:title>
          <c:tx>
            <c:rich>
              <a:bodyPr rot="-5400000" vert="horz"/>
              <a:lstStyle/>
              <a:p>
                <a:pPr>
                  <a:defRPr/>
                </a:pPr>
                <a:r>
                  <a:rPr lang="fr-CA"/>
                  <a:t>Valeur du portefeuille</a:t>
                </a:r>
              </a:p>
            </c:rich>
          </c:tx>
          <c:overlay val="0"/>
        </c:title>
        <c:numFmt formatCode="&quot;$&quot;#,##0_);[Red]\(&quot;$&quot;#,##0\)" sourceLinked="1"/>
        <c:majorTickMark val="out"/>
        <c:minorTickMark val="none"/>
        <c:tickLblPos val="nextTo"/>
        <c:txPr>
          <a:bodyPr/>
          <a:lstStyle/>
          <a:p>
            <a:pPr>
              <a:defRPr sz="800" baseline="0"/>
            </a:pPr>
            <a:endParaRPr lang="fr-FR"/>
          </a:p>
        </c:txPr>
        <c:crossAx val="47250816"/>
        <c:crosses val="autoZero"/>
        <c:crossBetween val="between"/>
      </c:valAx>
      <c:spPr>
        <a:solidFill>
          <a:schemeClr val="lt1"/>
        </a:solidFill>
        <a:ln w="25400" cap="flat" cmpd="sng" algn="ctr">
          <a:solidFill>
            <a:schemeClr val="dk1"/>
          </a:solidFill>
          <a:prstDash val="solid"/>
        </a:ln>
        <a:effectLst/>
      </c:spPr>
    </c:plotArea>
    <c:legend>
      <c:legendPos val="r"/>
      <c:layout>
        <c:manualLayout>
          <c:xMode val="edge"/>
          <c:yMode val="edge"/>
          <c:x val="0.73053040976622075"/>
          <c:y val="0.43671239164174636"/>
          <c:w val="0.18373477630039908"/>
          <c:h val="0.16446487845226715"/>
        </c:manualLayout>
      </c:layout>
      <c:overlay val="0"/>
    </c:legend>
    <c:plotVisOnly val="1"/>
    <c:dispBlanksAs val="gap"/>
    <c:showDLblsOverMax val="0"/>
  </c:chart>
  <c:spPr>
    <a:solidFill>
      <a:schemeClr val="lt1"/>
    </a:solidFill>
    <a:ln w="25400" cap="flat" cmpd="sng" algn="ctr">
      <a:solidFill>
        <a:schemeClr val="accent1"/>
      </a:solidFill>
      <a:prstDash val="solid"/>
    </a:ln>
    <a:effectLst/>
  </c:spPr>
  <c:txPr>
    <a:bodyPr/>
    <a:lstStyle/>
    <a:p>
      <a:pPr>
        <a:defRPr>
          <a:solidFill>
            <a:schemeClr val="dk1"/>
          </a:solidFill>
          <a:latin typeface="+mn-lt"/>
          <a:ea typeface="+mn-ea"/>
          <a:cs typeface="+mn-cs"/>
        </a:defRPr>
      </a:pPr>
      <a:endParaRPr lang="fr-FR"/>
    </a:p>
  </c:txPr>
  <c:printSettings>
    <c:headerFooter/>
    <c:pageMargins b="0.74803149606299213" l="0.51181102362204722" r="0.51181102362204722" t="0.74803149606299213" header="0.31496062992125984" footer="0.31496062992125984"/>
    <c:pageSetup paperSize="173"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38103</xdr:colOff>
      <xdr:row>22</xdr:row>
      <xdr:rowOff>15240</xdr:rowOff>
    </xdr:from>
    <xdr:to>
      <xdr:col>12</xdr:col>
      <xdr:colOff>0</xdr:colOff>
      <xdr:row>41</xdr:row>
      <xdr:rowOff>152400</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38103</xdr:colOff>
      <xdr:row>22</xdr:row>
      <xdr:rowOff>15240</xdr:rowOff>
    </xdr:from>
    <xdr:to>
      <xdr:col>12</xdr:col>
      <xdr:colOff>0</xdr:colOff>
      <xdr:row>41</xdr:row>
      <xdr:rowOff>152400</xdr:rowOff>
    </xdr:to>
    <xdr:graphicFrame macro="">
      <xdr:nvGraphicFramePr>
        <xdr:cNvPr id="2" name="Graphique 1">
          <a:extLst>
            <a:ext uri="{FF2B5EF4-FFF2-40B4-BE49-F238E27FC236}">
              <a16:creationId xmlns:a16="http://schemas.microsoft.com/office/drawing/2014/main" id="{C2D40FDA-9163-4002-930E-E0D5FC82E4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38103</xdr:colOff>
      <xdr:row>21</xdr:row>
      <xdr:rowOff>9525</xdr:rowOff>
    </xdr:from>
    <xdr:to>
      <xdr:col>12</xdr:col>
      <xdr:colOff>15241</xdr:colOff>
      <xdr:row>46</xdr:row>
      <xdr:rowOff>7620</xdr:rowOff>
    </xdr:to>
    <xdr:graphicFrame macro="">
      <xdr:nvGraphicFramePr>
        <xdr:cNvPr id="2" name="Graphique 1">
          <a:extLst>
            <a:ext uri="{FF2B5EF4-FFF2-40B4-BE49-F238E27FC236}">
              <a16:creationId xmlns:a16="http://schemas.microsoft.com/office/drawing/2014/main" id="{C93F2B9D-241A-4FAD-AB9C-8E9974353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rrq.gouv.qc.ca/fr/services/services_en_ligne/planification/Pages/simul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V117"/>
  <sheetViews>
    <sheetView tabSelected="1" zoomScaleNormal="100" workbookViewId="0">
      <selection activeCell="B4" sqref="B4"/>
    </sheetView>
  </sheetViews>
  <sheetFormatPr baseColWidth="10" defaultRowHeight="14.4" x14ac:dyDescent="0.3"/>
  <cols>
    <col min="1" max="1" width="44.109375" customWidth="1"/>
    <col min="2" max="2" width="13.6640625" customWidth="1"/>
    <col min="3" max="3" width="13.44140625" customWidth="1"/>
    <col min="4" max="4" width="14.109375" customWidth="1"/>
    <col min="5" max="5" width="14.77734375" customWidth="1"/>
    <col min="6" max="6" width="14.109375" customWidth="1"/>
    <col min="7" max="7" width="15.44140625" customWidth="1"/>
    <col min="8" max="8" width="11.77734375" bestFit="1" customWidth="1"/>
    <col min="9" max="9" width="17.88671875" customWidth="1"/>
    <col min="10" max="10" width="9.88671875" customWidth="1"/>
    <col min="11" max="12" width="12.6640625" customWidth="1"/>
    <col min="13" max="13" width="13.109375" hidden="1" customWidth="1"/>
    <col min="14" max="15" width="12.5546875" hidden="1" customWidth="1"/>
    <col min="16" max="16" width="14.21875" hidden="1" customWidth="1"/>
    <col min="17" max="23" width="11.5546875" customWidth="1"/>
    <col min="24" max="24" width="12.6640625" customWidth="1"/>
    <col min="25" max="26" width="11.5546875" customWidth="1"/>
    <col min="27" max="27" width="13.77734375" customWidth="1"/>
    <col min="28" max="28" width="3.44140625" customWidth="1"/>
    <col min="29" max="29" width="13.6640625" customWidth="1"/>
    <col min="30" max="58" width="11.5546875" customWidth="1"/>
  </cols>
  <sheetData>
    <row r="1" spans="1:22" ht="21" x14ac:dyDescent="0.4">
      <c r="A1" s="591" t="s">
        <v>167</v>
      </c>
      <c r="B1" s="592"/>
      <c r="C1" s="592"/>
      <c r="D1" s="592"/>
      <c r="E1" s="592"/>
    </row>
    <row r="2" spans="1:22" ht="6" customHeight="1" thickBot="1" x14ac:dyDescent="0.45">
      <c r="A2" s="6"/>
    </row>
    <row r="3" spans="1:22" ht="14.4" customHeight="1" x14ac:dyDescent="0.3">
      <c r="A3" s="427" t="s">
        <v>284</v>
      </c>
      <c r="B3" s="357" t="s">
        <v>67</v>
      </c>
      <c r="C3" s="357" t="s">
        <v>68</v>
      </c>
      <c r="D3" s="358" t="s">
        <v>69</v>
      </c>
    </row>
    <row r="4" spans="1:22" ht="14.4" customHeight="1" x14ac:dyDescent="0.3">
      <c r="A4" s="321" t="s">
        <v>66</v>
      </c>
      <c r="B4" s="330">
        <v>1</v>
      </c>
      <c r="C4" s="359"/>
      <c r="D4" s="335"/>
    </row>
    <row r="5" spans="1:22" ht="14.4" customHeight="1" x14ac:dyDescent="0.3">
      <c r="A5" s="321" t="s">
        <v>256</v>
      </c>
      <c r="B5" s="330">
        <v>50</v>
      </c>
      <c r="C5" s="330"/>
      <c r="D5" s="335"/>
      <c r="M5" s="38" t="s">
        <v>102</v>
      </c>
      <c r="N5" s="38"/>
    </row>
    <row r="6" spans="1:22" ht="14.4" customHeight="1" x14ac:dyDescent="0.3">
      <c r="A6" s="321" t="s">
        <v>250</v>
      </c>
      <c r="B6" s="330">
        <v>65</v>
      </c>
      <c r="C6" s="330"/>
      <c r="D6" s="335"/>
      <c r="M6" s="38" t="s">
        <v>67</v>
      </c>
      <c r="N6" s="38" t="s">
        <v>103</v>
      </c>
    </row>
    <row r="7" spans="1:22" ht="14.4" customHeight="1" x14ac:dyDescent="0.3">
      <c r="A7" s="360" t="s">
        <v>78</v>
      </c>
      <c r="B7" s="361">
        <v>50000</v>
      </c>
      <c r="C7" s="361"/>
      <c r="D7" s="366">
        <f t="shared" ref="D7:D13" si="0">SUM(B7:C7)</f>
        <v>50000</v>
      </c>
      <c r="E7" s="96"/>
      <c r="M7" s="54">
        <f>IF(AND(B7=6,B9&gt;0),F9/(F9+G9),B7/(B7+C7))</f>
        <v>1</v>
      </c>
      <c r="N7" s="54">
        <f>100%-M7</f>
        <v>0</v>
      </c>
    </row>
    <row r="8" spans="1:22" ht="14.4" customHeight="1" x14ac:dyDescent="0.3">
      <c r="A8" s="360" t="s">
        <v>134</v>
      </c>
      <c r="B8" s="362">
        <f>Seuils!E32</f>
        <v>7486.71</v>
      </c>
      <c r="C8" s="361">
        <f>IF(B4=1,0,B8)</f>
        <v>0</v>
      </c>
      <c r="D8" s="366">
        <f t="shared" si="0"/>
        <v>7486.71</v>
      </c>
      <c r="E8" s="1"/>
      <c r="F8" s="88" t="str">
        <f>IF(B7&gt;0," ",(B9*61600/80%)/(61600*25%*94.15%))</f>
        <v xml:space="preserve"> </v>
      </c>
      <c r="G8" s="88" t="str">
        <f>IF(OR(B4=1,C7&gt;0)," ",(C9*61600/80%)/(61600*25%*94.15%))</f>
        <v xml:space="preserve"> </v>
      </c>
      <c r="M8" s="277" t="s">
        <v>281</v>
      </c>
    </row>
    <row r="9" spans="1:22" ht="14.4" customHeight="1" thickBot="1" x14ac:dyDescent="0.35">
      <c r="A9" s="321" t="s">
        <v>101</v>
      </c>
      <c r="B9" s="362">
        <f>IF(B7&gt;61600/80%,61600*25%*94.15%,B7*61600*25%*94.15%/(61600/80%))</f>
        <v>9415</v>
      </c>
      <c r="C9" s="361">
        <f>IF(C7&gt;61600/80%,61600*25%*94.15%,C7*61600*25%*94.15%/(61600/80%))</f>
        <v>0</v>
      </c>
      <c r="D9" s="366">
        <f t="shared" si="0"/>
        <v>9415</v>
      </c>
      <c r="E9" s="1"/>
      <c r="F9" s="1"/>
      <c r="H9" s="1" t="s">
        <v>282</v>
      </c>
      <c r="M9" s="1" t="s">
        <v>279</v>
      </c>
      <c r="N9" s="94">
        <f>IF(AND(B4=1,C29&gt;Seuils!D55),Seuils!E33,IF(AND(B4=1,B7&gt;Seuils!A9),Seuils!E33,IF(AND(B4=1,B9&lt;Seuils!E33/80%,B9&lt;=61600*25%*94.15%),Seuils!D55,IF(AND(B4=1,B9&lt;Seuils!E33/80%,B9&gt;61600*25%*94.15%),Seuils!J55,IF(C29&gt;Seuils!A8,Seuils!E33*2,IF('Optimisation retraite'!C29&gt;Seuils!I7*2,Seuils!A8,IF(AND(B13+C13+D9&gt;21300,C29&lt;Seuils!C16),Seuils!C16,Seuils!J6*2)))))))</f>
        <v>39669.839999999997</v>
      </c>
      <c r="O9" s="95">
        <f>IF(D7=0,N9/(F9+G9),N9/D7)</f>
        <v>0.7933967999999999</v>
      </c>
      <c r="P9" s="521">
        <f>IF(ABS(N9-D12)&lt;1000,0,1)</f>
        <v>1</v>
      </c>
      <c r="Q9" s="95"/>
      <c r="R9" s="95"/>
      <c r="S9" s="95"/>
      <c r="T9" s="95"/>
      <c r="U9" s="95"/>
      <c r="V9" s="95"/>
    </row>
    <row r="10" spans="1:22" ht="14.4" customHeight="1" x14ac:dyDescent="0.35">
      <c r="A10" s="360" t="s">
        <v>70</v>
      </c>
      <c r="B10" s="361">
        <v>1000</v>
      </c>
      <c r="C10" s="361">
        <v>0</v>
      </c>
      <c r="D10" s="366">
        <f t="shared" si="0"/>
        <v>1000</v>
      </c>
      <c r="E10" s="599" t="s">
        <v>177</v>
      </c>
      <c r="F10" s="600"/>
      <c r="G10" s="601"/>
      <c r="H10" s="385" t="s">
        <v>267</v>
      </c>
      <c r="I10" s="386"/>
      <c r="J10" s="382">
        <f>D71</f>
        <v>0.42499999999999999</v>
      </c>
      <c r="M10" s="38" t="s">
        <v>278</v>
      </c>
      <c r="N10" s="94">
        <f>IF(AND(B4=2,D7&gt;150000,C29&gt;Seuils!I7*2),Seuils!E33*2,IF(AND(B4=2,N9=Seuils!I7*2),Seuils!C16,IF(AND(B4=2,N9=Seuils!C16),Seuils!I7*2,IF(AND(B4=1,N9=Seuils!D55),Seuils!E33,Seuils!D55))))</f>
        <v>79845</v>
      </c>
      <c r="O10" s="95">
        <f>IF(D7=0,N10/(F9+G9),N10/D7)</f>
        <v>1.5969</v>
      </c>
      <c r="P10" s="95"/>
      <c r="Q10" s="95"/>
      <c r="R10" s="95"/>
      <c r="S10" s="95"/>
      <c r="T10" s="95"/>
      <c r="U10" s="95"/>
      <c r="V10" s="95"/>
    </row>
    <row r="11" spans="1:22" ht="14.4" customHeight="1" x14ac:dyDescent="0.35">
      <c r="A11" s="321" t="s">
        <v>135</v>
      </c>
      <c r="B11" s="362">
        <v>642</v>
      </c>
      <c r="C11" s="361">
        <f>IF(B4=1,0,642)</f>
        <v>0</v>
      </c>
      <c r="D11" s="366">
        <f t="shared" si="0"/>
        <v>642</v>
      </c>
      <c r="E11" s="371" t="s">
        <v>106</v>
      </c>
      <c r="F11" s="372" t="s">
        <v>161</v>
      </c>
      <c r="G11" s="391" t="str">
        <f>IF(B4=1,"seuil limite","optimal #2")</f>
        <v>seuil limite</v>
      </c>
      <c r="H11" s="387" t="s">
        <v>125</v>
      </c>
      <c r="I11" s="388"/>
      <c r="J11" s="383">
        <f>C57</f>
        <v>0.45149244878936046</v>
      </c>
      <c r="K11" s="50"/>
      <c r="N11" s="3"/>
    </row>
    <row r="12" spans="1:22" ht="14.4" customHeight="1" thickBot="1" x14ac:dyDescent="0.4">
      <c r="A12" s="360" t="s">
        <v>82</v>
      </c>
      <c r="B12" s="367">
        <f>IF(B7=0,(F8+G8)*E12,(B7+C7)*E12)</f>
        <v>35000</v>
      </c>
      <c r="C12" s="363"/>
      <c r="D12" s="366">
        <f t="shared" si="0"/>
        <v>35000</v>
      </c>
      <c r="E12" s="373">
        <v>0.7</v>
      </c>
      <c r="F12" s="374">
        <f>O9</f>
        <v>0.7933967999999999</v>
      </c>
      <c r="G12" s="375">
        <f>IF(B4=1,Seuils!E33/B7,O10)</f>
        <v>1.5969</v>
      </c>
      <c r="H12" s="389" t="s">
        <v>124</v>
      </c>
      <c r="I12" s="390"/>
      <c r="J12" s="384">
        <f>C67</f>
        <v>0.46304050111916628</v>
      </c>
    </row>
    <row r="13" spans="1:22" ht="14.4" customHeight="1" x14ac:dyDescent="0.3">
      <c r="A13" s="360" t="s">
        <v>476</v>
      </c>
      <c r="B13" s="361">
        <v>0</v>
      </c>
      <c r="C13" s="361">
        <v>0</v>
      </c>
      <c r="D13" s="366">
        <f t="shared" si="0"/>
        <v>0</v>
      </c>
      <c r="E13" s="276"/>
      <c r="K13" s="50"/>
      <c r="L13" s="50"/>
      <c r="M13" s="310"/>
    </row>
    <row r="14" spans="1:22" ht="14.4" customHeight="1" x14ac:dyDescent="0.3">
      <c r="A14" s="360" t="s">
        <v>191</v>
      </c>
      <c r="B14" s="364">
        <v>0.5</v>
      </c>
      <c r="C14" s="364">
        <v>0.5</v>
      </c>
      <c r="D14" s="366"/>
      <c r="E14" s="579" t="s">
        <v>384</v>
      </c>
      <c r="M14" s="50"/>
    </row>
    <row r="15" spans="1:22" ht="14.4" customHeight="1" x14ac:dyDescent="0.3">
      <c r="A15" s="360" t="s">
        <v>192</v>
      </c>
      <c r="B15" s="361">
        <v>0</v>
      </c>
      <c r="C15" s="361">
        <v>0</v>
      </c>
      <c r="D15" s="366">
        <f>SUM(B15:C15)</f>
        <v>0</v>
      </c>
      <c r="E15" s="491" t="s">
        <v>348</v>
      </c>
      <c r="F15" s="491" t="s">
        <v>347</v>
      </c>
      <c r="M15" s="50"/>
    </row>
    <row r="16" spans="1:22" ht="14.4" customHeight="1" thickBot="1" x14ac:dyDescent="0.4">
      <c r="A16" s="368" t="str">
        <f>IF(B4=2,"Revenus privés (2 conjoints &gt; 65  ans)","Revenus privés (célibataire &gt; 65  ans)")</f>
        <v>Revenus privés (célibataire &gt; 65  ans)</v>
      </c>
      <c r="B16" s="369">
        <f>IF(AND(B4=2,C7&gt;15000),(B12-D9-B24-C24)*M7,B12-D9-B24-C24)</f>
        <v>18098.29</v>
      </c>
      <c r="C16" s="369">
        <f>IF(AND(B4=2,C7&gt;15000),(B12-D9-B24-C24)*(1-M7),0)</f>
        <v>0</v>
      </c>
      <c r="D16" s="370">
        <f>SUM(B16:C16)</f>
        <v>18098.29</v>
      </c>
      <c r="E16" s="577" t="str">
        <f>IF(C29&gt;Seuils!E33*B4,"minimum FERR",IF(P9=0,D57,"Optimal ?"))</f>
        <v>Optimal ?</v>
      </c>
      <c r="F16" s="578">
        <f>IF(AND(B4=2,'Optimal &lt; 65'!H8&gt;65,'Optimal &lt; 65'!I7&lt;65,'Optimal &lt; 65'!D10+'Optimal &lt; 65'!D15&lt;Seuils!C29,'Optimal &lt; 65'!D10+'Optimal &lt; 65'!D15&gt;Seuils!C30),-'Optimal &lt; 65'!D56,IF(AND(B4=1,B6&gt;64),0,IF(AND(B4=1,C28&lt;Seuils!D55,'Optimisation retraite'!J11&gt;40%,' Épargne nécessaire'!B22&gt;(Seuils!D55-'Optimal &lt; 65'!C28)*'Optimal &lt; 65'!I8+1),Seuils!J7,IF(AND('Optimisation retraite'!B4=2,MAX(B6:C6)&lt;65),'Optimal actuel'!D55,IF(OR(B6&lt;65,C6&lt;65),'Optimal &lt; 65'!D56,0)))))</f>
        <v>0</v>
      </c>
      <c r="G16" s="580" t="str">
        <f>IF(AND(B4=2,'Optimal &lt; 65'!H8&gt;65,'Optimal &lt; 65'!I7&lt;65,'Optimal &lt; 65'!D10+'Optimal &lt; 65'!D15&lt;Seuils!C29,'Optimal &lt; 65'!D10+'Optimal &lt; 65'!D15&gt;Seuils!C30,F16&lt;0),"Attention ménage éligible au SRG et devrait plutôt cotiser à son REER !"," ")</f>
        <v xml:space="preserve"> </v>
      </c>
      <c r="I16" s="50"/>
      <c r="J16" s="84"/>
      <c r="K16" s="50"/>
      <c r="L16" s="50"/>
      <c r="M16" s="50"/>
    </row>
    <row r="17" spans="1:13" ht="7.8" customHeight="1" thickBot="1" x14ac:dyDescent="0.4">
      <c r="E17" s="1"/>
      <c r="H17" s="83"/>
      <c r="I17" s="50"/>
      <c r="J17" s="84"/>
      <c r="K17" s="50"/>
      <c r="L17" s="50"/>
      <c r="M17" s="50"/>
    </row>
    <row r="18" spans="1:13" ht="15.6" customHeight="1" thickBot="1" x14ac:dyDescent="0.4">
      <c r="A18" s="379" t="s">
        <v>276</v>
      </c>
      <c r="B18" s="376" t="s">
        <v>247</v>
      </c>
      <c r="C18" s="376" t="s">
        <v>248</v>
      </c>
      <c r="D18" s="377" t="s">
        <v>69</v>
      </c>
      <c r="E18" s="358" t="s">
        <v>277</v>
      </c>
      <c r="F18" s="597" t="s">
        <v>283</v>
      </c>
      <c r="G18" s="598"/>
      <c r="H18" s="378" t="str">
        <f>IF(AND(D13&gt;0,J11&gt;J10,'Optimal #1'!J11&lt;'Optimal #1'!J10),"REER &amp; CELI",IF(J10&lt;J12-0.5%,"Maximiser d'abord votre CELI !",IF(J10&gt;J12+0.5%,"Privillégiez le REER OPTIMAL", "Indifférent entre REER et CELI")))</f>
        <v>Maximiser d'abord votre CELI !</v>
      </c>
      <c r="I18" s="50"/>
      <c r="J18" s="84"/>
      <c r="K18" s="50"/>
      <c r="L18" s="50"/>
      <c r="M18" s="50"/>
    </row>
    <row r="19" spans="1:13" ht="15.6" customHeight="1" x14ac:dyDescent="0.3">
      <c r="A19" s="457" t="s">
        <v>137</v>
      </c>
      <c r="B19" s="458">
        <f>B77</f>
        <v>239792.03562756503</v>
      </c>
      <c r="C19" s="458">
        <f>Seuils!L296+Seuils!M296+Seuils!Q296+Seuils!R296+Seuils!S296</f>
        <v>0</v>
      </c>
      <c r="D19" s="458">
        <f>B19+C19</f>
        <v>239792.03562756503</v>
      </c>
      <c r="E19" s="459" t="str">
        <f>IF(D19-' Épargne nécessaire'!G33&lt;0,0,IF(' Épargne nécessaire'!H33&gt;0,D19-' Épargne nécessaire'!G33,""))</f>
        <v/>
      </c>
      <c r="F19" s="460" t="str">
        <f>IF(E12&gt;90%,"SVP, modifier taux visé",IF(OR(' Épargne nécessaire'!B42&gt;0,' Épargne nécessaire'!E42&gt;0),' Épargne nécessaire'!G49,"SVP Allez à l'onglet Épargne"))</f>
        <v>SVP Allez à l'onglet Épargne</v>
      </c>
      <c r="G19" s="461"/>
      <c r="M19" s="50"/>
    </row>
    <row r="20" spans="1:13" ht="15.6" customHeight="1" thickBot="1" x14ac:dyDescent="0.4">
      <c r="A20" s="462" t="s">
        <v>138</v>
      </c>
      <c r="B20" s="463">
        <f>Seuils!L298</f>
        <v>437171.80392194708</v>
      </c>
      <c r="C20" s="463">
        <f>Seuils!L297+Seuils!M297+Seuils!Q297+Seuils!R297+Seuils!S297</f>
        <v>0</v>
      </c>
      <c r="D20" s="463">
        <f>B20+C20</f>
        <v>437171.80392194708</v>
      </c>
      <c r="E20" s="464" t="str">
        <f>IF(' Épargne nécessaire'!H33&gt;0,E19/(D19/D20),"")</f>
        <v/>
      </c>
      <c r="F20" s="465" t="str">
        <f>IF(E12&gt;90%,"SVP, modifier taux visé",IF(OR(' Épargne nécessaire'!E42&gt;0,' Épargne nécessaire'!B42&gt;0),' Épargne nécessaire'!D49,"SVP Allez à l'onglet Épargne"))</f>
        <v>SVP Allez à l'onglet Épargne</v>
      </c>
      <c r="G20" s="466"/>
      <c r="H20" s="392" t="str">
        <f>IF(AND(B4=2,'Optimal &lt; 65'!H8&gt;65,'Optimal &lt; 65'!I7&lt;65,'Optimal &lt; 65'!D10+'Optimal &lt; 65'!D15&lt;Seuils!C29,'Optimal &lt; 65'!D10+'Optimal &lt; 65'!D15&gt;Seuils!C30)," ",IF(B4=1," ",IF(C7&lt;Seuils!A7,"N.B. Conjoint #2 ne devrait nullement cotiser à son REER !",IF(AND(C7&lt;Seuils!I8,'Optimisation retraite'!J11&gt;Seuils!E7+Seuils!K7+2%),"N.B. Conjoint #2 ne devrait nullement cotiser à son REER !"," "))))</f>
        <v xml:space="preserve"> </v>
      </c>
      <c r="I20" s="393"/>
      <c r="J20" s="393"/>
      <c r="K20" s="393"/>
      <c r="L20" s="393"/>
      <c r="M20" s="50"/>
    </row>
    <row r="21" spans="1:13" ht="10.8" customHeight="1" x14ac:dyDescent="0.3">
      <c r="A21" s="5"/>
      <c r="B21" s="22"/>
      <c r="C21" s="22"/>
      <c r="D21" s="22"/>
      <c r="E21" s="1"/>
      <c r="M21" s="50"/>
    </row>
    <row r="22" spans="1:13" ht="14.4" customHeight="1" thickBot="1" x14ac:dyDescent="0.35">
      <c r="A22" s="381" t="str">
        <f>IF(B4=2,"Revenus disponibles réels lorsque deux conjoints de 65 ans et plus (CELI vs REER)","Revenus disponibles réels  lorsque célibataire de 65 ans et plus (CELI vs REER)")</f>
        <v>Revenus disponibles réels  lorsque célibataire de 65 ans et plus (CELI vs REER)</v>
      </c>
      <c r="B22" s="306"/>
      <c r="C22" s="380"/>
      <c r="D22" s="380"/>
      <c r="E22" s="394"/>
      <c r="M22" s="50"/>
    </row>
    <row r="23" spans="1:13" ht="16.2" customHeight="1" thickBot="1" x14ac:dyDescent="0.35">
      <c r="A23" s="23" t="s">
        <v>351</v>
      </c>
      <c r="B23" s="593" t="s">
        <v>280</v>
      </c>
      <c r="C23" s="594"/>
      <c r="D23" s="595" t="s">
        <v>165</v>
      </c>
      <c r="E23" s="596"/>
    </row>
    <row r="24" spans="1:13" ht="14.4" customHeight="1" x14ac:dyDescent="0.3">
      <c r="A24" s="24" t="s">
        <v>43</v>
      </c>
      <c r="B24" s="25">
        <f>B8</f>
        <v>7486.71</v>
      </c>
      <c r="C24" s="26">
        <f>C8</f>
        <v>0</v>
      </c>
      <c r="D24" s="25">
        <f>B8</f>
        <v>7486.71</v>
      </c>
      <c r="E24" s="26">
        <f>C8</f>
        <v>0</v>
      </c>
    </row>
    <row r="25" spans="1:13" ht="14.4" customHeight="1" x14ac:dyDescent="0.3">
      <c r="A25" s="24" t="s">
        <v>44</v>
      </c>
      <c r="B25" s="27">
        <f>B9</f>
        <v>9415</v>
      </c>
      <c r="C25" s="28">
        <f>C9</f>
        <v>0</v>
      </c>
      <c r="D25" s="27">
        <f>B25</f>
        <v>9415</v>
      </c>
      <c r="E25" s="28">
        <f>C25</f>
        <v>0</v>
      </c>
    </row>
    <row r="26" spans="1:13" ht="14.4" hidden="1" customHeight="1" x14ac:dyDescent="0.3">
      <c r="A26" s="24" t="s">
        <v>31</v>
      </c>
      <c r="B26" s="27">
        <f>IF(B4=2,0,IF(D9+B27&gt;Seuils!E29,0,IF(D9+B27&gt;Seuils!D31,Seuils!D28-(D9+B27)*50%,IF(D9+B27&gt;Seuils!D30,Seuils!D26-(D9+B27-Seuils!D30)*75%,Seuils!D27-(D9+B27)*50%))))</f>
        <v>4784.5</v>
      </c>
      <c r="C26" s="28">
        <f>IF(B4=1,0,IF(D9+B27+C27&gt;Seuils!D29,0,IF(D9+B27+C27&gt;Seuils!D31,Seuils!D28-(D9+B27+C27)*50%,IF(D9+B27+C27&gt;Seuils!D30,Seuils!D26-(D9+B27+C27-Seuils!D30)*75%,Seuils!D27-(D9+B27+C27)*50%))))</f>
        <v>0</v>
      </c>
      <c r="D26" s="27">
        <f>IF(B4=2,0,IF('Optimisation retraite'!D9+'Optimisation retraite'!D16&gt;Seuils!E29,0,Seuils!D28-(D9+D16)*50%))</f>
        <v>0</v>
      </c>
      <c r="E26" s="28">
        <f>IF(B4=1,0,IF(D9+D16&gt;Seuils!D29,0,Seuils!D28-(D9+D16)*50%))</f>
        <v>0</v>
      </c>
    </row>
    <row r="27" spans="1:13" ht="14.4" customHeight="1" thickBot="1" x14ac:dyDescent="0.35">
      <c r="A27" s="24" t="s">
        <v>166</v>
      </c>
      <c r="B27" s="29">
        <f>B13+B15</f>
        <v>0</v>
      </c>
      <c r="C27" s="30">
        <f>C13+C15</f>
        <v>0</v>
      </c>
      <c r="D27" s="29">
        <f>B16</f>
        <v>18098.29</v>
      </c>
      <c r="E27" s="30">
        <f>C16</f>
        <v>0</v>
      </c>
    </row>
    <row r="28" spans="1:13" ht="14.4" customHeight="1" thickBot="1" x14ac:dyDescent="0.35">
      <c r="A28" s="31" t="s">
        <v>76</v>
      </c>
      <c r="B28" s="32">
        <f>SUM(B24:B27)-B26</f>
        <v>16901.71</v>
      </c>
      <c r="C28" s="33">
        <f>SUM(C24:C27)-C26</f>
        <v>0</v>
      </c>
      <c r="D28" s="32">
        <f>SUM(D24:D27)-D26</f>
        <v>35000</v>
      </c>
      <c r="E28" s="33">
        <f>SUM(E24:E27)-E26</f>
        <v>0</v>
      </c>
    </row>
    <row r="29" spans="1:13" ht="14.4" customHeight="1" thickBot="1" x14ac:dyDescent="0.35">
      <c r="A29" s="34" t="s">
        <v>77</v>
      </c>
      <c r="B29" s="35"/>
      <c r="C29" s="35">
        <f>B28+C28</f>
        <v>16901.71</v>
      </c>
      <c r="D29" s="35"/>
      <c r="E29" s="36">
        <f>D28+E28</f>
        <v>35000</v>
      </c>
    </row>
    <row r="30" spans="1:13" ht="6.6" customHeight="1" thickBot="1" x14ac:dyDescent="0.35">
      <c r="A30" s="37"/>
      <c r="B30" s="38"/>
      <c r="C30" s="38"/>
      <c r="D30" s="38"/>
      <c r="E30" s="39"/>
    </row>
    <row r="31" spans="1:13" ht="14.4" customHeight="1" thickBot="1" x14ac:dyDescent="0.35">
      <c r="A31" s="40" t="s">
        <v>81</v>
      </c>
      <c r="B31" s="593" t="s">
        <v>280</v>
      </c>
      <c r="C31" s="594"/>
      <c r="D31" s="595" t="s">
        <v>165</v>
      </c>
      <c r="E31" s="596"/>
    </row>
    <row r="32" spans="1:13" ht="14.4" customHeight="1" thickBot="1" x14ac:dyDescent="0.35">
      <c r="A32" s="41"/>
      <c r="B32" s="244" t="s">
        <v>46</v>
      </c>
      <c r="C32" s="245" t="s">
        <v>47</v>
      </c>
      <c r="D32" s="246" t="s">
        <v>46</v>
      </c>
      <c r="E32" s="245" t="s">
        <v>47</v>
      </c>
    </row>
    <row r="33" spans="1:12" ht="14.4" customHeight="1" x14ac:dyDescent="0.3">
      <c r="A33" s="42" t="s">
        <v>79</v>
      </c>
      <c r="B33" s="25">
        <f>IF(B4=2,Seuils!D12+Seuils!D13,Seuils!D12)</f>
        <v>13808</v>
      </c>
      <c r="C33" s="26">
        <f>IF(B4=2,Seuils!J12*2,Seuils!J12)</f>
        <v>15728</v>
      </c>
      <c r="D33" s="25">
        <f>IF(B4=2,Seuils!D12+Seuils!E13,Seuils!D12)</f>
        <v>13808</v>
      </c>
      <c r="E33" s="26">
        <f>C33</f>
        <v>15728</v>
      </c>
    </row>
    <row r="34" spans="1:12" ht="14.4" customHeight="1" x14ac:dyDescent="0.3">
      <c r="A34" s="42" t="s">
        <v>80</v>
      </c>
      <c r="B34" s="27">
        <f>IF(B4=2,Seuils!D115,Seuils!B115)</f>
        <v>7713</v>
      </c>
      <c r="C34" s="28">
        <f>Seuils!K18</f>
        <v>5110</v>
      </c>
      <c r="D34" s="43">
        <f>Seuils!D106</f>
        <v>7713</v>
      </c>
      <c r="E34" s="28">
        <f>IF(E29&lt;Seuils!$J$16,Seuils!$J$15,IF(E29&gt;Seuils!$J$17,0,Seuils!$J$15-(E29-Seuils!$J$16)*18.75%))</f>
        <v>8049</v>
      </c>
    </row>
    <row r="35" spans="1:12" ht="14.4" customHeight="1" x14ac:dyDescent="0.3">
      <c r="A35" s="42" t="s">
        <v>168</v>
      </c>
      <c r="B35" s="27">
        <f>IF(AND(B4=2,B27+C27&gt;Seuils!D19*2),Seuils!D19*2,IF(AND(B4=2,B27+C27&lt;Seuils!D19*2),B27+C27,IF(AND(B4=1,B27&gt;Seuils!D19),Seuils!D19,B27)))</f>
        <v>0</v>
      </c>
      <c r="C35" s="28"/>
      <c r="D35" s="43">
        <f>IF(B4=2,Seuils!D19*2,Seuils!D19)</f>
        <v>2000</v>
      </c>
      <c r="E35" s="28"/>
    </row>
    <row r="36" spans="1:12" ht="14.4" customHeight="1" x14ac:dyDescent="0.3">
      <c r="A36" s="42" t="s">
        <v>15</v>
      </c>
      <c r="B36" s="27">
        <f>Seuils!D24</f>
        <v>991.41370000000006</v>
      </c>
      <c r="C36" s="28">
        <f>Seuils!K24</f>
        <v>684.53207900000007</v>
      </c>
      <c r="D36" s="43">
        <f>Seuils!E24</f>
        <v>592</v>
      </c>
      <c r="E36" s="28">
        <f>Seuils!L24</f>
        <v>629.09999999999991</v>
      </c>
    </row>
    <row r="37" spans="1:12" ht="14.4" customHeight="1" x14ac:dyDescent="0.3">
      <c r="A37" s="42" t="s">
        <v>48</v>
      </c>
      <c r="B37" s="27">
        <f>SUM(B33:B36)</f>
        <v>22512.413700000001</v>
      </c>
      <c r="C37" s="28">
        <f>SUM(C33:C36)</f>
        <v>21522.532079000001</v>
      </c>
      <c r="D37" s="43">
        <f>SUM(D33:D36)</f>
        <v>24113</v>
      </c>
      <c r="E37" s="28">
        <f>SUM(E33:E36)</f>
        <v>24406.1</v>
      </c>
    </row>
    <row r="38" spans="1:12" ht="5.4" customHeight="1" x14ac:dyDescent="0.3">
      <c r="A38" s="44"/>
      <c r="B38" s="27"/>
      <c r="C38" s="28"/>
      <c r="D38" s="43"/>
      <c r="E38" s="28"/>
    </row>
    <row r="39" spans="1:12" ht="14.4" customHeight="1" x14ac:dyDescent="0.3">
      <c r="A39" s="42" t="s">
        <v>49</v>
      </c>
      <c r="B39" s="27">
        <f>Seuils!D113</f>
        <v>2535.2565</v>
      </c>
      <c r="C39" s="28">
        <f>Seuils!L113</f>
        <v>2535.2565</v>
      </c>
      <c r="D39" s="43">
        <f>IF(B4=2,Seuils!D104,IF(E29-D47&gt;Seuils!A8,(E29-D47-Seuils!A8)*Seuils!C8+Seuils!D8,IF(E29&gt;Seuils!E33,(E29-D47-Seuils!A7)*Seuils!C7+Seuils!D7,IF(E29&gt;Seuils!A7,(E29-D47-Seuils!A7)*Seuils!C7+Seuils!D7,E29*Seuils!C6))))</f>
        <v>5250</v>
      </c>
      <c r="E39" s="45">
        <f>IF(B4=2,Seuils!L104,IF(E29&gt;Seuils!I9,(E29-D47-Seuils!I9)*Seuils!K9+Seuils!L9,IF(E29&gt;Seuils!I8,(E29-D47-Seuils!I8)*Seuils!K8+Seuils!L8,IF(E29&gt;Seuils!E33,(E29-D47-Seuils!I7)*Seuils!K7+Seuils!L7,IF(E29&gt;Seuils!I7,(E29-Seuils!I7)*Seuils!K7+Seuils!L7,E29*Seuils!K6)))))</f>
        <v>5250</v>
      </c>
    </row>
    <row r="40" spans="1:12" ht="14.4" customHeight="1" x14ac:dyDescent="0.3">
      <c r="A40" s="42" t="s">
        <v>50</v>
      </c>
      <c r="B40" s="27">
        <f>B37*15%</f>
        <v>3376.8620550000001</v>
      </c>
      <c r="C40" s="28">
        <f>(C33+C34)*Seuils!K6+C36*20%</f>
        <v>3262.6064157999999</v>
      </c>
      <c r="D40" s="43">
        <f>D37*15%</f>
        <v>3616.95</v>
      </c>
      <c r="E40" s="28">
        <f>(E33+E34)*Seuils!K6+E36*20%</f>
        <v>3692.37</v>
      </c>
    </row>
    <row r="41" spans="1:12" ht="14.4" customHeight="1" x14ac:dyDescent="0.3">
      <c r="A41" s="42" t="s">
        <v>51</v>
      </c>
      <c r="B41" s="27">
        <f>IF(B39&gt;B40,(B39-B40)*16.5%,0)</f>
        <v>0</v>
      </c>
      <c r="C41" s="28"/>
      <c r="D41" s="43">
        <f>IF(D39&gt;D40,(D39-D40)*16.5%,0)</f>
        <v>269.45325000000003</v>
      </c>
      <c r="E41" s="28"/>
    </row>
    <row r="42" spans="1:12" ht="14.4" customHeight="1" x14ac:dyDescent="0.3">
      <c r="A42" s="42" t="s">
        <v>35</v>
      </c>
      <c r="B42" s="27"/>
      <c r="C42" s="28">
        <f>Seuils!L115</f>
        <v>0</v>
      </c>
      <c r="D42" s="43"/>
      <c r="E42" s="28">
        <f>Seuils!L106</f>
        <v>121.53290000000001</v>
      </c>
    </row>
    <row r="43" spans="1:12" ht="14.4" customHeight="1" thickBot="1" x14ac:dyDescent="0.35">
      <c r="A43" s="42" t="s">
        <v>18</v>
      </c>
      <c r="B43" s="27"/>
      <c r="C43" s="28">
        <f>Seuils!K28</f>
        <v>335.11837899999989</v>
      </c>
      <c r="D43" s="43"/>
      <c r="E43" s="28">
        <f>Seuils!L28</f>
        <v>679.1</v>
      </c>
      <c r="F43" s="588" t="s">
        <v>242</v>
      </c>
      <c r="G43" s="589"/>
      <c r="H43" s="589"/>
      <c r="I43" s="589"/>
      <c r="J43" s="589"/>
      <c r="K43" s="589"/>
      <c r="L43" s="589"/>
    </row>
    <row r="44" spans="1:12" ht="14.4" hidden="1" customHeight="1" x14ac:dyDescent="0.3">
      <c r="A44" s="42" t="s">
        <v>169</v>
      </c>
      <c r="B44" s="29"/>
      <c r="C44" s="30"/>
      <c r="D44" s="46"/>
      <c r="E44" s="30"/>
    </row>
    <row r="45" spans="1:12" ht="15.6" hidden="1" customHeight="1" thickBot="1" x14ac:dyDescent="0.35">
      <c r="A45" s="42" t="s">
        <v>133</v>
      </c>
      <c r="B45" s="29">
        <f>B47</f>
        <v>0</v>
      </c>
      <c r="C45" s="30"/>
      <c r="D45" s="46">
        <f>D47</f>
        <v>0</v>
      </c>
      <c r="E45" s="30"/>
    </row>
    <row r="46" spans="1:12" ht="14.4" customHeight="1" thickBot="1" x14ac:dyDescent="0.35">
      <c r="A46" s="31" t="s">
        <v>52</v>
      </c>
      <c r="B46" s="32">
        <f>IF(B40&gt;B39-B41+B42+B43+B45,0,B39+B42+B43+B45-B40-B41)</f>
        <v>0</v>
      </c>
      <c r="C46" s="33">
        <f>IF(C40&gt;C39,C42+C43+C45,C39+C42+C43+C45-C40)</f>
        <v>335.11837899999989</v>
      </c>
      <c r="D46" s="47">
        <f>IF(D40&gt;D39-D41+D42+D43+D45,0,D39-D41+D42+D43+D45-D40)</f>
        <v>1363.5967499999997</v>
      </c>
      <c r="E46" s="33">
        <f>IF(E40&gt;E39,E42+E43+E45,E39+E42+E43+E45-E40)</f>
        <v>2358.2629000000006</v>
      </c>
      <c r="F46" s="590" t="s">
        <v>241</v>
      </c>
      <c r="G46" s="589"/>
      <c r="H46" s="589"/>
      <c r="I46" s="589"/>
      <c r="J46" s="589"/>
      <c r="K46" s="589"/>
      <c r="L46" s="589"/>
    </row>
    <row r="47" spans="1:12" ht="14.4" customHeight="1" x14ac:dyDescent="0.3">
      <c r="A47" s="48" t="s">
        <v>170</v>
      </c>
      <c r="B47" s="91">
        <f>IF(AND(B4=1,B28&gt;Seuils!E34),Seuils!E32,IF(AND(B4=1,'Optimisation retraite'!B28&gt;Seuils!E33),(B28-Seuils!E33)*15%,IF(AND(B4=2,Seuils!B110&gt;Seuils!E33,(Seuils!B110-Seuils!E33)*15%&gt;B24),B24,IF(AND(B4=2,Seuils!B110&gt;Seuils!E33),(Seuils!B110-Seuils!E33)*15%,0))))</f>
        <v>0</v>
      </c>
      <c r="C47" s="49"/>
      <c r="D47" s="91">
        <f>IF(AND(B4=1,D28&gt;Seuils!E34),Seuils!E32,IF(AND(B4=1,'Optimisation retraite'!D28&gt;Seuils!E33),(D28-Seuils!E33)*15%,IF(AND(B4=2,Seuils!B101&gt;Seuils!E33,(Seuils!B101-Seuils!E33)*15%&gt;B24),B24,IF(AND(B4=2,Seuils!B101&gt;Seuils!E33),(Seuils!B101-Seuils!E33)*15%,0))))</f>
        <v>0</v>
      </c>
      <c r="E47" s="49">
        <f>E46+D46-(B46+C46)</f>
        <v>3386.7412710000003</v>
      </c>
      <c r="F47" s="451">
        <f>E47/$D$16</f>
        <v>0.18713045657904698</v>
      </c>
    </row>
    <row r="48" spans="1:12" ht="9.6" customHeight="1" thickBot="1" x14ac:dyDescent="0.35">
      <c r="A48" s="48"/>
      <c r="B48" s="91"/>
      <c r="C48" s="49"/>
      <c r="D48" s="91"/>
      <c r="E48" s="49"/>
      <c r="F48" s="7"/>
    </row>
    <row r="49" spans="1:7" ht="14.4" customHeight="1" x14ac:dyDescent="0.3">
      <c r="A49" s="428" t="s">
        <v>179</v>
      </c>
      <c r="B49" s="446" t="s">
        <v>285</v>
      </c>
      <c r="C49" s="429"/>
      <c r="D49" s="448" t="s">
        <v>286</v>
      </c>
      <c r="E49" s="450" t="s">
        <v>288</v>
      </c>
      <c r="F49" s="452" t="s">
        <v>287</v>
      </c>
    </row>
    <row r="50" spans="1:7" ht="14.4" customHeight="1" x14ac:dyDescent="0.3">
      <c r="A50" s="431" t="s">
        <v>180</v>
      </c>
      <c r="B50" s="363">
        <f>C29-B46-C46</f>
        <v>16566.591621</v>
      </c>
      <c r="C50" s="363"/>
      <c r="D50" s="363">
        <f>E29-D46-E46-D47</f>
        <v>31278.140350000001</v>
      </c>
      <c r="E50" s="28">
        <f>D50-B50</f>
        <v>14711.548729000002</v>
      </c>
      <c r="F50" s="453"/>
    </row>
    <row r="51" spans="1:7" ht="14.4" customHeight="1" x14ac:dyDescent="0.3">
      <c r="A51" s="431" t="s">
        <v>181</v>
      </c>
      <c r="B51" s="363">
        <f>B26+C26</f>
        <v>4784.5</v>
      </c>
      <c r="C51" s="363"/>
      <c r="D51" s="363">
        <f>D26+E26</f>
        <v>0</v>
      </c>
      <c r="E51" s="28">
        <f t="shared" ref="E51:E54" si="1">D51-B51</f>
        <v>-4784.5</v>
      </c>
      <c r="F51" s="454">
        <f>-E51/$D$16</f>
        <v>0.26436199221031376</v>
      </c>
    </row>
    <row r="52" spans="1:7" ht="14.4" customHeight="1" x14ac:dyDescent="0.3">
      <c r="A52" s="431" t="s">
        <v>182</v>
      </c>
      <c r="B52" s="363">
        <f>Seuils!D59</f>
        <v>462.58</v>
      </c>
      <c r="C52" s="363"/>
      <c r="D52" s="363">
        <f>Seuils!E59</f>
        <v>462.58</v>
      </c>
      <c r="E52" s="28">
        <f t="shared" si="1"/>
        <v>0</v>
      </c>
      <c r="F52" s="454">
        <f>-E52/$D$16</f>
        <v>0</v>
      </c>
    </row>
    <row r="53" spans="1:7" ht="14.4" customHeight="1" x14ac:dyDescent="0.3">
      <c r="A53" s="431" t="s">
        <v>183</v>
      </c>
      <c r="B53" s="363">
        <f>Seuils!J59</f>
        <v>1050.6199999999999</v>
      </c>
      <c r="C53" s="363"/>
      <c r="D53" s="363">
        <f>Seuils!K59</f>
        <v>1050.6199999999999</v>
      </c>
      <c r="E53" s="28">
        <f t="shared" si="1"/>
        <v>0</v>
      </c>
      <c r="F53" s="454">
        <f>-E53/$D$16</f>
        <v>0</v>
      </c>
    </row>
    <row r="54" spans="1:7" ht="14.4" customHeight="1" thickBot="1" x14ac:dyDescent="0.35">
      <c r="A54" s="432" t="s">
        <v>53</v>
      </c>
      <c r="B54" s="439">
        <f>SUM(B50:B53)</f>
        <v>22864.291621</v>
      </c>
      <c r="C54" s="433"/>
      <c r="D54" s="434">
        <f>SUM(D50:D53)</f>
        <v>32791.340350000006</v>
      </c>
      <c r="E54" s="435">
        <f t="shared" si="1"/>
        <v>9927.0487290000056</v>
      </c>
      <c r="F54" s="456">
        <f>SUM(F47:F53)</f>
        <v>0.45149244878936073</v>
      </c>
    </row>
    <row r="55" spans="1:7" ht="7.2" customHeight="1" thickBot="1" x14ac:dyDescent="0.35">
      <c r="A55" s="37"/>
      <c r="B55" s="53"/>
      <c r="C55" s="38"/>
      <c r="D55" s="38"/>
      <c r="E55" s="53"/>
      <c r="G55" s="7"/>
    </row>
    <row r="56" spans="1:7" ht="14.4" customHeight="1" x14ac:dyDescent="0.3">
      <c r="A56" s="436" t="s">
        <v>54</v>
      </c>
      <c r="B56" s="437">
        <f>D54</f>
        <v>32791.340350000006</v>
      </c>
      <c r="C56" s="438" t="s">
        <v>55</v>
      </c>
      <c r="D56" s="430"/>
      <c r="E56" s="50"/>
      <c r="F56" s="100"/>
    </row>
    <row r="57" spans="1:7" ht="15.6" customHeight="1" thickBot="1" x14ac:dyDescent="0.35">
      <c r="A57" s="432" t="s">
        <v>289</v>
      </c>
      <c r="B57" s="447">
        <f>B56-B54</f>
        <v>9927.0487290000056</v>
      </c>
      <c r="C57" s="455">
        <f>1-B57/D57</f>
        <v>0.45149244878936046</v>
      </c>
      <c r="D57" s="443">
        <f>D27+E27-C27-B27</f>
        <v>18098.29</v>
      </c>
      <c r="E57" s="50"/>
      <c r="F57" s="50"/>
    </row>
    <row r="58" spans="1:7" ht="9" customHeight="1" thickBot="1" x14ac:dyDescent="0.35">
      <c r="F58" s="50"/>
    </row>
    <row r="59" spans="1:7" ht="10.199999999999999" hidden="1" customHeight="1" x14ac:dyDescent="0.3">
      <c r="A59" s="50"/>
      <c r="B59" s="50"/>
      <c r="C59" s="50"/>
      <c r="D59" s="50"/>
      <c r="E59" s="50"/>
      <c r="F59" s="50"/>
    </row>
    <row r="60" spans="1:7" ht="13.2" hidden="1" customHeight="1" x14ac:dyDescent="0.3">
      <c r="A60" s="50"/>
      <c r="B60" s="50"/>
      <c r="C60" s="50"/>
      <c r="D60" s="50"/>
      <c r="E60" s="50"/>
      <c r="F60" s="50"/>
    </row>
    <row r="61" spans="1:7" ht="15.6" hidden="1" customHeight="1" x14ac:dyDescent="0.3">
      <c r="A61" s="50"/>
      <c r="B61" s="50"/>
      <c r="C61" s="50"/>
      <c r="D61" s="50"/>
      <c r="E61" s="50"/>
      <c r="F61" s="50"/>
    </row>
    <row r="62" spans="1:7" ht="14.4" customHeight="1" x14ac:dyDescent="0.3">
      <c r="A62" s="428" t="s">
        <v>178</v>
      </c>
      <c r="B62" s="446" t="str">
        <f>B49</f>
        <v>Si CELI</v>
      </c>
      <c r="C62" s="429"/>
      <c r="D62" s="449" t="str">
        <f>D49</f>
        <v>Si REER</v>
      </c>
      <c r="E62" s="50"/>
      <c r="F62" s="50"/>
    </row>
    <row r="63" spans="1:7" ht="14.4" customHeight="1" x14ac:dyDescent="0.3">
      <c r="A63" s="431" t="s">
        <v>129</v>
      </c>
      <c r="B63" s="363">
        <f>B54</f>
        <v>22864.291621</v>
      </c>
      <c r="C63" s="400"/>
      <c r="D63" s="28">
        <f>D54</f>
        <v>32791.340350000006</v>
      </c>
      <c r="E63" s="50"/>
      <c r="F63" s="444"/>
    </row>
    <row r="64" spans="1:7" ht="14.4" customHeight="1" x14ac:dyDescent="0.3">
      <c r="A64" s="431" t="s">
        <v>127</v>
      </c>
      <c r="B64" s="400">
        <f>Seuils!J61</f>
        <v>209</v>
      </c>
      <c r="C64" s="400"/>
      <c r="D64" s="441">
        <f>Seuils!K61</f>
        <v>0</v>
      </c>
      <c r="E64" s="50"/>
      <c r="F64" s="50"/>
    </row>
    <row r="65" spans="1:6" ht="14.4" customHeight="1" x14ac:dyDescent="0.3">
      <c r="A65" s="431" t="s">
        <v>126</v>
      </c>
      <c r="B65" s="363">
        <f>B63+B64</f>
        <v>23073.291621</v>
      </c>
      <c r="C65" s="400"/>
      <c r="D65" s="28">
        <f>D63+D64</f>
        <v>32791.340350000006</v>
      </c>
      <c r="E65" s="50"/>
      <c r="F65" s="50"/>
    </row>
    <row r="66" spans="1:6" ht="4.8" customHeight="1" x14ac:dyDescent="0.3">
      <c r="A66" s="442"/>
      <c r="B66" s="400"/>
      <c r="C66" s="400"/>
      <c r="D66" s="441"/>
      <c r="E66" s="50"/>
      <c r="F66" s="50"/>
    </row>
    <row r="67" spans="1:6" ht="14.4" customHeight="1" thickBot="1" x14ac:dyDescent="0.35">
      <c r="A67" s="432" t="s">
        <v>128</v>
      </c>
      <c r="B67" s="433">
        <f>D65-B65</f>
        <v>9718.0487290000056</v>
      </c>
      <c r="C67" s="440">
        <f>1-B67/D67</f>
        <v>0.46304050111916628</v>
      </c>
      <c r="D67" s="365">
        <f>D57</f>
        <v>18098.29</v>
      </c>
      <c r="E67" s="50"/>
      <c r="F67" s="50"/>
    </row>
    <row r="68" spans="1:6" ht="14.4" hidden="1" customHeight="1" x14ac:dyDescent="0.3">
      <c r="A68" s="50"/>
      <c r="B68" s="50"/>
      <c r="C68" s="50"/>
      <c r="D68" s="50"/>
      <c r="E68" s="50"/>
    </row>
    <row r="69" spans="1:6" ht="9" customHeight="1" thickBot="1" x14ac:dyDescent="0.35">
      <c r="A69" s="50"/>
      <c r="B69" s="50"/>
      <c r="C69" s="50"/>
      <c r="D69" s="50"/>
      <c r="E69" s="50"/>
    </row>
    <row r="70" spans="1:6" ht="14.4" customHeight="1" thickBot="1" x14ac:dyDescent="0.35">
      <c r="A70" s="55" t="s">
        <v>56</v>
      </c>
      <c r="B70" s="56" t="s">
        <v>57</v>
      </c>
      <c r="C70" s="57"/>
      <c r="D70" s="58" t="s">
        <v>42</v>
      </c>
      <c r="E70" s="285" t="s">
        <v>234</v>
      </c>
      <c r="F70" s="445"/>
    </row>
    <row r="71" spans="1:6" ht="14.4" customHeight="1" x14ac:dyDescent="0.3">
      <c r="A71" s="59" t="s">
        <v>88</v>
      </c>
      <c r="B71" s="60">
        <f>D71</f>
        <v>0.42499999999999999</v>
      </c>
      <c r="C71" s="61"/>
      <c r="D71" s="15">
        <f>IF(B7&gt;Seuils!A9,Seuils!E9+Seuils!K9,IF(B7&gt;Seuils!I9,Seuils!E8+Seuils!K9,IF(B7&gt;Seuils!A8,Seuils!E8+Seuils!K8,IF(AND(D7&gt;Seuils!J56/90%,B7&gt;Seuils!A7),37.1%,IF(AND(B4=2,D7&gt;Seuils!J56/90%,B7&lt;Seuils!I7),28.5%,IF(AND(B4=2,D7&gt;Seuils!J56/90%,B7&lt;Seuils!A7),Seuils!K7+Seuils!E6+1%,IF(AND(B4=2,D7&gt;Seuils!D56/90%,B7&lt;Seuils!A7),35%,IF(AND(B4=2,D7&lt;27000),35%,IF(AND(B4=2,D7&lt;32500),45%,IF(AND(B4=2,D7&lt;36000),50%,IF(AND(B4=2,D7&lt;41500),58%,IF(AND(B4=2,D7&lt;47000),45%,IF(AND(B4=1,B7&gt;Seuils!J56/95%),Seuils!E7+Seuils!K7,IF(AND(B4=1,B7&gt;Seuils!D56/95%),44%,IF(AND(B4=1,B7&gt;Seuils!D55/90%),42.5%,IF(AND(B4=1,B7&gt;Seuils!J55/90%),37.5%,IF(AND(B4=1,B7&lt;Seuils!D12+Seuils!D19),30%,IF(AND(B4=1,B7&lt;Seuils!O32),44%,IF(AND(B4=1,B7&lt;Seuils!B277/90%),58%,IF(AND(B4=1,B7&lt;Seuils!O41/90%),37%,IF(AND(B4=1,B7&lt;Seuils!J16),28.5%,IF(AND(B4=1,B7&lt;Seuils!J16/90%),37.5%,IF(AND(B4=2,D7&gt;Seuils!J55+2410),44%,28.5%+10%)))))))))))))))))))))))</f>
        <v>0.42499999999999999</v>
      </c>
      <c r="E71" s="288">
        <f>D71</f>
        <v>0.42499999999999999</v>
      </c>
    </row>
    <row r="72" spans="1:6" ht="14.4" customHeight="1" x14ac:dyDescent="0.3">
      <c r="A72" s="62" t="s">
        <v>58</v>
      </c>
      <c r="B72" s="63">
        <f>B74</f>
        <v>11029.137296391424</v>
      </c>
      <c r="C72" s="61"/>
      <c r="D72" s="64">
        <f>+D74/(1-D71)</f>
        <v>19181.108341550302</v>
      </c>
      <c r="E72" s="289">
        <f>PMT(E76,E75,,-E77)</f>
        <v>20107.53958090175</v>
      </c>
    </row>
    <row r="73" spans="1:6" ht="14.4" customHeight="1" x14ac:dyDescent="0.3">
      <c r="A73" s="62" t="s">
        <v>83</v>
      </c>
      <c r="B73" s="65"/>
      <c r="C73" s="61"/>
      <c r="D73" s="64">
        <f>+D72*D71</f>
        <v>8151.971045158878</v>
      </c>
      <c r="E73" s="286">
        <f>+E72*E71</f>
        <v>8545.7043218832441</v>
      </c>
    </row>
    <row r="74" spans="1:6" ht="14.4" customHeight="1" x14ac:dyDescent="0.3">
      <c r="A74" s="62" t="s">
        <v>59</v>
      </c>
      <c r="B74" s="66">
        <f>PMT(D76,D75,,-Seuils!I293)</f>
        <v>11029.137296391424</v>
      </c>
      <c r="C74" s="61"/>
      <c r="D74" s="67">
        <f>B74</f>
        <v>11029.137296391424</v>
      </c>
      <c r="E74" s="287">
        <f>E72-E73</f>
        <v>11561.835259018506</v>
      </c>
    </row>
    <row r="75" spans="1:6" ht="14.4" customHeight="1" x14ac:dyDescent="0.3">
      <c r="A75" s="62" t="s">
        <v>85</v>
      </c>
      <c r="B75" s="12">
        <f>' Épargne nécessaire'!E4</f>
        <v>15</v>
      </c>
      <c r="C75" s="68"/>
      <c r="D75" s="69">
        <f>B75</f>
        <v>15</v>
      </c>
      <c r="E75" s="290">
        <f>B75</f>
        <v>15</v>
      </c>
    </row>
    <row r="76" spans="1:6" ht="14.4" customHeight="1" x14ac:dyDescent="0.3">
      <c r="A76" s="70" t="s">
        <v>86</v>
      </c>
      <c r="B76" s="13">
        <f>' Épargne nécessaire'!D23</f>
        <v>5.0999999999999997E-2</v>
      </c>
      <c r="C76" s="68"/>
      <c r="D76" s="71">
        <f>B76</f>
        <v>5.0999999999999997E-2</v>
      </c>
      <c r="E76" s="288">
        <f>B76</f>
        <v>5.0999999999999997E-2</v>
      </c>
    </row>
    <row r="77" spans="1:6" ht="14.4" customHeight="1" thickBot="1" x14ac:dyDescent="0.35">
      <c r="A77" s="72" t="s">
        <v>60</v>
      </c>
      <c r="B77" s="35">
        <f>FV(B76,B75,-B72)</f>
        <v>239792.03562756503</v>
      </c>
      <c r="C77" s="73"/>
      <c r="D77" s="74">
        <f>FV(D76,D75,-D72)</f>
        <v>417029.62717837392</v>
      </c>
      <c r="E77" s="291">
        <f>B20</f>
        <v>437171.80392194708</v>
      </c>
    </row>
    <row r="78" spans="1:6" ht="10.8" customHeight="1" thickBot="1" x14ac:dyDescent="0.35">
      <c r="A78" s="50"/>
      <c r="B78" s="50"/>
      <c r="C78" s="50"/>
      <c r="D78" s="50"/>
      <c r="E78" s="50"/>
    </row>
    <row r="79" spans="1:6" ht="16.8" hidden="1" customHeight="1" x14ac:dyDescent="0.3">
      <c r="A79" s="50"/>
      <c r="B79" s="50"/>
      <c r="C79" s="50"/>
      <c r="D79" s="50"/>
      <c r="E79" s="50"/>
    </row>
    <row r="80" spans="1:6" ht="14.4" customHeight="1" x14ac:dyDescent="0.3">
      <c r="A80" s="39" t="s">
        <v>61</v>
      </c>
      <c r="B80" s="395">
        <f>B77</f>
        <v>239792.03562756503</v>
      </c>
      <c r="C80" s="396"/>
      <c r="D80" s="397">
        <f>D77</f>
        <v>417029.62717837392</v>
      </c>
      <c r="E80" s="398"/>
    </row>
    <row r="81" spans="1:5" ht="14.4" customHeight="1" x14ac:dyDescent="0.3">
      <c r="A81" s="37" t="s">
        <v>163</v>
      </c>
      <c r="B81" s="399">
        <f>Seuils!H299</f>
        <v>1.4591687041564771E-2</v>
      </c>
      <c r="C81" s="400"/>
      <c r="D81" s="401">
        <f>B81</f>
        <v>1.4591687041564771E-2</v>
      </c>
      <c r="E81" s="402"/>
    </row>
    <row r="82" spans="1:5" ht="14.4" customHeight="1" x14ac:dyDescent="0.3">
      <c r="A82" s="38" t="s">
        <v>63</v>
      </c>
      <c r="B82" s="403">
        <f>IF('Optimisation retraite'!B13+'Optimisation retraite'!C13=0,Seuils!I292,Seuils!H347)</f>
        <v>9927.0487290000056</v>
      </c>
      <c r="C82" s="404" t="s">
        <v>100</v>
      </c>
      <c r="D82" s="405">
        <f>IF('Optimisation retraite'!B13+'Optimisation retraite'!C13=0,D57,Seuils!J347)</f>
        <v>18098.29</v>
      </c>
      <c r="E82" s="406" t="s">
        <v>100</v>
      </c>
    </row>
    <row r="83" spans="1:5" ht="14.4" customHeight="1" x14ac:dyDescent="0.3">
      <c r="A83" s="37" t="s">
        <v>62</v>
      </c>
      <c r="B83" s="407">
        <f>NPER(B81,B82,-B80,,1)</f>
        <v>29.461701900493281</v>
      </c>
      <c r="C83" s="408">
        <f>A87-1+B83</f>
        <v>93.461701900493281</v>
      </c>
      <c r="D83" s="409">
        <f>NPER(D81,D82,-D80,,1)</f>
        <v>27.789043788964019</v>
      </c>
      <c r="E83" s="410">
        <f>A87-1+D83</f>
        <v>91.789043788964022</v>
      </c>
    </row>
    <row r="84" spans="1:5" ht="15" hidden="1" customHeight="1" x14ac:dyDescent="0.3">
      <c r="A84" s="37" t="s">
        <v>64</v>
      </c>
      <c r="B84" s="403">
        <f>C114</f>
        <v>14462.085635328287</v>
      </c>
      <c r="C84" s="400"/>
      <c r="D84" s="405">
        <f>E114</f>
        <v>-3851.54942428513</v>
      </c>
      <c r="E84" s="402"/>
    </row>
    <row r="85" spans="1:5" ht="15" customHeight="1" x14ac:dyDescent="0.3">
      <c r="A85" s="37"/>
      <c r="B85" s="411" t="s">
        <v>238</v>
      </c>
      <c r="C85" s="412" t="s">
        <v>239</v>
      </c>
      <c r="D85" s="413" t="s">
        <v>237</v>
      </c>
      <c r="E85" s="414" t="s">
        <v>240</v>
      </c>
    </row>
    <row r="86" spans="1:5" ht="15.6" x14ac:dyDescent="0.3">
      <c r="A86" s="80" t="s">
        <v>65</v>
      </c>
      <c r="B86" s="415"/>
      <c r="C86" s="416">
        <f>B77</f>
        <v>239792.03562756503</v>
      </c>
      <c r="D86" s="417"/>
      <c r="E86" s="418">
        <f>D77</f>
        <v>417029.62717837392</v>
      </c>
    </row>
    <row r="87" spans="1:5" ht="14.4" customHeight="1" x14ac:dyDescent="0.3">
      <c r="A87" s="308">
        <f>'Optimal &lt; 65'!H8+'Optimal &lt; 65'!H6</f>
        <v>65</v>
      </c>
      <c r="B87" s="419">
        <f t="shared" ref="B87:B116" si="2">$B$82</f>
        <v>9927.0487290000056</v>
      </c>
      <c r="C87" s="420">
        <f>(C86-B87)*(1+$B$81)</f>
        <v>233219.10484920227</v>
      </c>
      <c r="D87" s="421">
        <f t="shared" ref="D87:D116" si="3">$D$82</f>
        <v>18098.29</v>
      </c>
      <c r="E87" s="422">
        <f>(E86-D87)*(1+$B$81)</f>
        <v>404752.4184015537</v>
      </c>
    </row>
    <row r="88" spans="1:5" ht="14.4" customHeight="1" x14ac:dyDescent="0.3">
      <c r="A88" s="38">
        <f>A87+1</f>
        <v>66</v>
      </c>
      <c r="B88" s="419">
        <f t="shared" si="2"/>
        <v>9927.0487290000056</v>
      </c>
      <c r="C88" s="420">
        <f t="shared" ref="C88:C116" si="4">(C87-B88)*(1+$B$81)</f>
        <v>226550.26392197577</v>
      </c>
      <c r="D88" s="421">
        <f t="shared" si="3"/>
        <v>18098.29</v>
      </c>
      <c r="E88" s="422">
        <f t="shared" ref="E88:E116" si="5">(E87-D88)*(1+$B$81)</f>
        <v>392296.06443651818</v>
      </c>
    </row>
    <row r="89" spans="1:5" ht="14.4" customHeight="1" x14ac:dyDescent="0.3">
      <c r="A89" s="38">
        <f t="shared" ref="A89:A116" si="6">A88+1</f>
        <v>67</v>
      </c>
      <c r="B89" s="419">
        <f t="shared" si="2"/>
        <v>9927.0487290000056</v>
      </c>
      <c r="C89" s="420">
        <f t="shared" si="4"/>
        <v>219784.11335500921</v>
      </c>
      <c r="D89" s="421">
        <f t="shared" si="3"/>
        <v>18098.29</v>
      </c>
      <c r="E89" s="422">
        <f t="shared" si="5"/>
        <v>379657.95125274593</v>
      </c>
    </row>
    <row r="90" spans="1:5" ht="14.4" customHeight="1" x14ac:dyDescent="0.3">
      <c r="A90" s="38">
        <f t="shared" si="6"/>
        <v>68</v>
      </c>
      <c r="B90" s="419">
        <f t="shared" si="2"/>
        <v>9927.0487290000056</v>
      </c>
      <c r="C90" s="420">
        <f t="shared" si="4"/>
        <v>212919.23323649337</v>
      </c>
      <c r="D90" s="421">
        <f t="shared" si="3"/>
        <v>18098.29</v>
      </c>
      <c r="E90" s="422">
        <f t="shared" si="5"/>
        <v>366835.42667660018</v>
      </c>
    </row>
    <row r="91" spans="1:5" ht="14.4" customHeight="1" x14ac:dyDescent="0.3">
      <c r="A91" s="38">
        <f t="shared" si="6"/>
        <v>69</v>
      </c>
      <c r="B91" s="419">
        <f t="shared" si="2"/>
        <v>9927.0487290000056</v>
      </c>
      <c r="C91" s="420">
        <f t="shared" si="4"/>
        <v>205954.18293571027</v>
      </c>
      <c r="D91" s="421">
        <f t="shared" si="3"/>
        <v>18098.29</v>
      </c>
      <c r="E91" s="422">
        <f t="shared" si="5"/>
        <v>353825.79983475653</v>
      </c>
    </row>
    <row r="92" spans="1:5" ht="14.4" customHeight="1" x14ac:dyDescent="0.3">
      <c r="A92" s="38">
        <f t="shared" si="6"/>
        <v>70</v>
      </c>
      <c r="B92" s="419">
        <f t="shared" si="2"/>
        <v>9927.0487290000056</v>
      </c>
      <c r="C92" s="420">
        <f t="shared" si="4"/>
        <v>198887.50080070939</v>
      </c>
      <c r="D92" s="421">
        <f t="shared" si="3"/>
        <v>18098.29</v>
      </c>
      <c r="E92" s="422">
        <f t="shared" si="5"/>
        <v>340626.34058950917</v>
      </c>
    </row>
    <row r="93" spans="1:5" ht="14.4" customHeight="1" x14ac:dyDescent="0.3">
      <c r="A93" s="38">
        <f t="shared" si="6"/>
        <v>71</v>
      </c>
      <c r="B93" s="419">
        <f t="shared" si="2"/>
        <v>9927.0487290000056</v>
      </c>
      <c r="C93" s="420">
        <f t="shared" si="4"/>
        <v>191717.70385157235</v>
      </c>
      <c r="D93" s="421">
        <f t="shared" si="3"/>
        <v>18098.29</v>
      </c>
      <c r="E93" s="422">
        <f t="shared" si="5"/>
        <v>327234.27896583726</v>
      </c>
    </row>
    <row r="94" spans="1:5" ht="14.4" customHeight="1" x14ac:dyDescent="0.3">
      <c r="A94" s="38">
        <f t="shared" si="6"/>
        <v>72</v>
      </c>
      <c r="B94" s="419">
        <f t="shared" si="2"/>
        <v>9927.0487290000056</v>
      </c>
      <c r="C94" s="420">
        <f t="shared" si="4"/>
        <v>184443.28746920195</v>
      </c>
      <c r="D94" s="421">
        <f t="shared" si="3"/>
        <v>18098.29</v>
      </c>
      <c r="E94" s="422">
        <f t="shared" si="5"/>
        <v>313646.80457011139</v>
      </c>
    </row>
    <row r="95" spans="1:5" ht="14.4" customHeight="1" x14ac:dyDescent="0.3">
      <c r="A95" s="38">
        <f t="shared" si="6"/>
        <v>73</v>
      </c>
      <c r="B95" s="419">
        <f t="shared" si="2"/>
        <v>9927.0487290000056</v>
      </c>
      <c r="C95" s="420">
        <f t="shared" si="4"/>
        <v>177062.72507956999</v>
      </c>
      <c r="D95" s="421">
        <f t="shared" si="3"/>
        <v>18098.29</v>
      </c>
      <c r="E95" s="422">
        <f t="shared" si="5"/>
        <v>299861.06600031781</v>
      </c>
    </row>
    <row r="96" spans="1:5" ht="14.4" customHeight="1" x14ac:dyDescent="0.3">
      <c r="A96" s="38">
        <f t="shared" si="6"/>
        <v>74</v>
      </c>
      <c r="B96" s="419">
        <f t="shared" si="2"/>
        <v>9927.0487290000056</v>
      </c>
      <c r="C96" s="420">
        <f t="shared" si="4"/>
        <v>169574.46783335778</v>
      </c>
      <c r="D96" s="421">
        <f t="shared" si="3"/>
        <v>18098.29</v>
      </c>
      <c r="E96" s="422">
        <f t="shared" si="5"/>
        <v>285874.17024767696</v>
      </c>
    </row>
    <row r="97" spans="1:5" ht="14.4" customHeight="1" x14ac:dyDescent="0.3">
      <c r="A97" s="38">
        <f t="shared" si="6"/>
        <v>75</v>
      </c>
      <c r="B97" s="419">
        <f t="shared" si="2"/>
        <v>9927.0487290000056</v>
      </c>
      <c r="C97" s="420">
        <f t="shared" si="4"/>
        <v>161976.94428092209</v>
      </c>
      <c r="D97" s="421">
        <f t="shared" si="3"/>
        <v>18098.29</v>
      </c>
      <c r="E97" s="422">
        <f t="shared" si="5"/>
        <v>271683.18208953063</v>
      </c>
    </row>
    <row r="98" spans="1:5" ht="14.4" customHeight="1" x14ac:dyDescent="0.3">
      <c r="A98" s="38">
        <f t="shared" si="6"/>
        <v>76</v>
      </c>
      <c r="B98" s="419">
        <f t="shared" si="2"/>
        <v>9927.0487290000056</v>
      </c>
      <c r="C98" s="420">
        <f t="shared" si="4"/>
        <v>154268.56004251834</v>
      </c>
      <c r="D98" s="421">
        <f t="shared" si="3"/>
        <v>18098.29</v>
      </c>
      <c r="E98" s="422">
        <f t="shared" si="5"/>
        <v>257285.12347337004</v>
      </c>
    </row>
    <row r="99" spans="1:5" ht="14.4" customHeight="1" x14ac:dyDescent="0.3">
      <c r="A99" s="38">
        <f t="shared" si="6"/>
        <v>77</v>
      </c>
      <c r="B99" s="419">
        <f t="shared" si="2"/>
        <v>9927.0487290000056</v>
      </c>
      <c r="C99" s="420">
        <f t="shared" si="4"/>
        <v>146447.69747371168</v>
      </c>
      <c r="D99" s="421">
        <f t="shared" si="3"/>
        <v>18098.29</v>
      </c>
      <c r="E99" s="422">
        <f t="shared" si="5"/>
        <v>242676.97289187633</v>
      </c>
    </row>
    <row r="100" spans="1:5" ht="14.4" customHeight="1" x14ac:dyDescent="0.3">
      <c r="A100" s="38">
        <f t="shared" si="6"/>
        <v>78</v>
      </c>
      <c r="B100" s="419">
        <f t="shared" si="2"/>
        <v>9927.0487290000056</v>
      </c>
      <c r="C100" s="420">
        <f t="shared" si="4"/>
        <v>138512.71532590591</v>
      </c>
      <c r="D100" s="421">
        <f t="shared" si="3"/>
        <v>18098.29</v>
      </c>
      <c r="E100" s="422">
        <f t="shared" si="5"/>
        <v>227855.6647488414</v>
      </c>
    </row>
    <row r="101" spans="1:5" ht="14.4" customHeight="1" x14ac:dyDescent="0.3">
      <c r="A101" s="38">
        <f t="shared" si="6"/>
        <v>79</v>
      </c>
      <c r="B101" s="419">
        <f t="shared" si="2"/>
        <v>9927.0487290000056</v>
      </c>
      <c r="C101" s="420">
        <f t="shared" si="4"/>
        <v>130461.94840191895</v>
      </c>
      <c r="D101" s="421">
        <f t="shared" si="3"/>
        <v>18098.29</v>
      </c>
      <c r="E101" s="422">
        <f t="shared" si="5"/>
        <v>212818.0887158367</v>
      </c>
    </row>
    <row r="102" spans="1:5" ht="14.4" customHeight="1" x14ac:dyDescent="0.3">
      <c r="A102" s="38">
        <f t="shared" si="6"/>
        <v>80</v>
      </c>
      <c r="B102" s="419">
        <f t="shared" si="2"/>
        <v>9927.0487290000056</v>
      </c>
      <c r="C102" s="420">
        <f t="shared" si="4"/>
        <v>122293.70720653259</v>
      </c>
      <c r="D102" s="421">
        <f t="shared" si="3"/>
        <v>18098.29</v>
      </c>
      <c r="E102" s="422">
        <f t="shared" si="5"/>
        <v>197561.08907949468</v>
      </c>
    </row>
    <row r="103" spans="1:5" ht="14.4" customHeight="1" x14ac:dyDescent="0.3">
      <c r="A103" s="38">
        <f t="shared" si="6"/>
        <v>81</v>
      </c>
      <c r="B103" s="419">
        <f t="shared" si="2"/>
        <v>9927.0487290000056</v>
      </c>
      <c r="C103" s="420">
        <f t="shared" si="4"/>
        <v>114006.27759194313</v>
      </c>
      <c r="D103" s="421">
        <f t="shared" si="3"/>
        <v>18098.29</v>
      </c>
      <c r="E103" s="422">
        <f t="shared" si="5"/>
        <v>182081.46407926586</v>
      </c>
    </row>
    <row r="104" spans="1:5" ht="14.4" customHeight="1" x14ac:dyDescent="0.3">
      <c r="A104" s="38">
        <f t="shared" si="6"/>
        <v>82</v>
      </c>
      <c r="B104" s="419">
        <f t="shared" si="2"/>
        <v>9927.0487290000056</v>
      </c>
      <c r="C104" s="420">
        <f t="shared" si="4"/>
        <v>105597.92039803859</v>
      </c>
      <c r="D104" s="421">
        <f t="shared" si="3"/>
        <v>18098.29</v>
      </c>
      <c r="E104" s="422">
        <f t="shared" si="5"/>
        <v>166375.96523551294</v>
      </c>
    </row>
    <row r="105" spans="1:5" ht="14.4" customHeight="1" x14ac:dyDescent="0.3">
      <c r="A105" s="38">
        <f t="shared" si="6"/>
        <v>83</v>
      </c>
      <c r="B105" s="419">
        <f t="shared" si="2"/>
        <v>9927.0487290000056</v>
      </c>
      <c r="C105" s="420">
        <f t="shared" si="4"/>
        <v>97066.871087426902</v>
      </c>
      <c r="D105" s="421">
        <f t="shared" si="3"/>
        <v>18098.29</v>
      </c>
      <c r="E105" s="422">
        <f t="shared" si="5"/>
        <v>150441.29666780031</v>
      </c>
    </row>
    <row r="106" spans="1:5" ht="14.4" customHeight="1" x14ac:dyDescent="0.3">
      <c r="A106" s="38">
        <f t="shared" si="6"/>
        <v>84</v>
      </c>
      <c r="B106" s="419">
        <f t="shared" si="2"/>
        <v>9927.0487290000056</v>
      </c>
      <c r="C106" s="420">
        <f t="shared" si="4"/>
        <v>88411.339375138617</v>
      </c>
      <c r="D106" s="421">
        <f t="shared" si="3"/>
        <v>18098.29</v>
      </c>
      <c r="E106" s="422">
        <f t="shared" si="5"/>
        <v>134274.11440323657</v>
      </c>
    </row>
    <row r="107" spans="1:5" ht="14.4" customHeight="1" x14ac:dyDescent="0.3">
      <c r="A107" s="38">
        <f t="shared" si="6"/>
        <v>85</v>
      </c>
      <c r="B107" s="419">
        <f t="shared" si="2"/>
        <v>9927.0487290000056</v>
      </c>
      <c r="C107" s="420">
        <f t="shared" si="4"/>
        <v>79629.508852926287</v>
      </c>
      <c r="D107" s="421">
        <f t="shared" si="3"/>
        <v>18098.29</v>
      </c>
      <c r="E107" s="422">
        <f t="shared" si="5"/>
        <v>117871.02567472437</v>
      </c>
    </row>
    <row r="108" spans="1:5" ht="14.4" customHeight="1" x14ac:dyDescent="0.3">
      <c r="A108" s="38">
        <f t="shared" si="6"/>
        <v>86</v>
      </c>
      <c r="B108" s="419">
        <f t="shared" si="2"/>
        <v>9927.0487290000056</v>
      </c>
      <c r="C108" s="420">
        <f t="shared" si="4"/>
        <v>70719.536608081762</v>
      </c>
      <c r="D108" s="421">
        <f t="shared" si="3"/>
        <v>18098.29</v>
      </c>
      <c r="E108" s="422">
        <f t="shared" si="5"/>
        <v>101228.5882089707</v>
      </c>
    </row>
    <row r="109" spans="1:5" ht="14.4" customHeight="1" x14ac:dyDescent="0.3">
      <c r="A109" s="38">
        <f t="shared" si="6"/>
        <v>87</v>
      </c>
      <c r="B109" s="419">
        <f t="shared" si="2"/>
        <v>9927.0487290000056</v>
      </c>
      <c r="C109" s="420">
        <f t="shared" si="4"/>
        <v>61679.552836691444</v>
      </c>
      <c r="D109" s="421">
        <f t="shared" si="3"/>
        <v>18098.29</v>
      </c>
      <c r="E109" s="422">
        <f t="shared" si="5"/>
        <v>84343.30950410795</v>
      </c>
    </row>
    <row r="110" spans="1:5" ht="14.4" customHeight="1" x14ac:dyDescent="0.3">
      <c r="A110" s="38">
        <f t="shared" si="6"/>
        <v>88</v>
      </c>
      <c r="B110" s="419">
        <f t="shared" si="2"/>
        <v>9927.0487290000056</v>
      </c>
      <c r="C110" s="420">
        <f t="shared" si="4"/>
        <v>52507.660451248164</v>
      </c>
      <c r="D110" s="421">
        <f t="shared" si="3"/>
        <v>18098.29</v>
      </c>
      <c r="E110" s="422">
        <f t="shared" si="5"/>
        <v>67211.646096774246</v>
      </c>
    </row>
    <row r="111" spans="1:5" ht="14.4" customHeight="1" x14ac:dyDescent="0.3">
      <c r="A111" s="38">
        <f t="shared" si="6"/>
        <v>89</v>
      </c>
      <c r="B111" s="419">
        <f t="shared" si="2"/>
        <v>9927.0487290000056</v>
      </c>
      <c r="C111" s="420">
        <f t="shared" si="4"/>
        <v>43201.934682537583</v>
      </c>
      <c r="D111" s="421">
        <f t="shared" si="3"/>
        <v>18098.29</v>
      </c>
      <c r="E111" s="422">
        <f t="shared" si="5"/>
        <v>49830.002818499299</v>
      </c>
    </row>
    <row r="112" spans="1:5" ht="14.4" customHeight="1" x14ac:dyDescent="0.3">
      <c r="A112" s="38">
        <f t="shared" si="6"/>
        <v>90</v>
      </c>
      <c r="B112" s="419">
        <f t="shared" si="2"/>
        <v>9927.0487290000056</v>
      </c>
      <c r="C112" s="420">
        <f t="shared" si="4"/>
        <v>33760.422675715359</v>
      </c>
      <c r="D112" s="421">
        <f t="shared" si="3"/>
        <v>18098.29</v>
      </c>
      <c r="E112" s="422">
        <f t="shared" si="5"/>
        <v>32194.732041239648</v>
      </c>
    </row>
    <row r="113" spans="1:6" ht="14.4" customHeight="1" x14ac:dyDescent="0.3">
      <c r="A113" s="38">
        <f t="shared" si="6"/>
        <v>91</v>
      </c>
      <c r="B113" s="419">
        <f t="shared" si="2"/>
        <v>9927.0487290000056</v>
      </c>
      <c r="C113" s="420">
        <f t="shared" si="4"/>
        <v>24181.143080490408</v>
      </c>
      <c r="D113" s="421">
        <f t="shared" si="3"/>
        <v>18098.29</v>
      </c>
      <c r="E113" s="422">
        <f t="shared" si="5"/>
        <v>14302.132911904971</v>
      </c>
    </row>
    <row r="114" spans="1:6" ht="14.4" customHeight="1" x14ac:dyDescent="0.3">
      <c r="A114" s="38">
        <f t="shared" si="6"/>
        <v>92</v>
      </c>
      <c r="B114" s="419">
        <f t="shared" si="2"/>
        <v>9927.0487290000056</v>
      </c>
      <c r="C114" s="420">
        <f t="shared" si="4"/>
        <v>14462.085635328287</v>
      </c>
      <c r="D114" s="421">
        <f t="shared" si="3"/>
        <v>18098.29</v>
      </c>
      <c r="E114" s="422">
        <f t="shared" si="5"/>
        <v>-3851.54942428513</v>
      </c>
    </row>
    <row r="115" spans="1:6" ht="14.4" customHeight="1" x14ac:dyDescent="0.3">
      <c r="A115" s="38">
        <f t="shared" si="6"/>
        <v>93</v>
      </c>
      <c r="B115" s="419">
        <f t="shared" si="2"/>
        <v>9927.0487290000056</v>
      </c>
      <c r="C115" s="420">
        <f t="shared" si="4"/>
        <v>4601.2107455873702</v>
      </c>
      <c r="D115" s="421">
        <f t="shared" si="3"/>
        <v>18098.29</v>
      </c>
      <c r="E115" s="422">
        <f t="shared" si="5"/>
        <v>-22270.124611776901</v>
      </c>
    </row>
    <row r="116" spans="1:6" ht="14.4" customHeight="1" thickBot="1" x14ac:dyDescent="0.35">
      <c r="A116" s="38">
        <f t="shared" si="6"/>
        <v>94</v>
      </c>
      <c r="B116" s="423">
        <f t="shared" si="2"/>
        <v>9927.0487290000056</v>
      </c>
      <c r="C116" s="424">
        <f t="shared" si="4"/>
        <v>-5403.550944500671</v>
      </c>
      <c r="D116" s="425">
        <f t="shared" si="3"/>
        <v>18098.29</v>
      </c>
      <c r="E116" s="426">
        <f t="shared" si="5"/>
        <v>-40957.45788415608</v>
      </c>
    </row>
    <row r="117" spans="1:6" ht="15.6" x14ac:dyDescent="0.3">
      <c r="A117" s="1"/>
      <c r="B117" s="1"/>
      <c r="C117" s="1"/>
      <c r="D117" s="1"/>
      <c r="E117" s="1"/>
      <c r="F117" s="1"/>
    </row>
  </sheetData>
  <sheetProtection algorithmName="SHA-512" hashValue="AikJHIml1nF71pF/9Sj8rHM5TXT3Na9P1HCAbK15RbiCaZ6Yavd1RnmV6/9s12BBLUr18nn1MrDcpUxdg/H3mQ==" saltValue="SrGDSLPkw3/ODbUwqUNYCw==" spinCount="100000" sheet="1" objects="1" scenarios="1"/>
  <mergeCells count="9">
    <mergeCell ref="F43:L43"/>
    <mergeCell ref="F46:L46"/>
    <mergeCell ref="A1:E1"/>
    <mergeCell ref="B31:C31"/>
    <mergeCell ref="D31:E31"/>
    <mergeCell ref="B23:C23"/>
    <mergeCell ref="D23:E23"/>
    <mergeCell ref="F18:G18"/>
    <mergeCell ref="E10:G10"/>
  </mergeCells>
  <pageMargins left="0.35433070866141736" right="0.27559055118110237" top="0.35433070866141736" bottom="0.19685039370078741" header="0.31496062992125984" footer="0.31496062992125984"/>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E88BF-FC92-4B84-B797-1A1E8ADB41C5}">
  <dimension ref="A1:M121"/>
  <sheetViews>
    <sheetView workbookViewId="0">
      <selection activeCell="B18" sqref="B18"/>
    </sheetView>
  </sheetViews>
  <sheetFormatPr baseColWidth="10" defaultRowHeight="14.4" x14ac:dyDescent="0.3"/>
  <cols>
    <col min="1" max="1" width="44.5546875" customWidth="1"/>
    <col min="2" max="2" width="16" customWidth="1"/>
  </cols>
  <sheetData>
    <row r="1" spans="1:13" ht="21" x14ac:dyDescent="0.4">
      <c r="A1" s="591" t="s">
        <v>167</v>
      </c>
      <c r="B1" s="592"/>
      <c r="C1" s="592"/>
      <c r="D1" s="592"/>
      <c r="E1" s="592"/>
    </row>
    <row r="2" spans="1:13" ht="21" x14ac:dyDescent="0.4">
      <c r="A2" s="6"/>
    </row>
    <row r="3" spans="1:13" x14ac:dyDescent="0.3">
      <c r="B3" t="s">
        <v>67</v>
      </c>
      <c r="C3" t="s">
        <v>68</v>
      </c>
      <c r="D3" t="s">
        <v>69</v>
      </c>
      <c r="F3" s="50" t="s">
        <v>102</v>
      </c>
      <c r="G3" s="50"/>
    </row>
    <row r="4" spans="1:13" ht="15.6" x14ac:dyDescent="0.3">
      <c r="A4" s="1" t="s">
        <v>66</v>
      </c>
      <c r="B4" s="10">
        <f>'Optimisation retraite'!B4</f>
        <v>1</v>
      </c>
      <c r="C4" s="19"/>
      <c r="F4" s="50" t="s">
        <v>67</v>
      </c>
      <c r="G4" s="50" t="s">
        <v>103</v>
      </c>
    </row>
    <row r="5" spans="1:13" ht="15.6" x14ac:dyDescent="0.3">
      <c r="A5" s="1" t="s">
        <v>256</v>
      </c>
      <c r="B5" s="20">
        <f>'Optimisation retraite'!B5</f>
        <v>50</v>
      </c>
      <c r="C5" s="20">
        <f>'Optimisation retraite'!C5</f>
        <v>0</v>
      </c>
      <c r="D5" t="s">
        <v>69</v>
      </c>
      <c r="F5" s="50">
        <f>IF(B5&gt;=65,0,65-B5)</f>
        <v>15</v>
      </c>
      <c r="G5" s="50">
        <f>IF(B4=1,0,IF(C5&gt;=65,0,65-C5))</f>
        <v>0</v>
      </c>
      <c r="H5" s="305">
        <f>MAX(F5,G5)</f>
        <v>15</v>
      </c>
    </row>
    <row r="6" spans="1:13" ht="15.6" x14ac:dyDescent="0.3">
      <c r="A6" s="1" t="s">
        <v>266</v>
      </c>
      <c r="B6" s="20">
        <f>'Optimisation retraite'!B6</f>
        <v>65</v>
      </c>
      <c r="C6" s="20">
        <f>'Optimisation retraite'!C6</f>
        <v>0</v>
      </c>
      <c r="F6" s="50">
        <f>IF(B6&gt;=65,0,65-B6)</f>
        <v>0</v>
      </c>
      <c r="G6" s="50">
        <f>IF(B4=1,0,IF(C6&gt;=65,0,65-C6))</f>
        <v>0</v>
      </c>
      <c r="H6" s="305">
        <f>MAX(F6,G6)</f>
        <v>0</v>
      </c>
      <c r="I6">
        <f>ABS(B6-C6)</f>
        <v>65</v>
      </c>
    </row>
    <row r="7" spans="1:13" ht="16.2" thickBot="1" x14ac:dyDescent="0.35">
      <c r="A7" s="1" t="s">
        <v>378</v>
      </c>
      <c r="B7" s="20">
        <f>F10</f>
        <v>60</v>
      </c>
      <c r="C7" s="20">
        <f>IF(B4=1,0,G10)</f>
        <v>0</v>
      </c>
      <c r="F7" s="50">
        <f>IF(B6&gt;=60,0,60-B6)</f>
        <v>0</v>
      </c>
      <c r="G7" s="50">
        <f>IF(C6&gt;=60,0,60-C6)</f>
        <v>60</v>
      </c>
      <c r="H7" s="305">
        <f>MAX(F7,G7)</f>
        <v>60</v>
      </c>
      <c r="I7">
        <f>MIN(B6:C6)</f>
        <v>0</v>
      </c>
      <c r="J7">
        <f>IF(I7&lt;55,55-I7,I7-55)</f>
        <v>55</v>
      </c>
    </row>
    <row r="8" spans="1:13" ht="16.2" thickBot="1" x14ac:dyDescent="0.35">
      <c r="A8" s="5" t="s">
        <v>78</v>
      </c>
      <c r="B8" s="11">
        <f>'Optimisation retraite'!B7</f>
        <v>50000</v>
      </c>
      <c r="C8" s="11">
        <f>'Optimisation retraite'!C7</f>
        <v>0</v>
      </c>
      <c r="D8" s="21">
        <f>SUM(B8:C8)</f>
        <v>50000</v>
      </c>
      <c r="E8" s="96"/>
      <c r="F8" s="85">
        <f>IF(AND(B8=6,B10&gt;0),F10/(F10+G10),B8/(B8+C8))</f>
        <v>1</v>
      </c>
      <c r="G8" s="85">
        <f>100%-F8</f>
        <v>0</v>
      </c>
      <c r="H8">
        <f>MAX(B6,C6)</f>
        <v>65</v>
      </c>
      <c r="I8">
        <f>IF(B4=1,0,IF(AND(B4=2,I7&gt;59),0,IF(AND(B4=2,I7&gt;55),60-I7,65-(H8+J7))))</f>
        <v>0</v>
      </c>
      <c r="J8" s="544">
        <f>IF(B4=1,0,IF(OR(H8&gt;64,I7&gt;59),0,IF(AND(B4=2,I7&gt;55,C5&gt;B5),60-I7,IF(AND(B4=2,I7&gt;55),60-I7,IF(AND(B4=2,I7&gt;55),60-F10,IF(AND(B4=2,I6&lt;5,'conj #1 60-65 &amp; # 2 60-65'!I10-'conj #1 60-65 &amp; # 2 55-60'!I10),60-(H8+J7),65-I10))))))</f>
        <v>0</v>
      </c>
    </row>
    <row r="9" spans="1:13" ht="16.2" thickBot="1" x14ac:dyDescent="0.35">
      <c r="A9" s="5" t="s">
        <v>134</v>
      </c>
      <c r="B9" s="11">
        <f>IF($B$5&lt;65,0,IF($B$5=65,'Optimisation retraite'!B8,'Optimisation retraite'!B8*POWER(1+Seuils!$H$296,$B$5-64)))</f>
        <v>0</v>
      </c>
      <c r="C9" s="11">
        <f>IF($C$5&lt;65,0,IF($C$5=65,'Optimisation retraite'!C8,'Optimisation retraite'!C8*POWER(1+Seuils!$H$296,$C$5-64)))</f>
        <v>0</v>
      </c>
      <c r="D9" s="21"/>
      <c r="E9" s="1"/>
      <c r="F9" s="88" t="str">
        <f>IF(B8&gt;0," ",(B10*61600/80%)/(61600*25%*94.15%))</f>
        <v xml:space="preserve"> </v>
      </c>
      <c r="G9" s="88" t="str">
        <f>IF(OR(B4=1,C8&gt;0)," ",(C10*61600/80%)/(61600*25%*94.15%))</f>
        <v xml:space="preserve"> </v>
      </c>
      <c r="L9">
        <f>'Optimisation retraite'!E29+Seuils!E162</f>
        <v>36923.449999999997</v>
      </c>
      <c r="M9" s="3">
        <f>L9/D8</f>
        <v>0.73846899999999993</v>
      </c>
    </row>
    <row r="10" spans="1:13" ht="16.2" thickBot="1" x14ac:dyDescent="0.35">
      <c r="A10" s="1" t="s">
        <v>101</v>
      </c>
      <c r="B10" s="11">
        <f>IF($B$5&lt;65,0,IF($B$5=65,'Optimisation retraite'!B9,'Optimisation retraite'!B9*POWER(1+Seuils!$H$296,$B$5-64)))</f>
        <v>0</v>
      </c>
      <c r="C10" s="11">
        <f>IF($C$5&lt;65,0,IF($C$5=65,'Optimisation retraite'!C9,'Optimisation retraite'!C9*POWER(1+Seuils!$H$296,$C$5-64)))</f>
        <v>0</v>
      </c>
      <c r="D10" s="89">
        <f>SUM(B10:C10)</f>
        <v>0</v>
      </c>
      <c r="E10" s="1"/>
      <c r="F10">
        <f>IF(AND(B4=2,I6&lt;5,B6&lt;C6),60-I6,IF(AND(B4=2,I6&gt;5,I7&lt;55,B6&lt;C6),55,IF(AND(B4=2,I6&gt;5,I7&lt;55,B6&gt;C6),55+I6,60)))</f>
        <v>60</v>
      </c>
      <c r="G10">
        <f>IF(AND(B4=2,I6&lt;5,B6&gt;C6),60-I6,IF(AND(B4=2,I6&gt;5,I7&lt;55,C6&lt;B6),55,IF(AND(B4=2,I6&gt;5,I7&lt;55),55+I6,60)))</f>
        <v>60</v>
      </c>
      <c r="H10">
        <f>MIN(F10:G10)</f>
        <v>60</v>
      </c>
      <c r="I10">
        <f>MAX(F10:G10)</f>
        <v>60</v>
      </c>
      <c r="L10">
        <f>'Optimisation retraite'!E29+Seuils!F125</f>
        <v>36361.117647058825</v>
      </c>
      <c r="M10" s="3">
        <f>L10/B8</f>
        <v>0.72722235294117654</v>
      </c>
    </row>
    <row r="11" spans="1:13" ht="18" x14ac:dyDescent="0.35">
      <c r="A11" s="5" t="s">
        <v>70</v>
      </c>
      <c r="B11" s="11">
        <f>'Optimisation retraite'!B10</f>
        <v>1000</v>
      </c>
      <c r="C11" s="11">
        <v>0</v>
      </c>
      <c r="D11" s="21">
        <f>SUM(B11:C11)</f>
        <v>1000</v>
      </c>
      <c r="E11" s="1" t="s">
        <v>177</v>
      </c>
      <c r="H11" s="83" t="s">
        <v>107</v>
      </c>
      <c r="I11" s="50"/>
      <c r="J11" s="50"/>
      <c r="K11" s="50"/>
      <c r="L11" s="94">
        <f>IF(AND(B4=1,C28&gt;Seuils!D55),Seuils!E33,IF(AND(B4=1,B8&gt;Seuils!A9),Seuils!E33,IF(AND(B4=1,B10&lt;Seuils!E33/80%,B10&lt;=61600*25%*94.15%),Seuils!D55,IF(AND(B4=1,B10&lt;Seuils!E33/80%,B10&gt;61600*25%*94.15%),Seuils!J55,IF(C28&gt;Seuils!A8,Seuils!E33*2,IF('Optimisation retraite'!C29&gt;Seuils!I7*2,Seuils!A8,IF(AND(B15+C15+D10&gt;21300,C28&lt;Seuils!C16),Seuils!C16,Seuils!J6*2)))))))</f>
        <v>39669.839999999997</v>
      </c>
      <c r="M11" s="95">
        <f>IF(D8=0,L11/(F10+G10),L11/D8)</f>
        <v>0.7933967999999999</v>
      </c>
    </row>
    <row r="12" spans="1:13" ht="15.6" x14ac:dyDescent="0.3">
      <c r="A12" s="1" t="s">
        <v>135</v>
      </c>
      <c r="B12" s="18">
        <f>'Optimisation retraite'!B11</f>
        <v>642</v>
      </c>
      <c r="C12" s="11">
        <f>'Optimisation retraite'!C11</f>
        <v>0</v>
      </c>
      <c r="D12" s="21">
        <f>SUM(B12:C12)</f>
        <v>642</v>
      </c>
      <c r="E12" s="17" t="s">
        <v>106</v>
      </c>
      <c r="F12" s="17" t="s">
        <v>161</v>
      </c>
      <c r="G12" t="str">
        <f>IF(B4=1,"seuil limite","optimal #2")</f>
        <v>seuil limite</v>
      </c>
      <c r="H12" s="50"/>
      <c r="I12" s="50"/>
      <c r="J12" s="50"/>
      <c r="K12" s="50"/>
      <c r="L12" s="94">
        <f>IF(AND(B4=2,D8&gt;150000,C28&gt;Seuils!I7*2),Seuils!E33*2,IF(AND(B4=2,L11=Seuils!I7*2),Seuils!C16,IF(AND(B4=2,L11=Seuils!C16),Seuils!I7*2,IF(AND(B4=1,L11=Seuils!D55),Seuils!E33,Seuils!D55))))</f>
        <v>79845</v>
      </c>
      <c r="M12" s="95">
        <f>IF(D8=0,L12/(F10+G10),L12/D8)</f>
        <v>1.5969</v>
      </c>
    </row>
    <row r="13" spans="1:13" ht="15.6" x14ac:dyDescent="0.3">
      <c r="A13" s="5" t="s">
        <v>82</v>
      </c>
      <c r="B13" s="52">
        <f>IF(B8=0,(F9+G9)*E13,(B8+C8)*E13)</f>
        <v>36923.449999999997</v>
      </c>
      <c r="C13" s="21"/>
      <c r="D13" s="21">
        <f>SUM(B13:C13)</f>
        <v>36923.449999999997</v>
      </c>
      <c r="E13" s="270">
        <f>M9</f>
        <v>0.73846899999999993</v>
      </c>
      <c r="F13" s="93">
        <f>M11</f>
        <v>0.7933967999999999</v>
      </c>
      <c r="G13" s="99">
        <f>IF(B4=1,Seuils!E33/B8,M12)</f>
        <v>1.5969</v>
      </c>
    </row>
    <row r="14" spans="1:13" ht="18" x14ac:dyDescent="0.35">
      <c r="A14" s="5" t="s">
        <v>136</v>
      </c>
      <c r="B14" s="11">
        <f>IF(AND(B4=2,C8&gt;15000),(B13-D10-B23-C23)*F8,B13-D10-B23-C23)</f>
        <v>36923.449999999997</v>
      </c>
      <c r="C14" s="22">
        <f>IF(AND(B4=2,C8&gt;15000),(B13-D10-B23-C23)*(1-F8),0)</f>
        <v>0</v>
      </c>
      <c r="D14" s="21">
        <f t="shared" ref="D14" si="0">SUM(B14:C14)</f>
        <v>36923.449999999997</v>
      </c>
      <c r="E14" s="1"/>
      <c r="H14" s="83" t="s">
        <v>105</v>
      </c>
      <c r="I14" s="83"/>
      <c r="J14" s="84">
        <f>D76</f>
        <v>0.42499999999999999</v>
      </c>
      <c r="K14" s="622" t="str">
        <f>IF(J14&lt;J16-0.5%,"Maximiser d'abord votre CELI !",IF(J14&gt;J16+0.5%,"Privillégiez le REER OPTIMAL", "Indifférent entre REER et CELI"))</f>
        <v>Privillégiez le REER OPTIMAL</v>
      </c>
      <c r="L14" s="623"/>
      <c r="M14" s="623"/>
    </row>
    <row r="15" spans="1:13" ht="18.600000000000001" thickBot="1" x14ac:dyDescent="0.4">
      <c r="A15" s="5" t="s">
        <v>246</v>
      </c>
      <c r="B15" s="11">
        <f>IF(AND('Optimisation retraite'!B6&gt;=65,B4=1),0,IF(B7&gt;=65,'Optimisation retraite'!B13,IF(AND(B7&lt;65,B7&gt;59),' Épargne nécessaire'!B35,IF(B7&lt;55,0,' Épargne nécessaire'!B36))))</f>
        <v>0</v>
      </c>
      <c r="C15" s="11">
        <f>IF(AND('Optimisation retraite'!B6&gt;65,B4=1),0,IF(C7&gt;=65,'Optimisation retraite'!C13,IF(AND(C7&lt;65,C7&gt;59),' Épargne nécessaire'!C35,IF(C7&lt;55,0,' Épargne nécessaire'!C36))))</f>
        <v>0</v>
      </c>
      <c r="D15" s="21">
        <f>B15+C15</f>
        <v>0</v>
      </c>
      <c r="E15" s="1"/>
      <c r="H15" s="83" t="s">
        <v>488</v>
      </c>
      <c r="I15" s="50"/>
      <c r="J15" s="84">
        <f>C56</f>
        <v>9.5270323772561616E-2</v>
      </c>
      <c r="K15" s="50"/>
      <c r="L15" s="50"/>
      <c r="M15" s="50"/>
    </row>
    <row r="16" spans="1:13" ht="18.600000000000001" thickBot="1" x14ac:dyDescent="0.4">
      <c r="A16" s="5" t="s">
        <v>191</v>
      </c>
      <c r="B16" s="271">
        <f>'Optimisation retraite'!B14</f>
        <v>0.5</v>
      </c>
      <c r="C16" s="271">
        <f>'Optimisation retraite'!C14</f>
        <v>0.5</v>
      </c>
      <c r="D16" s="89">
        <f>D14-D15</f>
        <v>36923.449999999997</v>
      </c>
      <c r="E16" s="1"/>
      <c r="H16" s="83"/>
      <c r="J16" s="90"/>
      <c r="K16" s="50"/>
      <c r="L16" s="50"/>
      <c r="M16" s="50"/>
    </row>
    <row r="17" spans="1:13" ht="18" x14ac:dyDescent="0.35">
      <c r="A17" s="5" t="s">
        <v>192</v>
      </c>
      <c r="B17" s="11">
        <f>'Optimisation retraite'!B15</f>
        <v>0</v>
      </c>
      <c r="C17" s="11">
        <f>'Optimisation retraite'!C15</f>
        <v>0</v>
      </c>
      <c r="D17" s="21"/>
      <c r="E17" s="1"/>
      <c r="H17" s="83" t="str">
        <f>IF(B4=1," ",IF(C8&lt;Seuils!A7,"N.B. Conjoint #2 ne devrait nullement cotiser à son REER !",IF(AND(C8&lt;Seuils!I8,'Optimisation retraite'!J11&gt;Seuils!E7+Seuils!K7+2%),"N.B. Conjoint #2 ne devrait nullement cotiser à son REER !"," ")))</f>
        <v xml:space="preserve"> </v>
      </c>
      <c r="I17" s="50"/>
      <c r="J17" s="84"/>
      <c r="K17" s="50"/>
      <c r="L17" s="50"/>
      <c r="M17" s="50"/>
    </row>
    <row r="18" spans="1:13" ht="15.6" x14ac:dyDescent="0.3">
      <c r="A18" s="5" t="s">
        <v>137</v>
      </c>
      <c r="B18" s="98">
        <f>IF(OR(H6=0,H7=0),0,Seuils!R296)</f>
        <v>0</v>
      </c>
      <c r="C18" s="22">
        <f>IF(C15&gt;B15,0,D14-D15+C15)</f>
        <v>36923.449999999997</v>
      </c>
      <c r="D18" s="21"/>
      <c r="E18" s="1"/>
      <c r="K18" s="50"/>
      <c r="L18" s="50"/>
      <c r="M18" s="50"/>
    </row>
    <row r="19" spans="1:13" ht="15.6" x14ac:dyDescent="0.3">
      <c r="A19" s="5" t="s">
        <v>138</v>
      </c>
      <c r="B19" s="98">
        <f>IF(OR(H6=0,H7=0),0,Seuils!R297)</f>
        <v>0</v>
      </c>
      <c r="C19" s="22">
        <f>D16-C18</f>
        <v>0</v>
      </c>
      <c r="D19" s="21"/>
      <c r="E19" s="1"/>
      <c r="M19" s="50"/>
    </row>
    <row r="20" spans="1:13" ht="15.6" x14ac:dyDescent="0.3">
      <c r="A20" s="5"/>
      <c r="B20" s="98"/>
      <c r="C20" s="22"/>
      <c r="D20" s="21"/>
      <c r="E20" s="1"/>
      <c r="M20" s="50"/>
    </row>
    <row r="21" spans="1:13" ht="18.600000000000001" thickBot="1" x14ac:dyDescent="0.4">
      <c r="A21" s="543" t="str">
        <f>IF(B4=1,"Non applicable","Période où l'un des conjoints a plus de 60 ans et l'autre entre 55 et 60 ans")</f>
        <v>Non applicable</v>
      </c>
      <c r="B21" s="306"/>
      <c r="C21" s="380"/>
      <c r="D21" s="380"/>
      <c r="E21" s="1"/>
      <c r="H21" s="83"/>
      <c r="I21" s="50"/>
      <c r="J21" s="84"/>
      <c r="K21" s="50"/>
      <c r="L21" s="50"/>
      <c r="M21" s="50"/>
    </row>
    <row r="22" spans="1:13" ht="16.2" thickBot="1" x14ac:dyDescent="0.35">
      <c r="A22" s="23" t="s">
        <v>162</v>
      </c>
      <c r="B22" s="624" t="s">
        <v>164</v>
      </c>
      <c r="C22" s="625"/>
      <c r="D22" s="624" t="s">
        <v>165</v>
      </c>
      <c r="E22" s="625"/>
    </row>
    <row r="23" spans="1:13" ht="15.6" x14ac:dyDescent="0.3">
      <c r="A23" s="24" t="s">
        <v>43</v>
      </c>
      <c r="B23" s="25">
        <f>B9</f>
        <v>0</v>
      </c>
      <c r="C23" s="26">
        <f>C9</f>
        <v>0</v>
      </c>
      <c r="D23" s="25">
        <f>B9</f>
        <v>0</v>
      </c>
      <c r="E23" s="26">
        <f>C9</f>
        <v>0</v>
      </c>
    </row>
    <row r="24" spans="1:13" ht="15.6" x14ac:dyDescent="0.3">
      <c r="A24" s="24" t="s">
        <v>44</v>
      </c>
      <c r="B24" s="27">
        <f>B10</f>
        <v>0</v>
      </c>
      <c r="C24" s="28">
        <f>C10</f>
        <v>0</v>
      </c>
      <c r="D24" s="27">
        <f>B24</f>
        <v>0</v>
      </c>
      <c r="E24" s="28">
        <f>C24</f>
        <v>0</v>
      </c>
    </row>
    <row r="25" spans="1:13" ht="15.6" x14ac:dyDescent="0.3">
      <c r="A25" s="24" t="s">
        <v>31</v>
      </c>
      <c r="B25" s="27">
        <f>IF(B4=2,0,IF(B7&lt;65,0,IF(D10+B26&gt;Seuils!E29,0,IF(D10+B26&gt;Seuils!D31,Seuils!D28-(D10+B26)*50%,IF(D10+B26&gt;Seuils!D30,Seuils!D26-(D10+B26-Seuils!D30)*75%,Seuils!D27-(D10+B26)*50%)))))</f>
        <v>0</v>
      </c>
      <c r="C25" s="28">
        <f>IF(B4=1,0,IF(AND(B7&lt;65,C7&lt;65),0,IF(D10+B26+C26&gt;Seuils!D29,0,IF(D10+B26+C26&gt;Seuils!D31,Seuils!D28-(D10+B26+C26)*50%,IF(D10+B26+C26&gt;Seuils!D30,Seuils!D26-(D10+B26+C26-Seuils!D30)*75%,Seuils!D27-(D10+B26+C26)*50%)))))</f>
        <v>0</v>
      </c>
      <c r="D25" s="27">
        <f>IF(B4=2,0,IF('Optimisation retraite'!D9+'Optimisation retraite'!D16&gt;Seuils!E29,0,Seuils!D28-(D10+D14)*50%))</f>
        <v>0</v>
      </c>
      <c r="E25" s="28">
        <f>IF(B4=1,0,IF(D10+D14&gt;Seuils!D29,0,Seuils!D28-(D10+D14)*50%))</f>
        <v>0</v>
      </c>
    </row>
    <row r="26" spans="1:13" ht="16.2" thickBot="1" x14ac:dyDescent="0.35">
      <c r="A26" s="24" t="s">
        <v>166</v>
      </c>
      <c r="B26" s="29">
        <f>B15+B17</f>
        <v>0</v>
      </c>
      <c r="C26" s="30">
        <f>C15+C17</f>
        <v>0</v>
      </c>
      <c r="D26" s="29">
        <f>B14</f>
        <v>36923.449999999997</v>
      </c>
      <c r="E26" s="30">
        <f>C14</f>
        <v>0</v>
      </c>
      <c r="F26" s="549"/>
    </row>
    <row r="27" spans="1:13" ht="16.2" thickBot="1" x14ac:dyDescent="0.35">
      <c r="A27" s="31" t="s">
        <v>76</v>
      </c>
      <c r="B27" s="32">
        <f>SUM(B23:B26)-B25</f>
        <v>0</v>
      </c>
      <c r="C27" s="33">
        <f>SUM(C23:C26)-C25</f>
        <v>0</v>
      </c>
      <c r="D27" s="32">
        <f>SUM(D23:D26)-D25</f>
        <v>36923.449999999997</v>
      </c>
      <c r="E27" s="33">
        <f>SUM(E23:E26)-E25</f>
        <v>0</v>
      </c>
    </row>
    <row r="28" spans="1:13" ht="16.2" thickBot="1" x14ac:dyDescent="0.35">
      <c r="A28" s="34" t="s">
        <v>77</v>
      </c>
      <c r="B28" s="35"/>
      <c r="C28" s="35">
        <f>B27+C27</f>
        <v>0</v>
      </c>
      <c r="D28" s="35"/>
      <c r="E28" s="36">
        <f>D27+E27</f>
        <v>36923.449999999997</v>
      </c>
    </row>
    <row r="29" spans="1:13" ht="16.2" thickBot="1" x14ac:dyDescent="0.35">
      <c r="A29" s="37"/>
      <c r="B29" s="38"/>
      <c r="C29" s="38"/>
      <c r="D29" s="38"/>
      <c r="E29" s="39"/>
    </row>
    <row r="30" spans="1:13" ht="16.2" thickBot="1" x14ac:dyDescent="0.35">
      <c r="A30" s="40" t="s">
        <v>81</v>
      </c>
      <c r="B30" s="624" t="s">
        <v>164</v>
      </c>
      <c r="C30" s="625"/>
      <c r="D30" s="624" t="s">
        <v>165</v>
      </c>
      <c r="E30" s="625"/>
    </row>
    <row r="31" spans="1:13" ht="16.2" thickBot="1" x14ac:dyDescent="0.35">
      <c r="A31" s="41"/>
      <c r="B31" s="244" t="s">
        <v>46</v>
      </c>
      <c r="C31" s="245" t="s">
        <v>47</v>
      </c>
      <c r="D31" s="246" t="s">
        <v>46</v>
      </c>
      <c r="E31" s="245" t="s">
        <v>47</v>
      </c>
    </row>
    <row r="32" spans="1:13" ht="15.6" x14ac:dyDescent="0.3">
      <c r="A32" s="42" t="s">
        <v>79</v>
      </c>
      <c r="B32" s="25">
        <f>IF(B4=2,Seuils!D12+Seuils!D13,Seuils!D12)</f>
        <v>13808</v>
      </c>
      <c r="C32" s="26">
        <f>IF(B4=2,Seuils!J12*2,Seuils!J12)</f>
        <v>15728</v>
      </c>
      <c r="D32" s="25">
        <f>IF(B4=2,Seuils!D12+Seuils!E13,Seuils!D12)</f>
        <v>13808</v>
      </c>
      <c r="E32" s="26">
        <f>C32</f>
        <v>15728</v>
      </c>
    </row>
    <row r="33" spans="1:12" ht="15.6" x14ac:dyDescent="0.3">
      <c r="A33" s="42" t="s">
        <v>403</v>
      </c>
      <c r="B33" s="27">
        <f>IF(B4=2,Seuils!D187,Seuils!B187)</f>
        <v>0</v>
      </c>
      <c r="C33" s="520">
        <f>Seuils!V18</f>
        <v>0</v>
      </c>
      <c r="D33" s="43">
        <f>Seuils!D178</f>
        <v>0</v>
      </c>
      <c r="E33" s="28">
        <f>Seuils!W18</f>
        <v>5639.2281250000005</v>
      </c>
    </row>
    <row r="34" spans="1:12" ht="15.6" x14ac:dyDescent="0.3">
      <c r="A34" s="42" t="s">
        <v>168</v>
      </c>
      <c r="B34" s="27">
        <f>IF(AND(B4=1,B15&gt;Seuils!C19),Seuils!C19,IF(AND(B4=1,B15&lt;2000),B15,IF(AND(B4=2,B15&gt;2000,C15&gt;2000),Seuils!C19*2,IF(AND(B4=2,B15&gt;2000,C15&lt;2000),Seuils!C19+C15,IF(AND(B4=2,C15&gt;2000,B15&lt;2000),Seuils!C19+'Optimal &lt; 65'!B15,IF(AND('Optimal &lt; 65'!B4=2,'Optimal &lt; 65'!B15&lt;2000,'Optimal &lt; 65'!C15&lt;2000),B26+C26,0))))))</f>
        <v>0</v>
      </c>
      <c r="C34" s="28"/>
      <c r="D34" s="43">
        <f>IF(AND(B5&lt;65,B15+C15&lt;=2000*B4),B15+C15,IF(AND(B5&lt;65,B15+C15&gt;2000*B4),2000*B4,Seuils!D19*'Optimal &lt; 65'!B4))</f>
        <v>0</v>
      </c>
      <c r="E34" s="28"/>
    </row>
    <row r="35" spans="1:12" ht="15.6" x14ac:dyDescent="0.3">
      <c r="A35" s="42" t="s">
        <v>15</v>
      </c>
      <c r="B35" s="27">
        <f>Seuils!C188</f>
        <v>1642</v>
      </c>
      <c r="C35" s="28">
        <f>Seuils!V24</f>
        <v>1000</v>
      </c>
      <c r="D35" s="43">
        <f>Seuils!C179</f>
        <v>451.90480000000025</v>
      </c>
      <c r="E35" s="28">
        <f>Seuils!W24</f>
        <v>227.41487900000016</v>
      </c>
    </row>
    <row r="36" spans="1:12" ht="15.6" x14ac:dyDescent="0.3">
      <c r="A36" s="42" t="s">
        <v>48</v>
      </c>
      <c r="B36" s="27">
        <f>SUM(B32:B35)</f>
        <v>15450</v>
      </c>
      <c r="C36" s="28">
        <f>SUM(C32:C35)</f>
        <v>16728</v>
      </c>
      <c r="D36" s="43">
        <f>SUM(D32:D35)</f>
        <v>14259.9048</v>
      </c>
      <c r="E36" s="28">
        <f>SUM(E32:E35)</f>
        <v>21594.643004000001</v>
      </c>
    </row>
    <row r="37" spans="1:12" ht="15.6" x14ac:dyDescent="0.3">
      <c r="A37" s="44"/>
      <c r="B37" s="27"/>
      <c r="C37" s="28"/>
      <c r="D37" s="43"/>
      <c r="E37" s="28"/>
    </row>
    <row r="38" spans="1:12" ht="15.6" x14ac:dyDescent="0.3">
      <c r="A38" s="42" t="s">
        <v>49</v>
      </c>
      <c r="B38" s="27">
        <f>Seuils!D185</f>
        <v>0</v>
      </c>
      <c r="C38" s="28">
        <f>Seuils!L185</f>
        <v>0</v>
      </c>
      <c r="D38" s="43">
        <f>Seuils!D176</f>
        <v>5538.517499999999</v>
      </c>
      <c r="E38" s="45">
        <f>Seuils!L176</f>
        <v>0</v>
      </c>
    </row>
    <row r="39" spans="1:12" ht="15.6" x14ac:dyDescent="0.3">
      <c r="A39" s="42" t="s">
        <v>50</v>
      </c>
      <c r="B39" s="27">
        <f>B36*15%</f>
        <v>2317.5</v>
      </c>
      <c r="C39" s="28">
        <f>(C32+C33)*Seuils!K6+C35*20%</f>
        <v>2559.1999999999998</v>
      </c>
      <c r="D39" s="43">
        <f>D36*15%</f>
        <v>2138.9857200000001</v>
      </c>
      <c r="E39" s="28">
        <f>(E32+E33)*Seuils!K6+E35*20%</f>
        <v>3250.5671945500003</v>
      </c>
    </row>
    <row r="40" spans="1:12" ht="15.6" x14ac:dyDescent="0.3">
      <c r="A40" s="42" t="s">
        <v>51</v>
      </c>
      <c r="B40" s="27">
        <f>IF(B38&gt;B39,(B38-B39)*16.5%,0)</f>
        <v>0</v>
      </c>
      <c r="C40" s="28"/>
      <c r="D40" s="43">
        <f>IF(D38&gt;D39,(D38-D39)*16.5%,0)</f>
        <v>560.92274369999984</v>
      </c>
      <c r="E40" s="28"/>
    </row>
    <row r="41" spans="1:12" ht="15.6" x14ac:dyDescent="0.3">
      <c r="A41" s="42" t="s">
        <v>35</v>
      </c>
      <c r="B41" s="27"/>
      <c r="C41" s="28">
        <f>Seuils!L187</f>
        <v>0</v>
      </c>
      <c r="D41" s="43"/>
      <c r="E41" s="28">
        <f>Seuils!L178</f>
        <v>0</v>
      </c>
    </row>
    <row r="42" spans="1:12" ht="15.6" x14ac:dyDescent="0.3">
      <c r="A42" s="42" t="s">
        <v>18</v>
      </c>
      <c r="B42" s="27"/>
      <c r="C42" s="28">
        <f>Seuils!V28</f>
        <v>0</v>
      </c>
      <c r="D42" s="43"/>
      <c r="E42" s="28">
        <f>Seuils!L28</f>
        <v>679.1</v>
      </c>
    </row>
    <row r="43" spans="1:12" ht="15.6" x14ac:dyDescent="0.3">
      <c r="A43" s="42" t="s">
        <v>169</v>
      </c>
      <c r="B43" s="29"/>
      <c r="C43" s="30"/>
      <c r="D43" s="46"/>
      <c r="E43" s="30"/>
    </row>
    <row r="44" spans="1:12" ht="16.2" thickBot="1" x14ac:dyDescent="0.35">
      <c r="A44" s="42" t="s">
        <v>133</v>
      </c>
      <c r="B44" s="29">
        <f>B46</f>
        <v>0</v>
      </c>
      <c r="C44" s="30"/>
      <c r="D44" s="46">
        <f>D46</f>
        <v>0</v>
      </c>
      <c r="E44" s="30"/>
    </row>
    <row r="45" spans="1:12" ht="16.2" thickBot="1" x14ac:dyDescent="0.35">
      <c r="A45" s="31" t="s">
        <v>52</v>
      </c>
      <c r="B45" s="32">
        <f>IF(B39&gt;B38-B40+B41+B42+B44,0,B38+B41+B42+B44-B39-B40)</f>
        <v>0</v>
      </c>
      <c r="C45" s="33">
        <f>IF(C39&gt;C38,C41+C42+C44,C38+C41+C42+C44-C39)</f>
        <v>0</v>
      </c>
      <c r="D45" s="47">
        <f>IF(D39&gt;D38-D40+D41+D42+D44,0,D38-D40+D41+D42+D44-D39)</f>
        <v>2838.6090362999989</v>
      </c>
      <c r="E45" s="33">
        <f>IF(E39&gt;E38,E41+E42+E44,E38+E41+E42+E44-E39)</f>
        <v>679.1</v>
      </c>
    </row>
    <row r="46" spans="1:12" ht="15.6" x14ac:dyDescent="0.3">
      <c r="A46" s="48" t="s">
        <v>170</v>
      </c>
      <c r="B46" s="91">
        <f>IF(B6&lt;65,0,IF(AND(B4=1,B27&gt;Seuils!E34),Seuils!E32,IF(AND(B4=1,'Optimisation retraite'!B28&gt;Seuils!E33),(B27-Seuils!E33)*15%,IF(AND(B4=2,Seuils!B110&gt;Seuils!E33,(Seuils!B110-Seuils!E33)*15%&gt;B23),B23,IF(AND(B4=2,Seuils!B110&gt;Seuils!E33),(Seuils!B110-Seuils!E33)*15%,0)))))</f>
        <v>0</v>
      </c>
      <c r="C46" s="49"/>
      <c r="D46" s="91">
        <f>IF(B6&lt;65,0,IF(AND(B4=1,D27&gt;Seuils!E34),Seuils!E32,IF(AND(B4=1,'Optimisation retraite'!D28&gt;Seuils!E33),(D27-Seuils!E33)*15%,IF(AND(B4=2,Seuils!B101&gt;Seuils!E33,(Seuils!B101-Seuils!E33)*15%&gt;B23),B23,IF(AND(B4=2,Seuils!B101&gt;Seuils!E33),(Seuils!B101-Seuils!E33)*15%,0)))))</f>
        <v>0</v>
      </c>
      <c r="E46" s="49">
        <f>E45+D45-(B45+C45)</f>
        <v>3517.7090362999988</v>
      </c>
      <c r="F46" s="7">
        <f>E46/$D$14</f>
        <v>9.5270323772561852E-2</v>
      </c>
    </row>
    <row r="47" spans="1:12" ht="15.6" x14ac:dyDescent="0.3">
      <c r="A47" s="50"/>
      <c r="B47" s="50"/>
      <c r="C47" s="50"/>
      <c r="D47" s="92" t="str">
        <f>IF(D46&gt;0,"Remboursement PSV"," ")</f>
        <v xml:space="preserve"> </v>
      </c>
      <c r="E47" s="50"/>
      <c r="F47" s="588"/>
      <c r="G47" s="589"/>
      <c r="H47" s="589"/>
      <c r="I47" s="589"/>
      <c r="J47" s="589"/>
      <c r="K47" s="589"/>
      <c r="L47" s="589"/>
    </row>
    <row r="48" spans="1:12" ht="15.6" x14ac:dyDescent="0.3">
      <c r="A48" s="39" t="s">
        <v>179</v>
      </c>
      <c r="B48" s="50"/>
      <c r="C48" s="50"/>
      <c r="D48" s="50"/>
      <c r="E48" s="38" t="s">
        <v>84</v>
      </c>
      <c r="F48" s="588"/>
      <c r="G48" s="589"/>
      <c r="H48" s="589"/>
      <c r="I48" s="589"/>
      <c r="J48" s="589"/>
      <c r="K48" s="589"/>
      <c r="L48" s="589"/>
    </row>
    <row r="49" spans="1:7" ht="15.6" x14ac:dyDescent="0.3">
      <c r="A49" s="37" t="s">
        <v>180</v>
      </c>
      <c r="B49" s="21">
        <f>C28-B45-C45</f>
        <v>0</v>
      </c>
      <c r="C49" s="21"/>
      <c r="D49" s="21">
        <f>E28-D45-E45-D46</f>
        <v>33405.740963700002</v>
      </c>
      <c r="E49" s="21">
        <f>D49-B49</f>
        <v>33405.740963700002</v>
      </c>
      <c r="F49" s="85"/>
    </row>
    <row r="50" spans="1:7" ht="15.6" x14ac:dyDescent="0.3">
      <c r="A50" s="37" t="s">
        <v>181</v>
      </c>
      <c r="B50" s="21">
        <f>B25+C25</f>
        <v>0</v>
      </c>
      <c r="C50" s="21"/>
      <c r="D50" s="21">
        <f>D25+E25</f>
        <v>0</v>
      </c>
      <c r="E50" s="21">
        <f t="shared" ref="E50:E53" si="1">D50-B50</f>
        <v>0</v>
      </c>
      <c r="F50" s="85">
        <f>-E50/$D$14</f>
        <v>0</v>
      </c>
    </row>
    <row r="51" spans="1:7" ht="15.6" x14ac:dyDescent="0.3">
      <c r="A51" s="37" t="s">
        <v>182</v>
      </c>
      <c r="B51" s="21">
        <f>Seuils!D59</f>
        <v>462.58</v>
      </c>
      <c r="C51" s="21"/>
      <c r="D51" s="21">
        <f>Seuils!E59</f>
        <v>462.58</v>
      </c>
      <c r="E51" s="21">
        <f t="shared" si="1"/>
        <v>0</v>
      </c>
      <c r="F51" s="85">
        <f>-E51/$D$14</f>
        <v>0</v>
      </c>
    </row>
    <row r="52" spans="1:7" ht="15.6" x14ac:dyDescent="0.3">
      <c r="A52" s="37" t="s">
        <v>183</v>
      </c>
      <c r="B52" s="21">
        <f>Seuils!J59</f>
        <v>1050.6199999999999</v>
      </c>
      <c r="C52" s="21"/>
      <c r="D52" s="21">
        <f>Seuils!K59</f>
        <v>1050.6199999999999</v>
      </c>
      <c r="E52" s="21">
        <f t="shared" si="1"/>
        <v>0</v>
      </c>
      <c r="F52" s="85">
        <f>-E52/$D$14</f>
        <v>0</v>
      </c>
    </row>
    <row r="53" spans="1:7" ht="15.6" x14ac:dyDescent="0.3">
      <c r="A53" s="37" t="s">
        <v>53</v>
      </c>
      <c r="B53" s="21">
        <f>SUM(B49:B52)</f>
        <v>1513.1999999999998</v>
      </c>
      <c r="C53" s="21"/>
      <c r="D53" s="51">
        <f>SUM(D49:D52)</f>
        <v>34918.940963700006</v>
      </c>
      <c r="E53" s="52">
        <f t="shared" si="1"/>
        <v>33405.740963700009</v>
      </c>
      <c r="F53" s="85">
        <f>SUM(F46:F52)</f>
        <v>9.5270323772561852E-2</v>
      </c>
      <c r="G53" s="7"/>
    </row>
    <row r="54" spans="1:7" ht="15.6" x14ac:dyDescent="0.3">
      <c r="A54" s="37"/>
      <c r="B54" s="53"/>
      <c r="C54" s="38"/>
      <c r="D54" s="38"/>
      <c r="E54" s="53"/>
      <c r="F54" s="100"/>
    </row>
    <row r="55" spans="1:7" ht="15.6" x14ac:dyDescent="0.3">
      <c r="A55" s="37" t="s">
        <v>54</v>
      </c>
      <c r="B55" s="51">
        <f>D53</f>
        <v>34918.940963700006</v>
      </c>
      <c r="C55" s="37" t="s">
        <v>55</v>
      </c>
      <c r="D55" s="38"/>
      <c r="E55" s="50"/>
      <c r="F55" s="50"/>
    </row>
    <row r="56" spans="1:7" ht="15.6" x14ac:dyDescent="0.3">
      <c r="A56" s="37" t="s">
        <v>87</v>
      </c>
      <c r="B56" s="52">
        <f>B55-B53</f>
        <v>33405.740963700009</v>
      </c>
      <c r="C56" s="54">
        <f>1-B56/D56</f>
        <v>9.5270323772561616E-2</v>
      </c>
      <c r="D56" s="52">
        <f>D26+E26-C26-B26</f>
        <v>36923.449999999997</v>
      </c>
      <c r="E56" s="50"/>
      <c r="F56" s="50"/>
    </row>
    <row r="57" spans="1:7" x14ac:dyDescent="0.3">
      <c r="A57" s="50"/>
      <c r="B57" s="50"/>
      <c r="C57" s="50"/>
      <c r="D57" s="50"/>
      <c r="E57" s="50"/>
      <c r="F57" s="50"/>
    </row>
    <row r="58" spans="1:7" x14ac:dyDescent="0.3">
      <c r="A58" s="50" t="s">
        <v>374</v>
      </c>
      <c r="B58" s="50"/>
      <c r="C58" s="50"/>
      <c r="D58" s="50"/>
      <c r="E58" s="50"/>
      <c r="F58" s="50"/>
    </row>
    <row r="59" spans="1:7" x14ac:dyDescent="0.3">
      <c r="A59" s="539" t="s">
        <v>377</v>
      </c>
      <c r="B59" s="542">
        <f>J8</f>
        <v>0</v>
      </c>
      <c r="C59" s="50"/>
      <c r="D59" s="50">
        <f>B59</f>
        <v>0</v>
      </c>
      <c r="E59" s="50"/>
      <c r="F59" s="50"/>
    </row>
    <row r="60" spans="1:7" x14ac:dyDescent="0.3">
      <c r="A60" s="539" t="s">
        <v>94</v>
      </c>
      <c r="B60" s="540">
        <f>Seuils!H294</f>
        <v>3.7420000000000002E-2</v>
      </c>
      <c r="C60" s="50"/>
      <c r="D60" s="540">
        <f>B60</f>
        <v>3.7420000000000002E-2</v>
      </c>
      <c r="E60" s="50"/>
      <c r="F60" s="50"/>
    </row>
    <row r="61" spans="1:7" x14ac:dyDescent="0.3">
      <c r="A61" s="539" t="s">
        <v>306</v>
      </c>
      <c r="B61" s="540">
        <f>((1+B60)/(1+' Épargne nécessaire'!G7))-1</f>
        <v>1.4591687041564771E-2</v>
      </c>
      <c r="C61" s="50"/>
      <c r="D61" s="540">
        <f>B61</f>
        <v>1.4591687041564771E-2</v>
      </c>
      <c r="E61" s="50"/>
      <c r="F61" s="50"/>
    </row>
    <row r="62" spans="1:7" x14ac:dyDescent="0.3">
      <c r="A62" s="539" t="s">
        <v>96</v>
      </c>
      <c r="B62" s="540" t="e">
        <f>0.53*B61+1/B59</f>
        <v>#DIV/0!</v>
      </c>
      <c r="C62" s="50"/>
      <c r="D62" s="540" t="e">
        <f>B62</f>
        <v>#DIV/0!</v>
      </c>
      <c r="E62" s="50"/>
      <c r="F62" s="50"/>
    </row>
    <row r="63" spans="1:7" x14ac:dyDescent="0.3">
      <c r="A63" s="539" t="s">
        <v>375</v>
      </c>
      <c r="B63" s="541">
        <f>B18</f>
        <v>0</v>
      </c>
      <c r="C63" s="50"/>
      <c r="D63" s="541">
        <f>B19</f>
        <v>0</v>
      </c>
      <c r="E63" s="50"/>
      <c r="F63" s="50"/>
    </row>
    <row r="64" spans="1:7" x14ac:dyDescent="0.3">
      <c r="A64" s="539" t="s">
        <v>376</v>
      </c>
      <c r="B64" s="88" t="e">
        <f>B63*B62</f>
        <v>#DIV/0!</v>
      </c>
      <c r="C64" s="50"/>
      <c r="D64" s="88" t="e">
        <f>D63*D62</f>
        <v>#DIV/0!</v>
      </c>
      <c r="E64" s="50"/>
      <c r="F64" s="50"/>
    </row>
    <row r="65" spans="1:6" x14ac:dyDescent="0.3">
      <c r="A65" s="50"/>
      <c r="B65" s="50"/>
      <c r="C65" s="50"/>
      <c r="D65" s="50"/>
      <c r="E65" s="50"/>
      <c r="F65" s="50"/>
    </row>
    <row r="66" spans="1:6" x14ac:dyDescent="0.3">
      <c r="A66" s="50"/>
      <c r="B66" s="50"/>
      <c r="C66" s="50"/>
      <c r="D66" s="50"/>
      <c r="E66" s="50"/>
      <c r="F66" s="50"/>
    </row>
    <row r="67" spans="1:6" ht="15.6" x14ac:dyDescent="0.3">
      <c r="A67" s="39" t="s">
        <v>178</v>
      </c>
      <c r="B67" s="50"/>
      <c r="C67" s="50"/>
      <c r="D67" s="50"/>
      <c r="E67" s="50"/>
      <c r="F67" s="50"/>
    </row>
    <row r="68" spans="1:6" ht="15.6" x14ac:dyDescent="0.3">
      <c r="A68" s="37" t="s">
        <v>129</v>
      </c>
      <c r="B68" s="21">
        <f>B53</f>
        <v>1513.1999999999998</v>
      </c>
      <c r="C68" s="38"/>
      <c r="D68" s="21">
        <f>D53</f>
        <v>34918.940963700006</v>
      </c>
      <c r="E68" s="50"/>
      <c r="F68" s="50"/>
    </row>
    <row r="69" spans="1:6" ht="15.6" x14ac:dyDescent="0.3">
      <c r="A69" s="37" t="s">
        <v>127</v>
      </c>
      <c r="B69" s="38">
        <f>Seuils!J61</f>
        <v>209</v>
      </c>
      <c r="C69" s="38"/>
      <c r="D69" s="38">
        <f>Seuils!K61</f>
        <v>0</v>
      </c>
      <c r="E69" s="50"/>
      <c r="F69" s="50"/>
    </row>
    <row r="70" spans="1:6" ht="15.6" x14ac:dyDescent="0.3">
      <c r="A70" s="37" t="s">
        <v>126</v>
      </c>
      <c r="B70" s="21">
        <f>B68+B69</f>
        <v>1722.1999999999998</v>
      </c>
      <c r="C70" s="38"/>
      <c r="D70" s="21">
        <f>D68+D69</f>
        <v>34918.940963700006</v>
      </c>
      <c r="E70" s="50"/>
      <c r="F70" s="50"/>
    </row>
    <row r="71" spans="1:6" ht="15.6" x14ac:dyDescent="0.3">
      <c r="A71" s="50"/>
      <c r="B71" s="38"/>
      <c r="C71" s="38"/>
      <c r="D71" s="38"/>
      <c r="E71" s="50"/>
      <c r="F71" s="50"/>
    </row>
    <row r="72" spans="1:6" ht="15.6" x14ac:dyDescent="0.3">
      <c r="A72" s="37" t="s">
        <v>128</v>
      </c>
      <c r="B72" s="21">
        <f>D70-B70</f>
        <v>33196.740963700009</v>
      </c>
      <c r="C72" s="54">
        <f>1-B72/D72</f>
        <v>0.10093068324601273</v>
      </c>
      <c r="D72" s="21">
        <f>D56</f>
        <v>36923.449999999997</v>
      </c>
      <c r="E72" s="50"/>
      <c r="F72" s="50"/>
    </row>
    <row r="73" spans="1:6" x14ac:dyDescent="0.3">
      <c r="A73" s="50"/>
      <c r="B73" s="50"/>
      <c r="C73" s="50"/>
      <c r="D73" s="50"/>
      <c r="E73" s="50"/>
    </row>
    <row r="74" spans="1:6" ht="15" thickBot="1" x14ac:dyDescent="0.35">
      <c r="A74" s="50"/>
      <c r="B74" s="50"/>
      <c r="C74" s="50"/>
      <c r="D74" s="50"/>
      <c r="E74" s="50"/>
    </row>
    <row r="75" spans="1:6" ht="16.2" thickBot="1" x14ac:dyDescent="0.35">
      <c r="A75" s="55" t="s">
        <v>56</v>
      </c>
      <c r="B75" s="56" t="s">
        <v>57</v>
      </c>
      <c r="C75" s="57"/>
      <c r="D75" s="58" t="s">
        <v>42</v>
      </c>
      <c r="E75" s="285" t="s">
        <v>234</v>
      </c>
    </row>
    <row r="76" spans="1:6" ht="15.6" x14ac:dyDescent="0.3">
      <c r="A76" s="59" t="s">
        <v>88</v>
      </c>
      <c r="B76" s="60">
        <f>D76</f>
        <v>0.42499999999999999</v>
      </c>
      <c r="C76" s="61"/>
      <c r="D76" s="15">
        <f>IF(B8&gt;Seuils!A9,Seuils!E9+Seuils!K9,IF(B8&gt;Seuils!I9,Seuils!E8+Seuils!K9,IF(B8&gt;Seuils!A8,Seuils!E8+Seuils!K8,IF(AND(D8&gt;Seuils!J56/90%,B8&gt;Seuils!A7),37.1%,IF(AND(B4=2,D8&gt;Seuils!J56/90%,B8&lt;Seuils!I7),28.5%,IF(AND(B4=2,D8&gt;Seuils!J56/90%,B8&lt;Seuils!A7),Seuils!K7+Seuils!E6+1%,IF(AND(B4=2,D8&gt;Seuils!D56/90%,B8&lt;Seuils!A7),35%,IF(AND(B4=2,D8&lt;27000),35%,IF(AND(B4=2,D8&lt;32500),45%,IF(AND(B4=2,D8&lt;36000),50%,IF(AND(B4=2,D8&lt;41500),58%,IF(AND(B4=2,D8&lt;47000),45%,IF(AND(B4=1,B8&gt;Seuils!J56/95%),Seuils!E7+Seuils!K7,IF(AND(B4=1,B8&gt;Seuils!D56/95%),44%,IF(AND(B4=1,B8&gt;Seuils!D55/90%),42.5%,IF(AND(B4=1,B8&gt;Seuils!J55/90%),37.5%,IF(AND(B4=1,B8&lt;Seuils!D12+Seuils!D19),30%,IF(AND(B4=1,B8&lt;Seuils!O32),44%,IF(AND(B4=1,B8&lt;Seuils!B277/90%),58%,IF(AND(B4=1,B8&lt;Seuils!O41/90%),37%,IF(AND(B4=1,B8&lt;Seuils!J16),28.5%,IF(AND(B4=1,B8&lt;Seuils!J16/90%),37.5%,IF(AND(B4=2,D8&gt;Seuils!J55+2410),44%,28.5%+10%)))))))))))))))))))))))</f>
        <v>0.42499999999999999</v>
      </c>
      <c r="E76" s="288">
        <f>D76</f>
        <v>0.42499999999999999</v>
      </c>
    </row>
    <row r="77" spans="1:6" ht="15.6" x14ac:dyDescent="0.3">
      <c r="A77" s="62" t="s">
        <v>58</v>
      </c>
      <c r="B77" s="63">
        <f>B79</f>
        <v>11029.137296391424</v>
      </c>
      <c r="C77" s="61"/>
      <c r="D77" s="64">
        <f>+D79/(1-D76)</f>
        <v>19181.108341550302</v>
      </c>
      <c r="E77" s="289">
        <f>PMT(E81,E80,,-E82)</f>
        <v>0</v>
      </c>
    </row>
    <row r="78" spans="1:6" ht="15.6" x14ac:dyDescent="0.3">
      <c r="A78" s="62" t="s">
        <v>83</v>
      </c>
      <c r="B78" s="65"/>
      <c r="C78" s="61"/>
      <c r="D78" s="64">
        <f>+D77*D76</f>
        <v>8151.971045158878</v>
      </c>
      <c r="E78" s="286">
        <f>+E77*E76</f>
        <v>0</v>
      </c>
    </row>
    <row r="79" spans="1:6" ht="15.6" x14ac:dyDescent="0.3">
      <c r="A79" s="62" t="s">
        <v>59</v>
      </c>
      <c r="B79" s="66">
        <f>PMT(D81,D80,,-Seuils!I293)</f>
        <v>11029.137296391424</v>
      </c>
      <c r="C79" s="61"/>
      <c r="D79" s="67">
        <f>B79</f>
        <v>11029.137296391424</v>
      </c>
      <c r="E79" s="287">
        <f>E77-E78</f>
        <v>0</v>
      </c>
    </row>
    <row r="80" spans="1:6" ht="15.6" x14ac:dyDescent="0.3">
      <c r="A80" s="62" t="s">
        <v>85</v>
      </c>
      <c r="B80" s="12">
        <f>' Épargne nécessaire'!E4</f>
        <v>15</v>
      </c>
      <c r="C80" s="68"/>
      <c r="D80" s="69">
        <f>B80</f>
        <v>15</v>
      </c>
      <c r="E80" s="290">
        <f>B80</f>
        <v>15</v>
      </c>
    </row>
    <row r="81" spans="1:10" ht="15.6" x14ac:dyDescent="0.3">
      <c r="A81" s="70" t="s">
        <v>86</v>
      </c>
      <c r="B81" s="13">
        <f>' Épargne nécessaire'!D23</f>
        <v>5.0999999999999997E-2</v>
      </c>
      <c r="C81" s="68"/>
      <c r="D81" s="71">
        <f>B81</f>
        <v>5.0999999999999997E-2</v>
      </c>
      <c r="E81" s="288">
        <f>B81</f>
        <v>5.0999999999999997E-2</v>
      </c>
    </row>
    <row r="82" spans="1:10" ht="16.2" thickBot="1" x14ac:dyDescent="0.35">
      <c r="A82" s="72" t="s">
        <v>60</v>
      </c>
      <c r="B82" s="35">
        <f>FV(B81,B80,-B77)</f>
        <v>239792.03562756503</v>
      </c>
      <c r="C82" s="73"/>
      <c r="D82" s="74">
        <f>FV(D81,D80,-D77)</f>
        <v>417029.62717837392</v>
      </c>
      <c r="E82" s="291">
        <f>B19</f>
        <v>0</v>
      </c>
    </row>
    <row r="83" spans="1:10" x14ac:dyDescent="0.3">
      <c r="A83" s="50"/>
      <c r="B83" s="50"/>
      <c r="C83" s="50"/>
      <c r="D83" s="50"/>
      <c r="E83" s="50"/>
    </row>
    <row r="84" spans="1:10" x14ac:dyDescent="0.3">
      <c r="A84" s="50"/>
      <c r="B84" s="50"/>
      <c r="C84" s="50"/>
      <c r="D84" s="50"/>
      <c r="E84" s="50"/>
    </row>
    <row r="85" spans="1:10" ht="15.6" x14ac:dyDescent="0.3">
      <c r="A85" s="39" t="s">
        <v>61</v>
      </c>
      <c r="B85" s="22">
        <f>B82</f>
        <v>239792.03562756503</v>
      </c>
      <c r="C85" s="38"/>
      <c r="D85" s="22">
        <f>D82</f>
        <v>417029.62717837392</v>
      </c>
      <c r="E85" s="50"/>
      <c r="F85" s="294">
        <f>E82</f>
        <v>0</v>
      </c>
    </row>
    <row r="86" spans="1:10" ht="15.6" x14ac:dyDescent="0.3">
      <c r="A86" s="37" t="s">
        <v>163</v>
      </c>
      <c r="B86" s="14">
        <f>Seuils!H299</f>
        <v>1.4591687041564771E-2</v>
      </c>
      <c r="C86" s="38"/>
      <c r="D86" s="75">
        <f>B86</f>
        <v>1.4591687041564771E-2</v>
      </c>
      <c r="E86" s="50"/>
      <c r="F86" s="96">
        <f>D86</f>
        <v>1.4591687041564771E-2</v>
      </c>
    </row>
    <row r="87" spans="1:10" ht="16.2" thickBot="1" x14ac:dyDescent="0.35">
      <c r="A87" s="38" t="s">
        <v>63</v>
      </c>
      <c r="B87" s="76">
        <f>IF('Optimisation retraite'!B13+'Optimisation retraite'!C13=0,Seuils!I292,Seuils!H347)</f>
        <v>9927.0487290000056</v>
      </c>
      <c r="C87" s="77" t="s">
        <v>100</v>
      </c>
      <c r="D87" s="76">
        <f>D56</f>
        <v>36923.449999999997</v>
      </c>
      <c r="E87" s="77" t="s">
        <v>100</v>
      </c>
      <c r="F87" s="294">
        <f>D87</f>
        <v>36923.449999999997</v>
      </c>
    </row>
    <row r="88" spans="1:10" ht="16.8" thickTop="1" thickBot="1" x14ac:dyDescent="0.35">
      <c r="A88" s="37" t="s">
        <v>62</v>
      </c>
      <c r="B88" s="293">
        <f>NPER(B86,B87,-B85,,1)</f>
        <v>29.461701900493281</v>
      </c>
      <c r="C88" s="79">
        <f>64+B88</f>
        <v>93.461701900493281</v>
      </c>
      <c r="D88" s="78">
        <f>NPER(D86,D87,-D85,,1)</f>
        <v>12.236156959093581</v>
      </c>
      <c r="E88" s="79">
        <f>64+D88</f>
        <v>76.236156959093577</v>
      </c>
      <c r="F88" s="295">
        <f>NPER(F86,F87,-F85,,1)</f>
        <v>0</v>
      </c>
    </row>
    <row r="89" spans="1:10" ht="16.2" thickTop="1" x14ac:dyDescent="0.3">
      <c r="A89" s="37" t="s">
        <v>64</v>
      </c>
      <c r="B89" s="76">
        <f>C119</f>
        <v>14462.085635328287</v>
      </c>
      <c r="C89" s="38"/>
      <c r="D89" s="76">
        <f>E119</f>
        <v>-658623.15443358477</v>
      </c>
      <c r="E89" s="50"/>
      <c r="G89" s="50"/>
      <c r="H89" s="50"/>
      <c r="I89" s="50"/>
    </row>
    <row r="90" spans="1:10" ht="15.6" x14ac:dyDescent="0.3">
      <c r="A90" s="37"/>
      <c r="B90" s="22" t="s">
        <v>238</v>
      </c>
      <c r="C90" s="296" t="s">
        <v>239</v>
      </c>
      <c r="D90" s="22" t="s">
        <v>237</v>
      </c>
      <c r="E90" s="296" t="s">
        <v>240</v>
      </c>
      <c r="G90" s="86" t="s">
        <v>65</v>
      </c>
      <c r="H90" s="86" t="s">
        <v>57</v>
      </c>
      <c r="I90" s="86" t="s">
        <v>45</v>
      </c>
      <c r="J90" s="86" t="s">
        <v>236</v>
      </c>
    </row>
    <row r="91" spans="1:10" ht="15.6" x14ac:dyDescent="0.3">
      <c r="A91" s="80" t="s">
        <v>65</v>
      </c>
      <c r="B91" s="38"/>
      <c r="C91" s="81">
        <f>B82</f>
        <v>239792.03562756503</v>
      </c>
      <c r="D91" s="38"/>
      <c r="E91" s="81">
        <f>D82</f>
        <v>417029.62717837392</v>
      </c>
      <c r="F91" s="82">
        <f>E82</f>
        <v>0</v>
      </c>
      <c r="G91" s="50"/>
      <c r="H91" s="87">
        <f>C91</f>
        <v>239792.03562756503</v>
      </c>
      <c r="I91" s="87">
        <f>E91</f>
        <v>417029.62717837392</v>
      </c>
      <c r="J91" s="292">
        <f>F91</f>
        <v>0</v>
      </c>
    </row>
    <row r="92" spans="1:10" ht="15.6" x14ac:dyDescent="0.3">
      <c r="A92" s="38">
        <v>65</v>
      </c>
      <c r="B92" s="81">
        <f t="shared" ref="B92:B121" si="2">$B$87</f>
        <v>9927.0487290000056</v>
      </c>
      <c r="C92" s="82">
        <f>(C91-B92)*(1+$B$86)</f>
        <v>233219.10484920227</v>
      </c>
      <c r="D92" s="81">
        <f t="shared" ref="D92:D121" si="3">$D$87</f>
        <v>36923.449999999997</v>
      </c>
      <c r="E92" s="82">
        <f>(E91-D92)*(1+$B$86)</f>
        <v>385652.56755832629</v>
      </c>
      <c r="F92" s="82">
        <f>(F91-$D$87)*(1+$B$86)</f>
        <v>-37462.22542689486</v>
      </c>
      <c r="G92" s="50">
        <f>A92</f>
        <v>65</v>
      </c>
      <c r="H92" s="88">
        <f>C92</f>
        <v>233219.10484920227</v>
      </c>
      <c r="I92" s="88">
        <f>E92</f>
        <v>385652.56755832629</v>
      </c>
      <c r="J92" s="292">
        <f t="shared" ref="J92:J121" si="4">F92</f>
        <v>-37462.22542689486</v>
      </c>
    </row>
    <row r="93" spans="1:10" ht="15.6" x14ac:dyDescent="0.3">
      <c r="A93" s="38">
        <f>A92+1</f>
        <v>66</v>
      </c>
      <c r="B93" s="81">
        <f t="shared" si="2"/>
        <v>9927.0487290000056</v>
      </c>
      <c r="C93" s="82">
        <f t="shared" ref="C93:C121" si="5">(C92-B93)*(1+$B$86)</f>
        <v>226550.26392197577</v>
      </c>
      <c r="D93" s="81">
        <f t="shared" si="3"/>
        <v>36923.449999999997</v>
      </c>
      <c r="E93" s="82">
        <f t="shared" ref="E93:E121" si="6">(E92-D93)*(1+$B$86)</f>
        <v>353817.6637040184</v>
      </c>
      <c r="F93" s="82">
        <f t="shared" ref="F93:F121" si="7">(F92-$D$87)*(1+$B$86)</f>
        <v>-75471.08792309952</v>
      </c>
      <c r="G93" s="50">
        <f t="shared" ref="G93:G121" si="8">A93</f>
        <v>66</v>
      </c>
      <c r="H93" s="88">
        <f t="shared" ref="H93:H121" si="9">C93</f>
        <v>226550.26392197577</v>
      </c>
      <c r="I93" s="88">
        <f t="shared" ref="I93:I121" si="10">E93</f>
        <v>353817.6637040184</v>
      </c>
      <c r="J93" s="292">
        <f t="shared" si="4"/>
        <v>-75471.08792309952</v>
      </c>
    </row>
    <row r="94" spans="1:10" ht="15.6" x14ac:dyDescent="0.3">
      <c r="A94" s="38">
        <f t="shared" ref="A94:A121" si="11">A93+1</f>
        <v>67</v>
      </c>
      <c r="B94" s="81">
        <f t="shared" si="2"/>
        <v>9927.0487290000056</v>
      </c>
      <c r="C94" s="82">
        <f t="shared" si="5"/>
        <v>219784.11335500921</v>
      </c>
      <c r="D94" s="81">
        <f t="shared" si="3"/>
        <v>36923.449999999997</v>
      </c>
      <c r="E94" s="82">
        <f t="shared" si="6"/>
        <v>321518.23489567015</v>
      </c>
      <c r="F94" s="82">
        <f t="shared" si="7"/>
        <v>-114034.56384565467</v>
      </c>
      <c r="G94" s="50">
        <f t="shared" si="8"/>
        <v>67</v>
      </c>
      <c r="H94" s="88">
        <f t="shared" si="9"/>
        <v>219784.11335500921</v>
      </c>
      <c r="I94" s="88">
        <f t="shared" si="10"/>
        <v>321518.23489567015</v>
      </c>
      <c r="J94" s="292">
        <f t="shared" si="4"/>
        <v>-114034.56384565467</v>
      </c>
    </row>
    <row r="95" spans="1:10" ht="15.6" x14ac:dyDescent="0.3">
      <c r="A95" s="38">
        <f t="shared" si="11"/>
        <v>68</v>
      </c>
      <c r="B95" s="81">
        <f t="shared" si="2"/>
        <v>9927.0487290000056</v>
      </c>
      <c r="C95" s="82">
        <f t="shared" si="5"/>
        <v>212919.23323649337</v>
      </c>
      <c r="D95" s="81">
        <f t="shared" si="3"/>
        <v>36923.449999999997</v>
      </c>
      <c r="E95" s="82">
        <f t="shared" si="6"/>
        <v>288747.50293052918</v>
      </c>
      <c r="F95" s="82">
        <f t="shared" si="7"/>
        <v>-153160.74594010666</v>
      </c>
      <c r="G95" s="50">
        <f t="shared" si="8"/>
        <v>68</v>
      </c>
      <c r="H95" s="88">
        <f t="shared" si="9"/>
        <v>212919.23323649337</v>
      </c>
      <c r="I95" s="88">
        <f t="shared" si="10"/>
        <v>288747.50293052918</v>
      </c>
      <c r="J95" s="292">
        <f t="shared" si="4"/>
        <v>-153160.74594010666</v>
      </c>
    </row>
    <row r="96" spans="1:10" ht="15.6" x14ac:dyDescent="0.3">
      <c r="A96" s="38">
        <f t="shared" si="11"/>
        <v>69</v>
      </c>
      <c r="B96" s="81">
        <f t="shared" si="2"/>
        <v>9927.0487290000056</v>
      </c>
      <c r="C96" s="82">
        <f t="shared" si="5"/>
        <v>205954.18293571027</v>
      </c>
      <c r="D96" s="81">
        <f t="shared" si="3"/>
        <v>36923.449999999997</v>
      </c>
      <c r="E96" s="82">
        <f t="shared" si="6"/>
        <v>255498.59070042989</v>
      </c>
      <c r="F96" s="82">
        <f t="shared" si="7"/>
        <v>-192857.84503881214</v>
      </c>
      <c r="G96" s="50">
        <f t="shared" si="8"/>
        <v>69</v>
      </c>
      <c r="H96" s="88">
        <f t="shared" si="9"/>
        <v>205954.18293571027</v>
      </c>
      <c r="I96" s="88">
        <f t="shared" si="10"/>
        <v>255498.59070042989</v>
      </c>
      <c r="J96" s="292">
        <f t="shared" si="4"/>
        <v>-192857.84503881214</v>
      </c>
    </row>
    <row r="97" spans="1:10" ht="15.6" x14ac:dyDescent="0.3">
      <c r="A97" s="38">
        <f t="shared" si="11"/>
        <v>70</v>
      </c>
      <c r="B97" s="81">
        <f t="shared" si="2"/>
        <v>9927.0487290000056</v>
      </c>
      <c r="C97" s="82">
        <f t="shared" si="5"/>
        <v>198887.50080070939</v>
      </c>
      <c r="D97" s="81">
        <f t="shared" si="3"/>
        <v>36923.449999999997</v>
      </c>
      <c r="E97" s="82">
        <f t="shared" si="6"/>
        <v>221764.52074859658</v>
      </c>
      <c r="F97" s="82">
        <f t="shared" si="7"/>
        <v>-233134.19178402395</v>
      </c>
      <c r="G97" s="50">
        <f t="shared" si="8"/>
        <v>70</v>
      </c>
      <c r="H97" s="88">
        <f t="shared" si="9"/>
        <v>198887.50080070939</v>
      </c>
      <c r="I97" s="88">
        <f t="shared" si="10"/>
        <v>221764.52074859658</v>
      </c>
      <c r="J97" s="292">
        <f t="shared" si="4"/>
        <v>-233134.19178402395</v>
      </c>
    </row>
    <row r="98" spans="1:10" ht="15.6" x14ac:dyDescent="0.3">
      <c r="A98" s="38">
        <f t="shared" si="11"/>
        <v>71</v>
      </c>
      <c r="B98" s="81">
        <f t="shared" si="2"/>
        <v>9927.0487290000056</v>
      </c>
      <c r="C98" s="82">
        <f t="shared" si="5"/>
        <v>191717.70385157235</v>
      </c>
      <c r="D98" s="81">
        <f t="shared" si="3"/>
        <v>36923.449999999997</v>
      </c>
      <c r="E98" s="82">
        <f t="shared" si="6"/>
        <v>187538.21380538782</v>
      </c>
      <c r="F98" s="82">
        <f t="shared" si="7"/>
        <v>-273998.23837611947</v>
      </c>
      <c r="G98" s="50">
        <f t="shared" si="8"/>
        <v>71</v>
      </c>
      <c r="H98" s="88">
        <f t="shared" si="9"/>
        <v>191717.70385157235</v>
      </c>
      <c r="I98" s="88">
        <f t="shared" si="10"/>
        <v>187538.21380538782</v>
      </c>
      <c r="J98" s="292">
        <f t="shared" si="4"/>
        <v>-273998.23837611947</v>
      </c>
    </row>
    <row r="99" spans="1:10" ht="15.6" x14ac:dyDescent="0.3">
      <c r="A99" s="38">
        <f t="shared" si="11"/>
        <v>72</v>
      </c>
      <c r="B99" s="81">
        <f t="shared" si="2"/>
        <v>9927.0487290000056</v>
      </c>
      <c r="C99" s="82">
        <f t="shared" si="5"/>
        <v>184443.28746920195</v>
      </c>
      <c r="D99" s="81">
        <f t="shared" si="3"/>
        <v>36923.449999999997</v>
      </c>
      <c r="E99" s="82">
        <f t="shared" si="6"/>
        <v>152812.48730267526</v>
      </c>
      <c r="F99" s="82">
        <f t="shared" si="7"/>
        <v>-315458.56034733873</v>
      </c>
      <c r="G99" s="50">
        <f t="shared" si="8"/>
        <v>72</v>
      </c>
      <c r="H99" s="88">
        <f t="shared" si="9"/>
        <v>184443.28746920195</v>
      </c>
      <c r="I99" s="88">
        <f t="shared" si="10"/>
        <v>152812.48730267526</v>
      </c>
      <c r="J99" s="292">
        <f t="shared" si="4"/>
        <v>-315458.56034733873</v>
      </c>
    </row>
    <row r="100" spans="1:10" ht="15.6" x14ac:dyDescent="0.3">
      <c r="A100" s="38">
        <f t="shared" si="11"/>
        <v>73</v>
      </c>
      <c r="B100" s="81">
        <f t="shared" si="2"/>
        <v>9927.0487290000056</v>
      </c>
      <c r="C100" s="82">
        <f t="shared" si="5"/>
        <v>177062.72507956999</v>
      </c>
      <c r="D100" s="81">
        <f t="shared" si="3"/>
        <v>36923.449999999997</v>
      </c>
      <c r="E100" s="82">
        <f t="shared" si="6"/>
        <v>117580.05386654413</v>
      </c>
      <c r="F100" s="82">
        <f t="shared" si="7"/>
        <v>-357523.85836140456</v>
      </c>
      <c r="G100" s="50">
        <f t="shared" si="8"/>
        <v>73</v>
      </c>
      <c r="H100" s="88">
        <f t="shared" si="9"/>
        <v>177062.72507956999</v>
      </c>
      <c r="I100" s="88">
        <f t="shared" si="10"/>
        <v>117580.05386654413</v>
      </c>
      <c r="J100" s="292">
        <f t="shared" si="4"/>
        <v>-357523.85836140456</v>
      </c>
    </row>
    <row r="101" spans="1:10" ht="15.6" x14ac:dyDescent="0.3">
      <c r="A101" s="38">
        <f t="shared" si="11"/>
        <v>74</v>
      </c>
      <c r="B101" s="81">
        <f t="shared" si="2"/>
        <v>9927.0487290000056</v>
      </c>
      <c r="C101" s="82">
        <f t="shared" si="5"/>
        <v>169574.46783335778</v>
      </c>
      <c r="D101" s="81">
        <f t="shared" si="3"/>
        <v>36923.449999999997</v>
      </c>
      <c r="E101" s="82">
        <f t="shared" si="6"/>
        <v>81833.519788000209</v>
      </c>
      <c r="F101" s="82">
        <f t="shared" si="7"/>
        <v>-400202.96003940178</v>
      </c>
      <c r="G101" s="50">
        <f t="shared" si="8"/>
        <v>74</v>
      </c>
      <c r="H101" s="88">
        <f t="shared" si="9"/>
        <v>169574.46783335778</v>
      </c>
      <c r="I101" s="88">
        <f t="shared" si="10"/>
        <v>81833.519788000209</v>
      </c>
      <c r="J101" s="292">
        <f t="shared" si="4"/>
        <v>-400202.96003940178</v>
      </c>
    </row>
    <row r="102" spans="1:10" ht="15.6" x14ac:dyDescent="0.3">
      <c r="A102" s="38">
        <f t="shared" si="11"/>
        <v>75</v>
      </c>
      <c r="B102" s="81">
        <f t="shared" si="2"/>
        <v>9927.0487290000056</v>
      </c>
      <c r="C102" s="82">
        <f t="shared" si="5"/>
        <v>161976.94428092209</v>
      </c>
      <c r="D102" s="81">
        <f t="shared" si="3"/>
        <v>36923.449999999997</v>
      </c>
      <c r="E102" s="82">
        <f t="shared" si="6"/>
        <v>45565.383471361543</v>
      </c>
      <c r="F102" s="82">
        <f t="shared" si="7"/>
        <v>-443504.82181229943</v>
      </c>
      <c r="G102" s="50">
        <f t="shared" si="8"/>
        <v>75</v>
      </c>
      <c r="H102" s="88">
        <f t="shared" si="9"/>
        <v>161976.94428092209</v>
      </c>
      <c r="I102" s="88">
        <f t="shared" si="10"/>
        <v>45565.383471361543</v>
      </c>
      <c r="J102" s="292">
        <f t="shared" si="4"/>
        <v>-443504.82181229943</v>
      </c>
    </row>
    <row r="103" spans="1:10" ht="15.6" x14ac:dyDescent="0.3">
      <c r="A103" s="38">
        <f t="shared" si="11"/>
        <v>76</v>
      </c>
      <c r="B103" s="81">
        <f t="shared" si="2"/>
        <v>9927.0487290000056</v>
      </c>
      <c r="C103" s="82">
        <f t="shared" si="5"/>
        <v>154268.56004251834</v>
      </c>
      <c r="D103" s="81">
        <f t="shared" si="3"/>
        <v>36923.449999999997</v>
      </c>
      <c r="E103" s="82">
        <f t="shared" si="6"/>
        <v>8768.0338600096766</v>
      </c>
      <c r="F103" s="82">
        <f t="shared" si="7"/>
        <v>-487438.53080050432</v>
      </c>
      <c r="G103" s="50">
        <f t="shared" si="8"/>
        <v>76</v>
      </c>
      <c r="H103" s="88">
        <f t="shared" si="9"/>
        <v>154268.56004251834</v>
      </c>
      <c r="I103" s="88">
        <f t="shared" si="10"/>
        <v>8768.0338600096766</v>
      </c>
      <c r="J103" s="292">
        <f t="shared" si="4"/>
        <v>-487438.53080050432</v>
      </c>
    </row>
    <row r="104" spans="1:10" ht="15.6" x14ac:dyDescent="0.3">
      <c r="A104" s="38">
        <f t="shared" si="11"/>
        <v>77</v>
      </c>
      <c r="B104" s="81">
        <f t="shared" si="2"/>
        <v>9927.0487290000056</v>
      </c>
      <c r="C104" s="82">
        <f t="shared" si="5"/>
        <v>146447.69747371168</v>
      </c>
      <c r="D104" s="81">
        <f t="shared" si="3"/>
        <v>36923.449999999997</v>
      </c>
      <c r="E104" s="82">
        <f t="shared" si="6"/>
        <v>-28566.251160830081</v>
      </c>
      <c r="F104" s="82">
        <f t="shared" si="7"/>
        <v>-532013.30672084028</v>
      </c>
      <c r="G104" s="50">
        <f t="shared" si="8"/>
        <v>77</v>
      </c>
      <c r="H104" s="88">
        <f t="shared" si="9"/>
        <v>146447.69747371168</v>
      </c>
      <c r="I104" s="88">
        <f t="shared" si="10"/>
        <v>-28566.251160830081</v>
      </c>
      <c r="J104" s="292">
        <f t="shared" si="4"/>
        <v>-532013.30672084028</v>
      </c>
    </row>
    <row r="105" spans="1:10" ht="15.6" x14ac:dyDescent="0.3">
      <c r="A105" s="38">
        <f t="shared" si="11"/>
        <v>78</v>
      </c>
      <c r="B105" s="81">
        <f t="shared" si="2"/>
        <v>9927.0487290000056</v>
      </c>
      <c r="C105" s="82">
        <f t="shared" si="5"/>
        <v>138512.71532590591</v>
      </c>
      <c r="D105" s="81">
        <f t="shared" si="3"/>
        <v>36923.449999999997</v>
      </c>
      <c r="E105" s="82">
        <f t="shared" si="6"/>
        <v>-66445.306384614509</v>
      </c>
      <c r="F105" s="82">
        <f t="shared" si="7"/>
        <v>-577238.50382135366</v>
      </c>
      <c r="G105" s="50">
        <f t="shared" si="8"/>
        <v>78</v>
      </c>
      <c r="H105" s="88">
        <f t="shared" si="9"/>
        <v>138512.71532590591</v>
      </c>
      <c r="I105" s="88">
        <f t="shared" si="10"/>
        <v>-66445.306384614509</v>
      </c>
      <c r="J105" s="292">
        <f t="shared" si="4"/>
        <v>-577238.50382135366</v>
      </c>
    </row>
    <row r="106" spans="1:10" ht="15.6" x14ac:dyDescent="0.3">
      <c r="A106" s="38">
        <f t="shared" si="11"/>
        <v>79</v>
      </c>
      <c r="B106" s="81">
        <f t="shared" si="2"/>
        <v>9927.0487290000056</v>
      </c>
      <c r="C106" s="82">
        <f t="shared" si="5"/>
        <v>130461.94840191895</v>
      </c>
      <c r="D106" s="81">
        <f t="shared" si="3"/>
        <v>36923.449999999997</v>
      </c>
      <c r="E106" s="82">
        <f t="shared" si="6"/>
        <v>-104877.08092765455</v>
      </c>
      <c r="F106" s="82">
        <f t="shared" si="7"/>
        <v>-623123.61284435075</v>
      </c>
      <c r="G106" s="50">
        <f t="shared" si="8"/>
        <v>79</v>
      </c>
      <c r="H106" s="88">
        <f t="shared" si="9"/>
        <v>130461.94840191895</v>
      </c>
      <c r="I106" s="88">
        <f t="shared" si="10"/>
        <v>-104877.08092765455</v>
      </c>
      <c r="J106" s="292">
        <f t="shared" si="4"/>
        <v>-623123.61284435075</v>
      </c>
    </row>
    <row r="107" spans="1:10" ht="15.6" x14ac:dyDescent="0.3">
      <c r="A107" s="38">
        <f t="shared" si="11"/>
        <v>80</v>
      </c>
      <c r="B107" s="81">
        <f t="shared" si="2"/>
        <v>9927.0487290000056</v>
      </c>
      <c r="C107" s="82">
        <f t="shared" si="5"/>
        <v>122293.70720653259</v>
      </c>
      <c r="D107" s="81">
        <f t="shared" si="3"/>
        <v>36923.449999999997</v>
      </c>
      <c r="E107" s="82">
        <f t="shared" si="6"/>
        <v>-143869.6398972786</v>
      </c>
      <c r="F107" s="82">
        <f t="shared" si="7"/>
        <v>-669678.26301807945</v>
      </c>
      <c r="G107" s="50">
        <f t="shared" si="8"/>
        <v>80</v>
      </c>
      <c r="H107" s="88">
        <f t="shared" si="9"/>
        <v>122293.70720653259</v>
      </c>
      <c r="I107" s="88">
        <f t="shared" si="10"/>
        <v>-143869.6398972786</v>
      </c>
      <c r="J107" s="292">
        <f t="shared" si="4"/>
        <v>-669678.26301807945</v>
      </c>
    </row>
    <row r="108" spans="1:10" ht="15.6" x14ac:dyDescent="0.3">
      <c r="A108" s="38">
        <f t="shared" si="11"/>
        <v>81</v>
      </c>
      <c r="B108" s="81">
        <f t="shared" si="2"/>
        <v>9927.0487290000056</v>
      </c>
      <c r="C108" s="82">
        <f t="shared" si="5"/>
        <v>114006.27759194313</v>
      </c>
      <c r="D108" s="81">
        <f t="shared" si="3"/>
        <v>36923.449999999997</v>
      </c>
      <c r="E108" s="82">
        <f t="shared" si="6"/>
        <v>-183431.16608433716</v>
      </c>
      <c r="F108" s="82">
        <f t="shared" si="7"/>
        <v>-716912.22407747281</v>
      </c>
      <c r="G108" s="50">
        <f t="shared" si="8"/>
        <v>81</v>
      </c>
      <c r="H108" s="88">
        <f t="shared" si="9"/>
        <v>114006.27759194313</v>
      </c>
      <c r="I108" s="88">
        <f t="shared" si="10"/>
        <v>-183431.16608433716</v>
      </c>
      <c r="J108" s="292">
        <f t="shared" si="4"/>
        <v>-716912.22407747281</v>
      </c>
    </row>
    <row r="109" spans="1:10" ht="15.6" x14ac:dyDescent="0.3">
      <c r="A109" s="38">
        <f t="shared" si="11"/>
        <v>82</v>
      </c>
      <c r="B109" s="81">
        <f t="shared" si="2"/>
        <v>9927.0487290000056</v>
      </c>
      <c r="C109" s="82">
        <f t="shared" si="5"/>
        <v>105597.92039803859</v>
      </c>
      <c r="D109" s="81">
        <f t="shared" si="3"/>
        <v>36923.449999999997</v>
      </c>
      <c r="E109" s="82">
        <f t="shared" si="6"/>
        <v>-223569.96168040397</v>
      </c>
      <c r="F109" s="82">
        <f t="shared" si="7"/>
        <v>-764835.40831437823</v>
      </c>
      <c r="G109" s="50">
        <f t="shared" si="8"/>
        <v>82</v>
      </c>
      <c r="H109" s="88">
        <f t="shared" si="9"/>
        <v>105597.92039803859</v>
      </c>
      <c r="I109" s="88">
        <f t="shared" si="10"/>
        <v>-223569.96168040397</v>
      </c>
      <c r="J109" s="292">
        <f t="shared" si="4"/>
        <v>-764835.40831437823</v>
      </c>
    </row>
    <row r="110" spans="1:10" ht="15.6" x14ac:dyDescent="0.3">
      <c r="A110" s="38">
        <f t="shared" si="11"/>
        <v>83</v>
      </c>
      <c r="B110" s="81">
        <f t="shared" si="2"/>
        <v>9927.0487290000056</v>
      </c>
      <c r="C110" s="82">
        <f t="shared" si="5"/>
        <v>97066.871087426902</v>
      </c>
      <c r="D110" s="81">
        <f t="shared" si="3"/>
        <v>36923.449999999997</v>
      </c>
      <c r="E110" s="82">
        <f t="shared" si="6"/>
        <v>-264294.45002003392</v>
      </c>
      <c r="F110" s="82">
        <f t="shared" si="7"/>
        <v>-813457.87265770382</v>
      </c>
      <c r="G110" s="50">
        <f t="shared" si="8"/>
        <v>83</v>
      </c>
      <c r="H110" s="88">
        <f t="shared" si="9"/>
        <v>97066.871087426902</v>
      </c>
      <c r="I110" s="88">
        <f t="shared" si="10"/>
        <v>-264294.45002003392</v>
      </c>
      <c r="J110" s="292">
        <f t="shared" si="4"/>
        <v>-813457.87265770382</v>
      </c>
    </row>
    <row r="111" spans="1:10" ht="15.6" x14ac:dyDescent="0.3">
      <c r="A111" s="38">
        <f t="shared" si="11"/>
        <v>84</v>
      </c>
      <c r="B111" s="81">
        <f t="shared" si="2"/>
        <v>9927.0487290000056</v>
      </c>
      <c r="C111" s="82">
        <f t="shared" si="5"/>
        <v>88411.339375138617</v>
      </c>
      <c r="D111" s="81">
        <f t="shared" si="3"/>
        <v>36923.449999999997</v>
      </c>
      <c r="E111" s="82">
        <f t="shared" si="6"/>
        <v>-305613.1773484436</v>
      </c>
      <c r="F111" s="82">
        <f t="shared" si="7"/>
        <v>-862789.82078391686</v>
      </c>
      <c r="G111" s="50">
        <f t="shared" si="8"/>
        <v>84</v>
      </c>
      <c r="H111" s="88">
        <f t="shared" si="9"/>
        <v>88411.339375138617</v>
      </c>
      <c r="I111" s="88">
        <f t="shared" si="10"/>
        <v>-305613.1773484436</v>
      </c>
      <c r="J111" s="292">
        <f t="shared" si="4"/>
        <v>-862789.82078391686</v>
      </c>
    </row>
    <row r="112" spans="1:10" ht="15.6" x14ac:dyDescent="0.3">
      <c r="A112" s="38">
        <f t="shared" si="11"/>
        <v>85</v>
      </c>
      <c r="B112" s="81">
        <f t="shared" si="2"/>
        <v>9927.0487290000056</v>
      </c>
      <c r="C112" s="82">
        <f t="shared" si="5"/>
        <v>79629.508852926287</v>
      </c>
      <c r="D112" s="81">
        <f t="shared" si="3"/>
        <v>36923.449999999997</v>
      </c>
      <c r="E112" s="82">
        <f t="shared" si="6"/>
        <v>-347534.8146149852</v>
      </c>
      <c r="F112" s="82">
        <f t="shared" si="7"/>
        <v>-912841.60525833839</v>
      </c>
      <c r="G112" s="50">
        <f t="shared" si="8"/>
        <v>85</v>
      </c>
      <c r="H112" s="88">
        <f t="shared" si="9"/>
        <v>79629.508852926287</v>
      </c>
      <c r="I112" s="88">
        <f t="shared" si="10"/>
        <v>-347534.8146149852</v>
      </c>
      <c r="J112" s="292">
        <f t="shared" si="4"/>
        <v>-912841.60525833839</v>
      </c>
    </row>
    <row r="113" spans="1:10" ht="15.6" x14ac:dyDescent="0.3">
      <c r="A113" s="38">
        <f t="shared" si="11"/>
        <v>86</v>
      </c>
      <c r="B113" s="81">
        <f t="shared" si="2"/>
        <v>9927.0487290000056</v>
      </c>
      <c r="C113" s="82">
        <f t="shared" si="5"/>
        <v>70719.536608081762</v>
      </c>
      <c r="D113" s="81">
        <f t="shared" si="3"/>
        <v>36923.449999999997</v>
      </c>
      <c r="E113" s="82">
        <f t="shared" si="6"/>
        <v>-390068.15929279017</v>
      </c>
      <c r="F113" s="82">
        <f t="shared" si="7"/>
        <v>-963623.72970768251</v>
      </c>
      <c r="G113" s="50">
        <f t="shared" si="8"/>
        <v>86</v>
      </c>
      <c r="H113" s="88">
        <f t="shared" si="9"/>
        <v>70719.536608081762</v>
      </c>
      <c r="I113" s="88">
        <f t="shared" si="10"/>
        <v>-390068.15929279017</v>
      </c>
      <c r="J113" s="292">
        <f t="shared" si="4"/>
        <v>-963623.72970768251</v>
      </c>
    </row>
    <row r="114" spans="1:10" ht="15.6" x14ac:dyDescent="0.3">
      <c r="A114" s="38">
        <f t="shared" si="11"/>
        <v>87</v>
      </c>
      <c r="B114" s="81">
        <f t="shared" si="2"/>
        <v>9927.0487290000056</v>
      </c>
      <c r="C114" s="82">
        <f t="shared" si="5"/>
        <v>61679.552836691444</v>
      </c>
      <c r="D114" s="81">
        <f t="shared" si="3"/>
        <v>36923.449999999997</v>
      </c>
      <c r="E114" s="82">
        <f t="shared" si="6"/>
        <v>-433222.13722496468</v>
      </c>
      <c r="F114" s="82">
        <f t="shared" si="7"/>
        <v>-1015146.8510242972</v>
      </c>
      <c r="G114" s="50">
        <f t="shared" si="8"/>
        <v>87</v>
      </c>
      <c r="H114" s="88">
        <f t="shared" si="9"/>
        <v>61679.552836691444</v>
      </c>
      <c r="I114" s="88">
        <f t="shared" si="10"/>
        <v>-433222.13722496468</v>
      </c>
      <c r="J114" s="292">
        <f t="shared" si="4"/>
        <v>-1015146.8510242972</v>
      </c>
    </row>
    <row r="115" spans="1:10" ht="15.6" x14ac:dyDescent="0.3">
      <c r="A115" s="38">
        <f t="shared" si="11"/>
        <v>88</v>
      </c>
      <c r="B115" s="81">
        <f t="shared" si="2"/>
        <v>9927.0487290000056</v>
      </c>
      <c r="C115" s="82">
        <f t="shared" si="5"/>
        <v>52507.660451248164</v>
      </c>
      <c r="D115" s="81">
        <f t="shared" si="3"/>
        <v>36923.449999999997</v>
      </c>
      <c r="E115" s="82">
        <f t="shared" si="6"/>
        <v>-477005.80449772405</v>
      </c>
      <c r="F115" s="82">
        <f t="shared" si="7"/>
        <v>-1067421.7816025687</v>
      </c>
      <c r="G115" s="50">
        <f t="shared" si="8"/>
        <v>88</v>
      </c>
      <c r="H115" s="88">
        <f t="shared" si="9"/>
        <v>52507.660451248164</v>
      </c>
      <c r="I115" s="88">
        <f t="shared" si="10"/>
        <v>-477005.80449772405</v>
      </c>
      <c r="J115" s="292">
        <f t="shared" si="4"/>
        <v>-1067421.7816025687</v>
      </c>
    </row>
    <row r="116" spans="1:10" ht="15.6" x14ac:dyDescent="0.3">
      <c r="A116" s="38">
        <f t="shared" si="11"/>
        <v>89</v>
      </c>
      <c r="B116" s="81">
        <f t="shared" si="2"/>
        <v>9927.0487290000056</v>
      </c>
      <c r="C116" s="82">
        <f t="shared" si="5"/>
        <v>43201.934682537583</v>
      </c>
      <c r="D116" s="81">
        <f t="shared" si="3"/>
        <v>36923.449999999997</v>
      </c>
      <c r="E116" s="82">
        <f t="shared" si="6"/>
        <v>-521428.34934085957</v>
      </c>
      <c r="F116" s="82">
        <f t="shared" si="7"/>
        <v>-1120459.4916079578</v>
      </c>
      <c r="G116" s="50">
        <f t="shared" si="8"/>
        <v>89</v>
      </c>
      <c r="H116" s="88">
        <f t="shared" si="9"/>
        <v>43201.934682537583</v>
      </c>
      <c r="I116" s="88">
        <f t="shared" si="10"/>
        <v>-521428.34934085957</v>
      </c>
      <c r="J116" s="292">
        <f t="shared" si="4"/>
        <v>-1120459.4916079578</v>
      </c>
    </row>
    <row r="117" spans="1:10" ht="15.6" x14ac:dyDescent="0.3">
      <c r="A117" s="38">
        <f t="shared" si="11"/>
        <v>90</v>
      </c>
      <c r="B117" s="81">
        <f t="shared" si="2"/>
        <v>9927.0487290000056</v>
      </c>
      <c r="C117" s="82">
        <f t="shared" si="5"/>
        <v>33760.422675715359</v>
      </c>
      <c r="D117" s="81">
        <f t="shared" si="3"/>
        <v>36923.449999999997</v>
      </c>
      <c r="E117" s="82">
        <f t="shared" si="6"/>
        <v>-566499.09405593586</v>
      </c>
      <c r="F117" s="82">
        <f t="shared" si="7"/>
        <v>-1174271.1112791467</v>
      </c>
      <c r="G117" s="50">
        <f t="shared" si="8"/>
        <v>90</v>
      </c>
      <c r="H117" s="88">
        <f t="shared" si="9"/>
        <v>33760.422675715359</v>
      </c>
      <c r="I117" s="88">
        <f t="shared" si="10"/>
        <v>-566499.09405593586</v>
      </c>
      <c r="J117" s="292">
        <f t="shared" si="4"/>
        <v>-1174271.1112791467</v>
      </c>
    </row>
    <row r="118" spans="1:10" ht="15.6" x14ac:dyDescent="0.3">
      <c r="A118" s="38">
        <f t="shared" si="11"/>
        <v>91</v>
      </c>
      <c r="B118" s="81">
        <f t="shared" si="2"/>
        <v>9927.0487290000056</v>
      </c>
      <c r="C118" s="82">
        <f t="shared" si="5"/>
        <v>24181.143080490408</v>
      </c>
      <c r="D118" s="81">
        <f t="shared" si="3"/>
        <v>36923.449999999997</v>
      </c>
      <c r="E118" s="82">
        <f t="shared" si="6"/>
        <v>-612227.49697262491</v>
      </c>
      <c r="F118" s="82">
        <f t="shared" si="7"/>
        <v>-1228867.9332637773</v>
      </c>
      <c r="G118" s="50">
        <f t="shared" si="8"/>
        <v>91</v>
      </c>
      <c r="H118" s="88">
        <f t="shared" si="9"/>
        <v>24181.143080490408</v>
      </c>
      <c r="I118" s="88">
        <f t="shared" si="10"/>
        <v>-612227.49697262491</v>
      </c>
      <c r="J118" s="292">
        <f t="shared" si="4"/>
        <v>-1228867.9332637773</v>
      </c>
    </row>
    <row r="119" spans="1:10" ht="15.6" x14ac:dyDescent="0.3">
      <c r="A119" s="38">
        <f t="shared" si="11"/>
        <v>92</v>
      </c>
      <c r="B119" s="81">
        <f t="shared" si="2"/>
        <v>9927.0487290000056</v>
      </c>
      <c r="C119" s="82">
        <f t="shared" si="5"/>
        <v>14462.085635328287</v>
      </c>
      <c r="D119" s="81">
        <f t="shared" si="3"/>
        <v>36923.449999999997</v>
      </c>
      <c r="E119" s="82">
        <f t="shared" si="6"/>
        <v>-658623.15443358477</v>
      </c>
      <c r="F119" s="82">
        <f t="shared" si="7"/>
        <v>-1284261.4149882717</v>
      </c>
      <c r="G119" s="50">
        <f t="shared" si="8"/>
        <v>92</v>
      </c>
      <c r="H119" s="88">
        <f t="shared" si="9"/>
        <v>14462.085635328287</v>
      </c>
      <c r="I119" s="88">
        <f t="shared" si="10"/>
        <v>-658623.15443358477</v>
      </c>
      <c r="J119" s="292">
        <f t="shared" si="4"/>
        <v>-1284261.4149882717</v>
      </c>
    </row>
    <row r="120" spans="1:10" ht="15.6" x14ac:dyDescent="0.3">
      <c r="A120" s="38">
        <f t="shared" si="11"/>
        <v>93</v>
      </c>
      <c r="B120" s="81">
        <f t="shared" si="2"/>
        <v>9927.0487290000056</v>
      </c>
      <c r="C120" s="82">
        <f t="shared" si="5"/>
        <v>4601.2107455873702</v>
      </c>
      <c r="D120" s="81">
        <f t="shared" si="3"/>
        <v>36923.449999999997</v>
      </c>
      <c r="E120" s="82">
        <f t="shared" si="6"/>
        <v>-705695.80280830269</v>
      </c>
      <c r="F120" s="82">
        <f t="shared" si="7"/>
        <v>-1340463.1810622325</v>
      </c>
      <c r="G120" s="50">
        <f t="shared" si="8"/>
        <v>93</v>
      </c>
      <c r="H120" s="88">
        <f t="shared" si="9"/>
        <v>4601.2107455873702</v>
      </c>
      <c r="I120" s="88">
        <f t="shared" si="10"/>
        <v>-705695.80280830269</v>
      </c>
      <c r="J120" s="292">
        <f t="shared" si="4"/>
        <v>-1340463.1810622325</v>
      </c>
    </row>
    <row r="121" spans="1:10" ht="15.6" x14ac:dyDescent="0.3">
      <c r="A121" s="38">
        <f t="shared" si="11"/>
        <v>94</v>
      </c>
      <c r="B121" s="81">
        <f t="shared" si="2"/>
        <v>9927.0487290000056</v>
      </c>
      <c r="C121" s="82">
        <f t="shared" si="5"/>
        <v>-5403.550944500671</v>
      </c>
      <c r="D121" s="81">
        <f t="shared" si="3"/>
        <v>36923.449999999997</v>
      </c>
      <c r="E121" s="82">
        <f t="shared" si="6"/>
        <v>-753455.32053632208</v>
      </c>
      <c r="F121" s="82">
        <f t="shared" si="7"/>
        <v>-1397485.0257179278</v>
      </c>
      <c r="G121" s="50">
        <f t="shared" si="8"/>
        <v>94</v>
      </c>
      <c r="H121" s="88">
        <f t="shared" si="9"/>
        <v>-5403.550944500671</v>
      </c>
      <c r="I121" s="88">
        <f t="shared" si="10"/>
        <v>-753455.32053632208</v>
      </c>
      <c r="J121" s="292">
        <f t="shared" si="4"/>
        <v>-1397485.0257179278</v>
      </c>
    </row>
  </sheetData>
  <sheetProtection algorithmName="SHA-512" hashValue="7uqu9YvAv8Z0JJNHC5feCT38n+k7bi62ubgxdkS99bsblrqTpJi281wgruh1qRsKSXwmN8z/8k7WKOqluWwhoA==" saltValue="yGRovVAARbBwCMOUcla6Og==" spinCount="100000" sheet="1" objects="1" scenarios="1"/>
  <mergeCells count="8">
    <mergeCell ref="F47:L47"/>
    <mergeCell ref="F48:L48"/>
    <mergeCell ref="A1:E1"/>
    <mergeCell ref="K14:M14"/>
    <mergeCell ref="B22:C22"/>
    <mergeCell ref="D22:E22"/>
    <mergeCell ref="B30:C30"/>
    <mergeCell ref="D30:E30"/>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E0D52-8A56-459E-B96B-7F77CE9BA96B}">
  <dimension ref="A1:N121"/>
  <sheetViews>
    <sheetView workbookViewId="0">
      <selection activeCell="B15" sqref="B15"/>
    </sheetView>
  </sheetViews>
  <sheetFormatPr baseColWidth="10" defaultRowHeight="14.4" x14ac:dyDescent="0.3"/>
  <cols>
    <col min="1" max="1" width="45.21875" customWidth="1"/>
  </cols>
  <sheetData>
    <row r="1" spans="1:14" ht="21" x14ac:dyDescent="0.4">
      <c r="A1" s="591" t="s">
        <v>167</v>
      </c>
      <c r="B1" s="592"/>
      <c r="C1" s="592"/>
      <c r="D1" s="592"/>
      <c r="E1" s="592"/>
    </row>
    <row r="2" spans="1:14" ht="21" x14ac:dyDescent="0.4">
      <c r="A2" s="6"/>
    </row>
    <row r="3" spans="1:14" x14ac:dyDescent="0.3">
      <c r="B3" t="s">
        <v>67</v>
      </c>
      <c r="C3" t="s">
        <v>68</v>
      </c>
      <c r="D3" t="s">
        <v>69</v>
      </c>
      <c r="F3" s="50" t="s">
        <v>102</v>
      </c>
      <c r="G3" s="50"/>
    </row>
    <row r="4" spans="1:14" ht="15.6" x14ac:dyDescent="0.3">
      <c r="A4" s="1" t="s">
        <v>66</v>
      </c>
      <c r="B4" s="10">
        <f>'Optimisation retraite'!B4</f>
        <v>1</v>
      </c>
      <c r="C4" s="19"/>
      <c r="F4" s="50" t="s">
        <v>67</v>
      </c>
      <c r="G4" s="50" t="s">
        <v>103</v>
      </c>
    </row>
    <row r="5" spans="1:14" ht="15.6" x14ac:dyDescent="0.3">
      <c r="A5" s="1" t="s">
        <v>256</v>
      </c>
      <c r="B5" s="20">
        <f>'Optimisation retraite'!B5</f>
        <v>50</v>
      </c>
      <c r="C5" s="20">
        <f>'Optimisation retraite'!C5</f>
        <v>0</v>
      </c>
      <c r="D5" t="s">
        <v>69</v>
      </c>
      <c r="F5" s="50">
        <f>IF(B5&gt;=65,0,65-B5)</f>
        <v>15</v>
      </c>
      <c r="G5" s="50">
        <f>IF(B4=1,0,IF(C5&gt;=65,0,65-C5))</f>
        <v>0</v>
      </c>
      <c r="H5" s="305">
        <f>MAX(F5,G5)</f>
        <v>15</v>
      </c>
    </row>
    <row r="6" spans="1:14" ht="15.6" x14ac:dyDescent="0.3">
      <c r="A6" s="1" t="s">
        <v>266</v>
      </c>
      <c r="B6" s="20">
        <f>'Optimisation retraite'!B6</f>
        <v>65</v>
      </c>
      <c r="C6" s="20">
        <f>'Optimisation retraite'!C6</f>
        <v>0</v>
      </c>
      <c r="F6" s="50">
        <f>IF(B6&gt;=60,0,60-B6)</f>
        <v>0</v>
      </c>
      <c r="G6" s="50">
        <f>IF(B4=1,0,IF(C6&gt;=60,0,60-C6))</f>
        <v>0</v>
      </c>
      <c r="H6" s="305">
        <f>MAX(F6,G6)</f>
        <v>0</v>
      </c>
      <c r="I6">
        <f>ABS(B6-C6)</f>
        <v>65</v>
      </c>
    </row>
    <row r="7" spans="1:14" ht="16.2" thickBot="1" x14ac:dyDescent="0.35">
      <c r="A7" s="1" t="s">
        <v>378</v>
      </c>
      <c r="B7" s="20" t="b">
        <f>F10</f>
        <v>0</v>
      </c>
      <c r="C7" s="20">
        <f>IF(B4=1,0,G10)</f>
        <v>0</v>
      </c>
      <c r="F7" s="50">
        <f>IF(B6&gt;=55,0,55-B6)</f>
        <v>0</v>
      </c>
      <c r="G7" s="50">
        <f>IF(C6&gt;=55,0,55-C6)</f>
        <v>55</v>
      </c>
      <c r="H7" s="305">
        <f>MAX(F7,G7)</f>
        <v>55</v>
      </c>
      <c r="I7">
        <f>MIN(B6:C6)</f>
        <v>0</v>
      </c>
      <c r="J7">
        <f>IF(I7&lt;55,55-I7,I7-55)</f>
        <v>55</v>
      </c>
    </row>
    <row r="8" spans="1:14" ht="16.2" thickBot="1" x14ac:dyDescent="0.35">
      <c r="A8" s="5" t="s">
        <v>78</v>
      </c>
      <c r="B8" s="11">
        <f>'Optimisation retraite'!B7</f>
        <v>50000</v>
      </c>
      <c r="C8" s="11">
        <f>'Optimisation retraite'!C7</f>
        <v>0</v>
      </c>
      <c r="D8" s="21">
        <f>SUM(B8:C8)</f>
        <v>50000</v>
      </c>
      <c r="E8" s="96"/>
      <c r="F8" s="85">
        <f>IF(AND(B8=6,B10&gt;0),F10/(F10+G10),B8/(B8+C8))</f>
        <v>1</v>
      </c>
      <c r="G8" s="85">
        <f>100%-F8</f>
        <v>0</v>
      </c>
      <c r="H8">
        <f>MAX(B6,C6)</f>
        <v>65</v>
      </c>
      <c r="I8">
        <f>IF(B4=1,0,IF(AND(B4=2,I7&gt;59),0,IF(AND(B4=2,I7&gt;55),60-I7,65-(H8+J7))))</f>
        <v>0</v>
      </c>
      <c r="J8" s="544">
        <f>IF(B4=1,0,N8)</f>
        <v>0</v>
      </c>
      <c r="N8">
        <f>IF(AND(B4=2,I7&lt;5,I6&gt;4),55-I7,'conj #1 60-65 &amp; # 2 55-60'!I10-'2 X &lt; 60'!I10)</f>
        <v>60</v>
      </c>
    </row>
    <row r="9" spans="1:14" ht="16.2" thickBot="1" x14ac:dyDescent="0.35">
      <c r="A9" s="5" t="s">
        <v>134</v>
      </c>
      <c r="B9" s="11">
        <f>IF($B$5&lt;65,0,IF($B$5=65,'Optimisation retraite'!B8,'Optimisation retraite'!B8*POWER(1+Seuils!$H$296,$B$5-64)))</f>
        <v>0</v>
      </c>
      <c r="C9" s="11">
        <f>IF($C$5&lt;65,0,IF($C$5=65,'Optimisation retraite'!C8,'Optimisation retraite'!C8*POWER(1+Seuils!$H$296,$C$5-64)))</f>
        <v>0</v>
      </c>
      <c r="D9" s="21"/>
      <c r="E9" s="1"/>
      <c r="F9" s="88" t="str">
        <f>IF(B8&gt;0," ",(B10*61600/80%)/(61600*25%*94.15%))</f>
        <v xml:space="preserve"> </v>
      </c>
      <c r="G9" s="88" t="str">
        <f>IF(OR(B4=1,C8&gt;0)," ",(C10*61600/80%)/(61600*25%*94.15%))</f>
        <v xml:space="preserve"> </v>
      </c>
      <c r="L9">
        <f>'Optimisation retraite'!E29+Seuils!E162</f>
        <v>36923.449999999997</v>
      </c>
      <c r="M9" s="3">
        <f>L9/D8</f>
        <v>0.73846899999999993</v>
      </c>
    </row>
    <row r="10" spans="1:14" ht="16.2" thickBot="1" x14ac:dyDescent="0.35">
      <c r="A10" s="1" t="s">
        <v>101</v>
      </c>
      <c r="B10" s="11">
        <f>IF($B$5&lt;65,0,IF($B$5=65,'Optimisation retraite'!B9,'Optimisation retraite'!B9*POWER(1+Seuils!$H$296,$B$5-64)))</f>
        <v>0</v>
      </c>
      <c r="C10" s="11">
        <f>IF($C$5&lt;65,0,IF($C$5=65,'Optimisation retraite'!C9,'Optimisation retraite'!C9*POWER(1+Seuils!$H$296,$C$5-64)))</f>
        <v>0</v>
      </c>
      <c r="D10" s="89">
        <f>SUM(B10:C10)</f>
        <v>0</v>
      </c>
      <c r="E10" s="1"/>
      <c r="F10" t="b">
        <f>IF(B6&gt;C6,I10,I10-I6)</f>
        <v>0</v>
      </c>
      <c r="G10">
        <f>IF(C6&gt;B6,I10,I10-I6)</f>
        <v>-65</v>
      </c>
      <c r="H10">
        <f>MIN(F10:G10)</f>
        <v>-65</v>
      </c>
      <c r="I10" t="b">
        <f>IF(AND(B4=2,H8&gt;59,'conj #1 60-65 &amp; # 2 55-60'!I10&gt;60),H8,IF('conj #1 60-65 &amp; # 2 55-60'!I10&gt;60,60,IF(H8&lt;60,H8)))</f>
        <v>0</v>
      </c>
      <c r="L10">
        <f>'Optimisation retraite'!E29+Seuils!F125</f>
        <v>36361.117647058825</v>
      </c>
      <c r="M10" s="3">
        <f>L10/B8</f>
        <v>0.72722235294117654</v>
      </c>
    </row>
    <row r="11" spans="1:14" ht="18" x14ac:dyDescent="0.35">
      <c r="A11" s="5" t="s">
        <v>70</v>
      </c>
      <c r="B11" s="11">
        <f>'Optimisation retraite'!B10</f>
        <v>1000</v>
      </c>
      <c r="C11" s="11">
        <v>0</v>
      </c>
      <c r="D11" s="21">
        <f>SUM(B11:C11)</f>
        <v>1000</v>
      </c>
      <c r="E11" s="1" t="s">
        <v>177</v>
      </c>
      <c r="H11" s="83" t="s">
        <v>107</v>
      </c>
      <c r="I11" s="50"/>
      <c r="J11" s="50"/>
      <c r="K11" s="50"/>
      <c r="L11" s="94">
        <f>IF(AND(B4=1,C28&gt;Seuils!D55),Seuils!E33,IF(AND(B4=1,B8&gt;Seuils!A9),Seuils!E33,IF(AND(B4=1,B10&lt;Seuils!E33/80%,B10&lt;=61600*25%*94.15%),Seuils!D55,IF(AND(B4=1,B10&lt;Seuils!E33/80%,B10&gt;61600*25%*94.15%),Seuils!J55,IF(C28&gt;Seuils!A8,Seuils!E33*2,IF('Optimisation retraite'!C29&gt;Seuils!I7*2,Seuils!A8,IF(AND(B15+C15+D10&gt;21300,C28&lt;Seuils!C16),Seuils!C16,Seuils!J6*2)))))))</f>
        <v>39669.839999999997</v>
      </c>
      <c r="M11" s="95">
        <f>IF(D8=0,L11/(F10+G10),L11/D8)</f>
        <v>0.7933967999999999</v>
      </c>
    </row>
    <row r="12" spans="1:14" ht="15.6" x14ac:dyDescent="0.3">
      <c r="A12" s="1" t="s">
        <v>135</v>
      </c>
      <c r="B12" s="18">
        <f>'Optimisation retraite'!B11</f>
        <v>642</v>
      </c>
      <c r="C12" s="11">
        <f>'Optimisation retraite'!C11</f>
        <v>0</v>
      </c>
      <c r="D12" s="21">
        <f>SUM(B12:C12)</f>
        <v>642</v>
      </c>
      <c r="E12" s="17" t="s">
        <v>106</v>
      </c>
      <c r="F12" s="17" t="s">
        <v>161</v>
      </c>
      <c r="G12" t="str">
        <f>IF(B4=1,"seuil limite","optimal #2")</f>
        <v>seuil limite</v>
      </c>
      <c r="H12" s="50"/>
      <c r="I12" s="50"/>
      <c r="J12" s="50"/>
      <c r="K12" s="50"/>
      <c r="L12" s="94">
        <f>IF(AND(B4=2,D8&gt;150000,C28&gt;Seuils!I7*2),Seuils!E33*2,IF(AND(B4=2,L11=Seuils!I7*2),Seuils!C16,IF(AND(B4=2,L11=Seuils!C16),Seuils!I7*2,IF(AND(B4=1,L11=Seuils!D55),Seuils!E33,Seuils!D55))))</f>
        <v>79845</v>
      </c>
      <c r="M12" s="95">
        <f>IF(D8=0,L12/(F10+G10),L12/D8)</f>
        <v>1.5969</v>
      </c>
    </row>
    <row r="13" spans="1:14" ht="15.6" x14ac:dyDescent="0.3">
      <c r="A13" s="5" t="s">
        <v>82</v>
      </c>
      <c r="B13" s="52">
        <f>IF(B8=0,(F9+G9)*E13,(B8+C8)*E13)</f>
        <v>36923.449999999997</v>
      </c>
      <c r="C13" s="21"/>
      <c r="D13" s="21">
        <f>SUM(B13:C13)</f>
        <v>36923.449999999997</v>
      </c>
      <c r="E13" s="270">
        <f>M9</f>
        <v>0.73846899999999993</v>
      </c>
      <c r="F13" s="93">
        <f>M11</f>
        <v>0.7933967999999999</v>
      </c>
      <c r="G13" s="99">
        <f>IF(B4=1,Seuils!E33/B8,M12)</f>
        <v>1.5969</v>
      </c>
    </row>
    <row r="14" spans="1:14" ht="18" x14ac:dyDescent="0.35">
      <c r="A14" s="5" t="s">
        <v>136</v>
      </c>
      <c r="B14" s="11">
        <f>IF(AND(B4=2,C8&gt;15000),(B13-D10-B23-C23)*F8,B13-D10-B23-C23)</f>
        <v>36923.449999999997</v>
      </c>
      <c r="C14" s="22">
        <f>IF(AND(B4=2,C8&gt;15000),(B13-D10-B23-C23)*(1-F8),0)</f>
        <v>0</v>
      </c>
      <c r="D14" s="21">
        <f t="shared" ref="D14" si="0">SUM(B14:C14)</f>
        <v>36923.449999999997</v>
      </c>
      <c r="E14" s="1"/>
      <c r="H14" s="83" t="s">
        <v>105</v>
      </c>
      <c r="I14" s="83"/>
      <c r="J14" s="84">
        <f>D76</f>
        <v>0.42499999999999999</v>
      </c>
      <c r="K14" s="622" t="str">
        <f>IF(J14&lt;J16-0.5%,"Maximiser d'abord votre CELI !",IF(J14&gt;J16+0.5%,"Privillégiez le REER OPTIMAL", "Indifférent entre REER et CELI"))</f>
        <v>Privillégiez le REER OPTIMAL</v>
      </c>
      <c r="L14" s="623"/>
      <c r="M14" s="623"/>
    </row>
    <row r="15" spans="1:14" ht="18.600000000000001" thickBot="1" x14ac:dyDescent="0.4">
      <c r="A15" s="5" t="s">
        <v>246</v>
      </c>
      <c r="B15" s="11">
        <f>IF(AND('Optimisation retraite'!B6&gt;=65,B4=1),0,IF(B7&gt;=65,'Optimisation retraite'!B13,IF(AND(B7&lt;65,B7&gt;59),' Épargne nécessaire'!B35,IF(B7&lt;55,0,' Épargne nécessaire'!B36))))</f>
        <v>0</v>
      </c>
      <c r="C15" s="11">
        <f>IF(AND('Optimisation retraite'!B6&gt;65,B4=1),0,IF(C7&gt;=65,'Optimisation retraite'!C13,IF(AND(C7&lt;65,C7&gt;59),' Épargne nécessaire'!C35,IF(C7&lt;55,0,' Épargne nécessaire'!C36))))</f>
        <v>0</v>
      </c>
      <c r="D15" s="21">
        <f>B15+C15</f>
        <v>0</v>
      </c>
      <c r="E15" s="1"/>
      <c r="H15" s="83" t="s">
        <v>487</v>
      </c>
      <c r="I15" s="50"/>
      <c r="J15" s="84">
        <f>C56</f>
        <v>0.39338656155640905</v>
      </c>
      <c r="K15" s="50"/>
      <c r="L15" s="50"/>
      <c r="M15" s="50"/>
    </row>
    <row r="16" spans="1:14" ht="18.600000000000001" thickBot="1" x14ac:dyDescent="0.4">
      <c r="A16" s="5" t="s">
        <v>191</v>
      </c>
      <c r="B16" s="271">
        <f>'Optimisation retraite'!B14</f>
        <v>0.5</v>
      </c>
      <c r="C16" s="271">
        <f>'Optimisation retraite'!C14</f>
        <v>0.5</v>
      </c>
      <c r="D16" s="89">
        <f>D14-D15</f>
        <v>36923.449999999997</v>
      </c>
      <c r="E16" s="1"/>
      <c r="H16" s="83"/>
      <c r="J16" s="90"/>
      <c r="K16" s="50"/>
      <c r="L16" s="50"/>
      <c r="M16" s="50"/>
    </row>
    <row r="17" spans="1:13" ht="18" x14ac:dyDescent="0.35">
      <c r="A17" s="5" t="s">
        <v>192</v>
      </c>
      <c r="B17" s="11">
        <f>'Optimisation retraite'!B15</f>
        <v>0</v>
      </c>
      <c r="C17" s="11">
        <f>'Optimisation retraite'!C15</f>
        <v>0</v>
      </c>
      <c r="D17" s="21"/>
      <c r="E17" s="1"/>
      <c r="H17" s="83" t="str">
        <f>IF(B4=1," ",IF(C8&lt;Seuils!A7,"N.B. Conjoint #2 ne devrait nullement cotiser à son REER !",IF(AND(C8&lt;Seuils!I8,'Optimisation retraite'!J11&gt;Seuils!E7+Seuils!K7+2%),"N.B. Conjoint #2 ne devrait nullement cotiser à son REER !"," ")))</f>
        <v xml:space="preserve"> </v>
      </c>
      <c r="I17" s="50"/>
      <c r="J17" s="84"/>
      <c r="K17" s="50"/>
      <c r="L17" s="50"/>
      <c r="M17" s="50"/>
    </row>
    <row r="18" spans="1:13" ht="15.6" x14ac:dyDescent="0.3">
      <c r="A18" s="5" t="s">
        <v>137</v>
      </c>
      <c r="B18" s="98">
        <f>IF(OR(H8&lt;60,I7&lt;60),Seuils!S296,0)</f>
        <v>0</v>
      </c>
      <c r="C18" s="22">
        <f>IF(C15&gt;B15,0,D14-D15+C15)</f>
        <v>36923.449999999997</v>
      </c>
      <c r="D18" s="21"/>
      <c r="E18" s="1"/>
      <c r="K18" s="50"/>
      <c r="L18" s="50"/>
      <c r="M18" s="50"/>
    </row>
    <row r="19" spans="1:13" ht="15.6" x14ac:dyDescent="0.3">
      <c r="A19" s="5" t="s">
        <v>138</v>
      </c>
      <c r="B19" s="98" t="b">
        <f>IF(OR(H8&lt;60,I7&lt;60),Seuils!S297,0)</f>
        <v>0</v>
      </c>
      <c r="C19" s="22">
        <f>IF(C15&lt;B15,0,D16-C18)</f>
        <v>0</v>
      </c>
      <c r="D19" s="21"/>
      <c r="E19" s="1"/>
      <c r="M19" s="50"/>
    </row>
    <row r="20" spans="1:13" ht="15.6" x14ac:dyDescent="0.3">
      <c r="A20" s="5"/>
      <c r="B20" s="98"/>
      <c r="C20" s="22"/>
      <c r="D20" s="21"/>
      <c r="E20" s="1"/>
      <c r="M20" s="50"/>
    </row>
    <row r="21" spans="1:13" ht="18.600000000000001" thickBot="1" x14ac:dyDescent="0.4">
      <c r="A21" s="543" t="str">
        <f>IF(B4=1,"Non applicable","Période où l'un des conjoints a plus de 60 ans et l'autre entre 55 et 60 ans")</f>
        <v>Non applicable</v>
      </c>
      <c r="B21" s="306"/>
      <c r="C21" s="380"/>
      <c r="D21" s="380"/>
      <c r="E21" s="1"/>
      <c r="H21" s="83"/>
      <c r="I21" s="50"/>
      <c r="J21" s="84"/>
      <c r="K21" s="50"/>
      <c r="L21" s="50"/>
      <c r="M21" s="50"/>
    </row>
    <row r="22" spans="1:13" ht="16.2" thickBot="1" x14ac:dyDescent="0.35">
      <c r="A22" s="23" t="s">
        <v>162</v>
      </c>
      <c r="B22" s="624" t="s">
        <v>164</v>
      </c>
      <c r="C22" s="625"/>
      <c r="D22" s="624" t="s">
        <v>165</v>
      </c>
      <c r="E22" s="625"/>
    </row>
    <row r="23" spans="1:13" ht="15.6" x14ac:dyDescent="0.3">
      <c r="A23" s="24" t="s">
        <v>43</v>
      </c>
      <c r="B23" s="25">
        <f>B9</f>
        <v>0</v>
      </c>
      <c r="C23" s="26">
        <f>C9</f>
        <v>0</v>
      </c>
      <c r="D23" s="25">
        <f>B9</f>
        <v>0</v>
      </c>
      <c r="E23" s="26">
        <f>C9</f>
        <v>0</v>
      </c>
    </row>
    <row r="24" spans="1:13" ht="15.6" x14ac:dyDescent="0.3">
      <c r="A24" s="24" t="s">
        <v>44</v>
      </c>
      <c r="B24" s="27">
        <f>B10</f>
        <v>0</v>
      </c>
      <c r="C24" s="28">
        <f>C10</f>
        <v>0</v>
      </c>
      <c r="D24" s="27">
        <f>B24</f>
        <v>0</v>
      </c>
      <c r="E24" s="28">
        <f>C24</f>
        <v>0</v>
      </c>
    </row>
    <row r="25" spans="1:13" ht="15.6" x14ac:dyDescent="0.3">
      <c r="A25" s="24" t="s">
        <v>31</v>
      </c>
      <c r="B25" s="27">
        <f>IF(B4=2,0,IF(B7&lt;65,0,IF(D10+B26&gt;Seuils!E29,0,IF(D10+B26&gt;Seuils!D31,Seuils!D28-(D10+B26)*50%,IF(D10+B26&gt;Seuils!D30,Seuils!D26-(D10+B26-Seuils!D30)*75%,Seuils!D27-(D10+B26)*50%)))))</f>
        <v>11007.48</v>
      </c>
      <c r="C25" s="28">
        <f>IF(B4=1,0,IF(AND(B7&lt;65,C7&lt;65),0,IF(D10+B26+C26&gt;Seuils!D29,0,IF(D10+B26+C26&gt;Seuils!D31,Seuils!D28-(D10+B26+C26)*50%,IF(D10+B26+C26&gt;Seuils!D30,Seuils!D26-(D10+B26+C26-Seuils!D30)*75%,Seuils!D27-(D10+B26+C26)*50%)))))</f>
        <v>0</v>
      </c>
      <c r="D25" s="27">
        <f>IF(B4=2,0,IF('Optimisation retraite'!D9+'Optimisation retraite'!D16&gt;Seuils!E29,0,Seuils!D28-(D10+D14)*50%))</f>
        <v>0</v>
      </c>
      <c r="E25" s="28">
        <f>IF(B4=1,0,IF(D10+D14&gt;Seuils!D29,0,Seuils!D28-(D10+D14)*50%))</f>
        <v>0</v>
      </c>
    </row>
    <row r="26" spans="1:13" ht="16.2" thickBot="1" x14ac:dyDescent="0.35">
      <c r="A26" s="24" t="s">
        <v>166</v>
      </c>
      <c r="B26" s="29">
        <f>B15+B17</f>
        <v>0</v>
      </c>
      <c r="C26" s="30">
        <f>C15+C17</f>
        <v>0</v>
      </c>
      <c r="D26" s="29">
        <f>B14</f>
        <v>36923.449999999997</v>
      </c>
      <c r="E26" s="30">
        <f>C14</f>
        <v>0</v>
      </c>
      <c r="F26" s="549"/>
    </row>
    <row r="27" spans="1:13" ht="16.2" thickBot="1" x14ac:dyDescent="0.35">
      <c r="A27" s="31" t="s">
        <v>76</v>
      </c>
      <c r="B27" s="32">
        <f>SUM(B23:B26)-B25</f>
        <v>0</v>
      </c>
      <c r="C27" s="33">
        <f>SUM(C23:C26)-C25</f>
        <v>0</v>
      </c>
      <c r="D27" s="32">
        <f>SUM(D23:D26)-D25</f>
        <v>36923.449999999997</v>
      </c>
      <c r="E27" s="33">
        <f>SUM(E23:E26)-E25</f>
        <v>0</v>
      </c>
    </row>
    <row r="28" spans="1:13" ht="16.2" thickBot="1" x14ac:dyDescent="0.35">
      <c r="A28" s="34" t="s">
        <v>77</v>
      </c>
      <c r="B28" s="35"/>
      <c r="C28" s="35">
        <f>B27+C27</f>
        <v>0</v>
      </c>
      <c r="D28" s="35"/>
      <c r="E28" s="36">
        <f>D27+E27</f>
        <v>36923.449999999997</v>
      </c>
    </row>
    <row r="29" spans="1:13" ht="16.2" thickBot="1" x14ac:dyDescent="0.35">
      <c r="A29" s="37"/>
      <c r="B29" s="38"/>
      <c r="C29" s="38"/>
      <c r="D29" s="38"/>
      <c r="E29" s="39"/>
    </row>
    <row r="30" spans="1:13" ht="16.2" thickBot="1" x14ac:dyDescent="0.35">
      <c r="A30" s="40" t="s">
        <v>81</v>
      </c>
      <c r="B30" s="624" t="s">
        <v>164</v>
      </c>
      <c r="C30" s="625"/>
      <c r="D30" s="624" t="s">
        <v>165</v>
      </c>
      <c r="E30" s="625"/>
    </row>
    <row r="31" spans="1:13" ht="16.2" thickBot="1" x14ac:dyDescent="0.35">
      <c r="A31" s="41"/>
      <c r="B31" s="244" t="s">
        <v>46</v>
      </c>
      <c r="C31" s="245" t="s">
        <v>47</v>
      </c>
      <c r="D31" s="246" t="s">
        <v>46</v>
      </c>
      <c r="E31" s="245" t="s">
        <v>47</v>
      </c>
    </row>
    <row r="32" spans="1:13" ht="15.6" x14ac:dyDescent="0.3">
      <c r="A32" s="42" t="s">
        <v>79</v>
      </c>
      <c r="B32" s="25">
        <f>IF(B4=2,Seuils!D12+Seuils!D13,Seuils!D12)</f>
        <v>13808</v>
      </c>
      <c r="C32" s="26">
        <f>IF(B4=2,Seuils!J12*2,Seuils!J12)</f>
        <v>15728</v>
      </c>
      <c r="D32" s="25">
        <f>IF(B4=2,Seuils!D12+Seuils!E13,Seuils!D12)</f>
        <v>13808</v>
      </c>
      <c r="E32" s="26">
        <f>C32</f>
        <v>15728</v>
      </c>
    </row>
    <row r="33" spans="1:12" ht="15.6" x14ac:dyDescent="0.3">
      <c r="A33" s="42" t="s">
        <v>403</v>
      </c>
      <c r="B33" s="27">
        <f>IF(B4=2,Seuils!D187,Seuils!B187)</f>
        <v>0</v>
      </c>
      <c r="C33" s="520">
        <f>Seuils!V18</f>
        <v>0</v>
      </c>
      <c r="D33" s="43">
        <f>Seuils!D178</f>
        <v>0</v>
      </c>
      <c r="E33" s="28">
        <f>Seuils!W18</f>
        <v>5639.2281250000005</v>
      </c>
    </row>
    <row r="34" spans="1:12" ht="15.6" x14ac:dyDescent="0.3">
      <c r="A34" s="42" t="s">
        <v>168</v>
      </c>
      <c r="B34" s="27">
        <f>IF(AND(B4=1,B15&gt;Seuils!C19),Seuils!C19,IF(AND(B4=1,B15&lt;2000),B15,IF(AND(B4=2,B15&gt;2000,C15&gt;2000),Seuils!C19*2,IF(AND(B4=2,D15&gt;Seuils!C19*2),Seuils!C19*2,IF(AND(B4=2,B15&gt;2000,C15&lt;2000),Seuils!C19+C15,IF(AND(B4=2,C15&gt;2000,B15&lt;2000),Seuils!C19+B15,IF(AND('Optimal &lt; 65'!B4=2,B15&lt;2000,C15&lt;2000),B26+C26,0)))))))</f>
        <v>0</v>
      </c>
      <c r="C34" s="28"/>
      <c r="D34" s="43">
        <f>IF(AND(B5&lt;65,B15+C15&lt;=2000*B4),B15+C15,IF(AND(B5&lt;65,B15+C15&gt;2000*B4),2000*B4,Seuils!D19*'Optimal &lt; 65'!B4))</f>
        <v>0</v>
      </c>
      <c r="E34" s="28"/>
    </row>
    <row r="35" spans="1:12" ht="15.6" x14ac:dyDescent="0.3">
      <c r="A35" s="42" t="s">
        <v>15</v>
      </c>
      <c r="B35" s="27">
        <f>Seuils!C224</f>
        <v>1642</v>
      </c>
      <c r="C35" s="28">
        <f>Seuils!X24</f>
        <v>669.77559999999994</v>
      </c>
      <c r="D35" s="43">
        <f>Seuils!C179</f>
        <v>451.90480000000025</v>
      </c>
      <c r="E35" s="28">
        <f>Seuils!Y24</f>
        <v>571.39650000000006</v>
      </c>
    </row>
    <row r="36" spans="1:12" ht="15.6" x14ac:dyDescent="0.3">
      <c r="A36" s="42" t="s">
        <v>48</v>
      </c>
      <c r="B36" s="27">
        <f>SUM(B32:B35)</f>
        <v>15450</v>
      </c>
      <c r="C36" s="28">
        <f>SUM(C32:C35)</f>
        <v>16397.775600000001</v>
      </c>
      <c r="D36" s="43">
        <f>SUM(D32:D35)</f>
        <v>14259.9048</v>
      </c>
      <c r="E36" s="28">
        <f>SUM(E32:E35)</f>
        <v>21938.624625</v>
      </c>
    </row>
    <row r="37" spans="1:12" ht="15.6" x14ac:dyDescent="0.3">
      <c r="A37" s="44"/>
      <c r="B37" s="27"/>
      <c r="C37" s="28"/>
      <c r="D37" s="43"/>
      <c r="E37" s="28"/>
    </row>
    <row r="38" spans="1:12" ht="15.6" x14ac:dyDescent="0.3">
      <c r="A38" s="42" t="s">
        <v>49</v>
      </c>
      <c r="B38" s="27">
        <f>Seuils!D221</f>
        <v>0</v>
      </c>
      <c r="C38" s="28">
        <f>Seuils!L221</f>
        <v>0</v>
      </c>
      <c r="D38" s="43">
        <f>Seuils!D212</f>
        <v>5538.517499999999</v>
      </c>
      <c r="E38" s="45">
        <f>Seuils!L212</f>
        <v>0</v>
      </c>
    </row>
    <row r="39" spans="1:12" ht="15.6" x14ac:dyDescent="0.3">
      <c r="A39" s="42" t="s">
        <v>50</v>
      </c>
      <c r="B39" s="27">
        <f>B36*15%</f>
        <v>2317.5</v>
      </c>
      <c r="C39" s="28">
        <f>(C32+C33)*Seuils!K6+C35*20%</f>
        <v>2493.1551199999999</v>
      </c>
      <c r="D39" s="43">
        <f>D36*15%</f>
        <v>2138.9857200000001</v>
      </c>
      <c r="E39" s="28">
        <f>(E32+E33)*Seuils!K6+E35*20%</f>
        <v>3319.3635187500004</v>
      </c>
    </row>
    <row r="40" spans="1:12" ht="15.6" x14ac:dyDescent="0.3">
      <c r="A40" s="42" t="s">
        <v>51</v>
      </c>
      <c r="B40" s="27">
        <f>IF(B38&gt;B39,(B38-B39)*16.5%,0)</f>
        <v>0</v>
      </c>
      <c r="C40" s="28"/>
      <c r="D40" s="43">
        <f>IF(D38&gt;D39,(D38-D39)*16.5%,0)</f>
        <v>560.92274369999984</v>
      </c>
      <c r="E40" s="28"/>
    </row>
    <row r="41" spans="1:12" ht="15.6" x14ac:dyDescent="0.3">
      <c r="A41" s="42" t="s">
        <v>35</v>
      </c>
      <c r="B41" s="27"/>
      <c r="C41" s="28">
        <f>Seuils!L223</f>
        <v>0</v>
      </c>
      <c r="D41" s="43"/>
      <c r="E41" s="28">
        <f>Seuils!L214</f>
        <v>0</v>
      </c>
    </row>
    <row r="42" spans="1:12" ht="15.6" x14ac:dyDescent="0.3">
      <c r="A42" s="42" t="s">
        <v>18</v>
      </c>
      <c r="B42" s="27"/>
      <c r="C42" s="28">
        <f>Seuils!X28</f>
        <v>0</v>
      </c>
      <c r="D42" s="43"/>
      <c r="E42" s="28">
        <f>Seuils!L28</f>
        <v>679.1</v>
      </c>
    </row>
    <row r="43" spans="1:12" ht="15.6" x14ac:dyDescent="0.3">
      <c r="A43" s="42" t="s">
        <v>169</v>
      </c>
      <c r="B43" s="29"/>
      <c r="C43" s="30"/>
      <c r="D43" s="46"/>
      <c r="E43" s="30"/>
    </row>
    <row r="44" spans="1:12" ht="16.2" thickBot="1" x14ac:dyDescent="0.35">
      <c r="A44" s="42" t="s">
        <v>133</v>
      </c>
      <c r="B44" s="29">
        <f>B46</f>
        <v>0</v>
      </c>
      <c r="C44" s="30"/>
      <c r="D44" s="46">
        <f>D46</f>
        <v>0</v>
      </c>
      <c r="E44" s="30"/>
    </row>
    <row r="45" spans="1:12" ht="16.2" thickBot="1" x14ac:dyDescent="0.35">
      <c r="A45" s="31" t="s">
        <v>52</v>
      </c>
      <c r="B45" s="32">
        <f>IF(B39&gt;B38-B40+B41+B42+B44,0,B38+B41+B42+B44-B39-B40)</f>
        <v>0</v>
      </c>
      <c r="C45" s="33">
        <f>IF(C39&gt;C38,C41+C42+C44,C38+C41+C42+C44-C39)</f>
        <v>0</v>
      </c>
      <c r="D45" s="47">
        <f>IF(D39&gt;D38-D40+D41+D42+D44,0,D38-D40+D41+D42+D44-D39)</f>
        <v>2838.6090362999989</v>
      </c>
      <c r="E45" s="33">
        <f>IF(E39&gt;E38,E41+E42+E44,E38+E41+E42+E44-E39)</f>
        <v>679.1</v>
      </c>
    </row>
    <row r="46" spans="1:12" ht="15.6" x14ac:dyDescent="0.3">
      <c r="A46" s="48" t="s">
        <v>170</v>
      </c>
      <c r="B46" s="91">
        <f>IF(B6&lt;65,0,IF(AND(B4=1,B27&gt;Seuils!E34),Seuils!E32,IF(AND(B4=1,'Optimisation retraite'!B28&gt;Seuils!E33),(B27-Seuils!E33)*15%,IF(AND(B4=2,Seuils!B110&gt;Seuils!E33,(Seuils!B110-Seuils!E33)*15%&gt;B23),B23,IF(AND(B4=2,Seuils!B110&gt;Seuils!E33),(Seuils!B110-Seuils!E33)*15%,0)))))</f>
        <v>0</v>
      </c>
      <c r="C46" s="49"/>
      <c r="D46" s="91">
        <f>IF(B6&lt;65,0,IF(AND(B4=1,D27&gt;Seuils!E34),Seuils!E32,IF(AND(B4=1,'Optimisation retraite'!D28&gt;Seuils!E33),(D27-Seuils!E33)*15%,IF(AND(B4=2,Seuils!B101&gt;Seuils!E33,(Seuils!B101-Seuils!E33)*15%&gt;B23),B23,IF(AND(B4=2,Seuils!B101&gt;Seuils!E33),(Seuils!B101-Seuils!E33)*15%,0)))))</f>
        <v>0</v>
      </c>
      <c r="E46" s="49">
        <f>E45+D45-(B45+C45)</f>
        <v>3517.7090362999988</v>
      </c>
      <c r="F46" s="7">
        <f>E46/$D$14</f>
        <v>9.5270323772561852E-2</v>
      </c>
    </row>
    <row r="47" spans="1:12" ht="15.6" x14ac:dyDescent="0.3">
      <c r="A47" s="50"/>
      <c r="B47" s="50"/>
      <c r="C47" s="50"/>
      <c r="D47" s="92" t="str">
        <f>IF(D46&gt;0,"Remboursement PSV"," ")</f>
        <v xml:space="preserve"> </v>
      </c>
      <c r="E47" s="50"/>
      <c r="F47" s="588"/>
      <c r="G47" s="589"/>
      <c r="H47" s="589"/>
      <c r="I47" s="589"/>
      <c r="J47" s="589"/>
      <c r="K47" s="589"/>
      <c r="L47" s="589"/>
    </row>
    <row r="48" spans="1:12" ht="15.6" x14ac:dyDescent="0.3">
      <c r="A48" s="39" t="s">
        <v>179</v>
      </c>
      <c r="B48" s="50"/>
      <c r="C48" s="50"/>
      <c r="D48" s="50"/>
      <c r="E48" s="38" t="s">
        <v>84</v>
      </c>
      <c r="F48" s="588"/>
      <c r="G48" s="589"/>
      <c r="H48" s="589"/>
      <c r="I48" s="589"/>
      <c r="J48" s="589"/>
      <c r="K48" s="589"/>
      <c r="L48" s="589"/>
    </row>
    <row r="49" spans="1:7" ht="15.6" x14ac:dyDescent="0.3">
      <c r="A49" s="37" t="s">
        <v>180</v>
      </c>
      <c r="B49" s="21">
        <f>C28-B45-C45</f>
        <v>0</v>
      </c>
      <c r="C49" s="21"/>
      <c r="D49" s="21">
        <f>E28-D45-E45-D46</f>
        <v>33405.740963700002</v>
      </c>
      <c r="E49" s="21">
        <f>D49-B49</f>
        <v>33405.740963700002</v>
      </c>
      <c r="F49" s="85"/>
    </row>
    <row r="50" spans="1:7" ht="15.6" x14ac:dyDescent="0.3">
      <c r="A50" s="37" t="s">
        <v>181</v>
      </c>
      <c r="B50" s="21">
        <f>B25+C25</f>
        <v>11007.48</v>
      </c>
      <c r="C50" s="21"/>
      <c r="D50" s="21">
        <f>D25+E25</f>
        <v>0</v>
      </c>
      <c r="E50" s="21">
        <f t="shared" ref="E50:E53" si="1">D50-B50</f>
        <v>-11007.48</v>
      </c>
      <c r="F50" s="85">
        <f>-E50/$D$14</f>
        <v>0.29811623778384738</v>
      </c>
    </row>
    <row r="51" spans="1:7" ht="15.6" x14ac:dyDescent="0.3">
      <c r="A51" s="37" t="s">
        <v>182</v>
      </c>
      <c r="B51" s="21">
        <f>Seuils!D59</f>
        <v>462.58</v>
      </c>
      <c r="C51" s="21"/>
      <c r="D51" s="21">
        <f>Seuils!E59</f>
        <v>462.58</v>
      </c>
      <c r="E51" s="21">
        <f t="shared" si="1"/>
        <v>0</v>
      </c>
      <c r="F51" s="85">
        <f>-E51/$D$14</f>
        <v>0</v>
      </c>
    </row>
    <row r="52" spans="1:7" ht="15.6" x14ac:dyDescent="0.3">
      <c r="A52" s="37" t="s">
        <v>183</v>
      </c>
      <c r="B52" s="21">
        <f>Seuils!J59</f>
        <v>1050.6199999999999</v>
      </c>
      <c r="C52" s="21"/>
      <c r="D52" s="21">
        <f>Seuils!K59</f>
        <v>1050.6199999999999</v>
      </c>
      <c r="E52" s="21">
        <f t="shared" si="1"/>
        <v>0</v>
      </c>
      <c r="F52" s="85">
        <f>-E52/$D$14</f>
        <v>0</v>
      </c>
    </row>
    <row r="53" spans="1:7" ht="15.6" x14ac:dyDescent="0.3">
      <c r="A53" s="37" t="s">
        <v>53</v>
      </c>
      <c r="B53" s="21">
        <f>SUM(B49:B52)</f>
        <v>12520.68</v>
      </c>
      <c r="C53" s="21"/>
      <c r="D53" s="51">
        <f>SUM(D49:D52)</f>
        <v>34918.940963700006</v>
      </c>
      <c r="E53" s="52">
        <f t="shared" si="1"/>
        <v>22398.260963700006</v>
      </c>
      <c r="F53" s="85">
        <f>SUM(F46:F52)</f>
        <v>0.39338656155640922</v>
      </c>
      <c r="G53" s="7"/>
    </row>
    <row r="54" spans="1:7" ht="15.6" x14ac:dyDescent="0.3">
      <c r="A54" s="37"/>
      <c r="B54" s="53"/>
      <c r="C54" s="38"/>
      <c r="D54" s="38"/>
      <c r="E54" s="53"/>
      <c r="F54" s="100"/>
    </row>
    <row r="55" spans="1:7" ht="15.6" x14ac:dyDescent="0.3">
      <c r="A55" s="37" t="s">
        <v>54</v>
      </c>
      <c r="B55" s="51">
        <f>D53</f>
        <v>34918.940963700006</v>
      </c>
      <c r="C55" s="37" t="s">
        <v>55</v>
      </c>
      <c r="D55" s="38"/>
      <c r="E55" s="50"/>
      <c r="F55" s="50"/>
    </row>
    <row r="56" spans="1:7" ht="15.6" x14ac:dyDescent="0.3">
      <c r="A56" s="37" t="s">
        <v>87</v>
      </c>
      <c r="B56" s="52">
        <f>B55-B53</f>
        <v>22398.260963700006</v>
      </c>
      <c r="C56" s="54">
        <f>1-B56/D56</f>
        <v>0.39338656155640905</v>
      </c>
      <c r="D56" s="52">
        <f>D26+E26-C26-B26</f>
        <v>36923.449999999997</v>
      </c>
      <c r="E56" s="50"/>
      <c r="F56" s="50"/>
    </row>
    <row r="57" spans="1:7" x14ac:dyDescent="0.3">
      <c r="A57" s="50"/>
      <c r="B57" s="50"/>
      <c r="C57" s="50"/>
      <c r="D57" s="50"/>
      <c r="E57" s="50"/>
      <c r="F57" s="50"/>
    </row>
    <row r="58" spans="1:7" x14ac:dyDescent="0.3">
      <c r="A58" s="50" t="s">
        <v>374</v>
      </c>
      <c r="B58" s="50"/>
      <c r="C58" s="50"/>
      <c r="D58" s="50"/>
      <c r="E58" s="50"/>
      <c r="F58" s="50"/>
    </row>
    <row r="59" spans="1:7" x14ac:dyDescent="0.3">
      <c r="A59" s="539" t="s">
        <v>377</v>
      </c>
      <c r="B59" s="542">
        <f>J8</f>
        <v>0</v>
      </c>
      <c r="C59" s="50"/>
      <c r="D59" s="50">
        <f>B59</f>
        <v>0</v>
      </c>
      <c r="E59" s="50"/>
      <c r="F59" s="50"/>
    </row>
    <row r="60" spans="1:7" x14ac:dyDescent="0.3">
      <c r="A60" s="539" t="s">
        <v>94</v>
      </c>
      <c r="B60" s="540">
        <f>Seuils!H294</f>
        <v>3.7420000000000002E-2</v>
      </c>
      <c r="C60" s="50"/>
      <c r="D60" s="540">
        <f>B60</f>
        <v>3.7420000000000002E-2</v>
      </c>
      <c r="E60" s="50"/>
      <c r="F60" s="50"/>
    </row>
    <row r="61" spans="1:7" x14ac:dyDescent="0.3">
      <c r="A61" s="539" t="s">
        <v>306</v>
      </c>
      <c r="B61" s="540">
        <f>((1+B60)/(1+' Épargne nécessaire'!G7))-1</f>
        <v>1.4591687041564771E-2</v>
      </c>
      <c r="C61" s="50"/>
      <c r="D61" s="540">
        <f>B61</f>
        <v>1.4591687041564771E-2</v>
      </c>
      <c r="E61" s="50"/>
      <c r="F61" s="50"/>
    </row>
    <row r="62" spans="1:7" x14ac:dyDescent="0.3">
      <c r="A62" s="539" t="s">
        <v>96</v>
      </c>
      <c r="B62" s="540" t="e">
        <f>0.53*B61+1/B59</f>
        <v>#DIV/0!</v>
      </c>
      <c r="C62" s="50"/>
      <c r="D62" s="540" t="e">
        <f>B62</f>
        <v>#DIV/0!</v>
      </c>
      <c r="E62" s="50"/>
      <c r="F62" s="50"/>
    </row>
    <row r="63" spans="1:7" x14ac:dyDescent="0.3">
      <c r="A63" s="539" t="s">
        <v>375</v>
      </c>
      <c r="B63" s="541">
        <f>B18</f>
        <v>0</v>
      </c>
      <c r="C63" s="50"/>
      <c r="D63" s="541" t="b">
        <f>B19</f>
        <v>0</v>
      </c>
      <c r="E63" s="50"/>
      <c r="F63" s="50"/>
    </row>
    <row r="64" spans="1:7" x14ac:dyDescent="0.3">
      <c r="A64" s="539" t="s">
        <v>376</v>
      </c>
      <c r="B64" s="88" t="e">
        <f>B63*B62</f>
        <v>#DIV/0!</v>
      </c>
      <c r="C64" s="50"/>
      <c r="D64" s="88" t="e">
        <f>D63*D62</f>
        <v>#DIV/0!</v>
      </c>
      <c r="E64" s="50"/>
      <c r="F64" s="50"/>
    </row>
    <row r="65" spans="1:6" x14ac:dyDescent="0.3">
      <c r="A65" s="50"/>
      <c r="B65" s="50"/>
      <c r="C65" s="50"/>
      <c r="D65" s="50"/>
      <c r="E65" s="50"/>
      <c r="F65" s="50"/>
    </row>
    <row r="66" spans="1:6" x14ac:dyDescent="0.3">
      <c r="A66" s="50"/>
      <c r="B66" s="50"/>
      <c r="C66" s="50"/>
      <c r="D66" s="50"/>
      <c r="E66" s="50"/>
      <c r="F66" s="50"/>
    </row>
    <row r="67" spans="1:6" ht="15.6" x14ac:dyDescent="0.3">
      <c r="A67" s="39" t="s">
        <v>178</v>
      </c>
      <c r="B67" s="50"/>
      <c r="C67" s="50"/>
      <c r="D67" s="50"/>
      <c r="E67" s="50"/>
      <c r="F67" s="50"/>
    </row>
    <row r="68" spans="1:6" ht="15.6" x14ac:dyDescent="0.3">
      <c r="A68" s="37" t="s">
        <v>129</v>
      </c>
      <c r="B68" s="21">
        <f>B53</f>
        <v>12520.68</v>
      </c>
      <c r="C68" s="38"/>
      <c r="D68" s="21">
        <f>D53</f>
        <v>34918.940963700006</v>
      </c>
      <c r="E68" s="50"/>
      <c r="F68" s="50"/>
    </row>
    <row r="69" spans="1:6" ht="15.6" x14ac:dyDescent="0.3">
      <c r="A69" s="37" t="s">
        <v>127</v>
      </c>
      <c r="B69" s="38">
        <f>Seuils!J61</f>
        <v>209</v>
      </c>
      <c r="C69" s="38"/>
      <c r="D69" s="38">
        <f>Seuils!K61</f>
        <v>0</v>
      </c>
      <c r="E69" s="50"/>
      <c r="F69" s="50"/>
    </row>
    <row r="70" spans="1:6" ht="15.6" x14ac:dyDescent="0.3">
      <c r="A70" s="37" t="s">
        <v>126</v>
      </c>
      <c r="B70" s="21">
        <f>B68+B69</f>
        <v>12729.68</v>
      </c>
      <c r="C70" s="38"/>
      <c r="D70" s="21">
        <f>D68+D69</f>
        <v>34918.940963700006</v>
      </c>
      <c r="E70" s="50"/>
      <c r="F70" s="50"/>
    </row>
    <row r="71" spans="1:6" ht="15.6" x14ac:dyDescent="0.3">
      <c r="A71" s="50"/>
      <c r="B71" s="38"/>
      <c r="C71" s="38"/>
      <c r="D71" s="38"/>
      <c r="E71" s="50"/>
      <c r="F71" s="50"/>
    </row>
    <row r="72" spans="1:6" ht="15.6" x14ac:dyDescent="0.3">
      <c r="A72" s="37" t="s">
        <v>128</v>
      </c>
      <c r="B72" s="21">
        <f>D70-B70</f>
        <v>22189.260963700006</v>
      </c>
      <c r="C72" s="54">
        <f>1-B72/D72</f>
        <v>0.39904692102986017</v>
      </c>
      <c r="D72" s="21">
        <f>D56</f>
        <v>36923.449999999997</v>
      </c>
      <c r="E72" s="50"/>
      <c r="F72" s="50"/>
    </row>
    <row r="73" spans="1:6" x14ac:dyDescent="0.3">
      <c r="A73" s="50"/>
      <c r="B73" s="50"/>
      <c r="C73" s="50"/>
      <c r="D73" s="50"/>
      <c r="E73" s="50"/>
    </row>
    <row r="74" spans="1:6" ht="15" thickBot="1" x14ac:dyDescent="0.35">
      <c r="A74" s="50"/>
      <c r="B74" s="50"/>
      <c r="C74" s="50"/>
      <c r="D74" s="50"/>
      <c r="E74" s="50"/>
    </row>
    <row r="75" spans="1:6" ht="16.2" thickBot="1" x14ac:dyDescent="0.35">
      <c r="A75" s="55" t="s">
        <v>56</v>
      </c>
      <c r="B75" s="56" t="s">
        <v>57</v>
      </c>
      <c r="C75" s="57"/>
      <c r="D75" s="58" t="s">
        <v>42</v>
      </c>
      <c r="E75" s="285" t="s">
        <v>234</v>
      </c>
    </row>
    <row r="76" spans="1:6" ht="15.6" x14ac:dyDescent="0.3">
      <c r="A76" s="59" t="s">
        <v>88</v>
      </c>
      <c r="B76" s="60">
        <f>D76</f>
        <v>0.42499999999999999</v>
      </c>
      <c r="C76" s="61"/>
      <c r="D76" s="15">
        <f>IF(B8&gt;Seuils!A9,Seuils!E9+Seuils!K9,IF(B8&gt;Seuils!I9,Seuils!E8+Seuils!K9,IF(B8&gt;Seuils!A8,Seuils!E8+Seuils!K8,IF(AND(D8&gt;Seuils!J56/90%,B8&gt;Seuils!A7),37.1%,IF(AND(B4=2,D8&gt;Seuils!J56/90%,B8&lt;Seuils!I7),28.5%,IF(AND(B4=2,D8&gt;Seuils!J56/90%,B8&lt;Seuils!A7),Seuils!K7+Seuils!E6+1%,IF(AND(B4=2,D8&gt;Seuils!D56/90%,B8&lt;Seuils!A7),35%,IF(AND(B4=2,D8&lt;27000),35%,IF(AND(B4=2,D8&lt;32500),45%,IF(AND(B4=2,D8&lt;36000),50%,IF(AND(B4=2,D8&lt;41500),58%,IF(AND(B4=2,D8&lt;47000),45%,IF(AND(B4=1,B8&gt;Seuils!J56/95%),Seuils!E7+Seuils!K7,IF(AND(B4=1,B8&gt;Seuils!D56/95%),44%,IF(AND(B4=1,B8&gt;Seuils!D55/90%),42.5%,IF(AND(B4=1,B8&gt;Seuils!J55/90%),37.5%,IF(AND(B4=1,B8&lt;Seuils!D12+Seuils!D19),30%,IF(AND(B4=1,B8&lt;Seuils!O32),44%,IF(AND(B4=1,B8&lt;Seuils!B277/90%),58%,IF(AND(B4=1,B8&lt;Seuils!O41/90%),37%,IF(AND(B4=1,B8&lt;Seuils!J16),28.5%,IF(AND(B4=1,B8&lt;Seuils!J16/90%),37.5%,IF(AND(B4=2,D8&gt;Seuils!J55+2410),44%,28.5%+10%)))))))))))))))))))))))</f>
        <v>0.42499999999999999</v>
      </c>
      <c r="E76" s="288">
        <f>D76</f>
        <v>0.42499999999999999</v>
      </c>
    </row>
    <row r="77" spans="1:6" ht="15.6" x14ac:dyDescent="0.3">
      <c r="A77" s="62" t="s">
        <v>58</v>
      </c>
      <c r="B77" s="63">
        <f>B79</f>
        <v>11029.137296391424</v>
      </c>
      <c r="C77" s="61"/>
      <c r="D77" s="64">
        <f>+D79/(1-D76)</f>
        <v>19181.108341550302</v>
      </c>
      <c r="E77" s="289">
        <f>PMT(E81,E80,,-E82)</f>
        <v>0</v>
      </c>
    </row>
    <row r="78" spans="1:6" ht="15.6" x14ac:dyDescent="0.3">
      <c r="A78" s="62" t="s">
        <v>83</v>
      </c>
      <c r="B78" s="65"/>
      <c r="C78" s="61"/>
      <c r="D78" s="64">
        <f>+D77*D76</f>
        <v>8151.971045158878</v>
      </c>
      <c r="E78" s="286">
        <f>+E77*E76</f>
        <v>0</v>
      </c>
    </row>
    <row r="79" spans="1:6" ht="15.6" x14ac:dyDescent="0.3">
      <c r="A79" s="62" t="s">
        <v>59</v>
      </c>
      <c r="B79" s="66">
        <f>PMT(D81,D80,,-Seuils!I293)</f>
        <v>11029.137296391424</v>
      </c>
      <c r="C79" s="61"/>
      <c r="D79" s="67">
        <f>B79</f>
        <v>11029.137296391424</v>
      </c>
      <c r="E79" s="287">
        <f>E77-E78</f>
        <v>0</v>
      </c>
    </row>
    <row r="80" spans="1:6" ht="15.6" x14ac:dyDescent="0.3">
      <c r="A80" s="62" t="s">
        <v>85</v>
      </c>
      <c r="B80" s="12">
        <f>' Épargne nécessaire'!E4</f>
        <v>15</v>
      </c>
      <c r="C80" s="68"/>
      <c r="D80" s="69">
        <f>B80</f>
        <v>15</v>
      </c>
      <c r="E80" s="290">
        <f>B80</f>
        <v>15</v>
      </c>
    </row>
    <row r="81" spans="1:10" ht="15.6" x14ac:dyDescent="0.3">
      <c r="A81" s="70" t="s">
        <v>86</v>
      </c>
      <c r="B81" s="13">
        <f>' Épargne nécessaire'!D23</f>
        <v>5.0999999999999997E-2</v>
      </c>
      <c r="C81" s="68"/>
      <c r="D81" s="71">
        <f>B81</f>
        <v>5.0999999999999997E-2</v>
      </c>
      <c r="E81" s="288">
        <f>B81</f>
        <v>5.0999999999999997E-2</v>
      </c>
    </row>
    <row r="82" spans="1:10" ht="16.2" thickBot="1" x14ac:dyDescent="0.35">
      <c r="A82" s="72" t="s">
        <v>60</v>
      </c>
      <c r="B82" s="35">
        <f>FV(B81,B80,-B77)</f>
        <v>239792.03562756503</v>
      </c>
      <c r="C82" s="73"/>
      <c r="D82" s="74">
        <f>FV(D81,D80,-D77)</f>
        <v>417029.62717837392</v>
      </c>
      <c r="E82" s="291" t="b">
        <f>B19</f>
        <v>0</v>
      </c>
    </row>
    <row r="83" spans="1:10" x14ac:dyDescent="0.3">
      <c r="A83" s="50"/>
      <c r="B83" s="50"/>
      <c r="C83" s="50"/>
      <c r="D83" s="50"/>
      <c r="E83" s="50"/>
    </row>
    <row r="84" spans="1:10" x14ac:dyDescent="0.3">
      <c r="A84" s="50"/>
      <c r="B84" s="50"/>
      <c r="C84" s="50"/>
      <c r="D84" s="50"/>
      <c r="E84" s="50"/>
    </row>
    <row r="85" spans="1:10" ht="15.6" x14ac:dyDescent="0.3">
      <c r="A85" s="39" t="s">
        <v>61</v>
      </c>
      <c r="B85" s="22">
        <f>B82</f>
        <v>239792.03562756503</v>
      </c>
      <c r="C85" s="38"/>
      <c r="D85" s="22">
        <f>D82</f>
        <v>417029.62717837392</v>
      </c>
      <c r="E85" s="50"/>
      <c r="F85" s="294" t="b">
        <f>E82</f>
        <v>0</v>
      </c>
    </row>
    <row r="86" spans="1:10" ht="15.6" x14ac:dyDescent="0.3">
      <c r="A86" s="37" t="s">
        <v>163</v>
      </c>
      <c r="B86" s="14">
        <f>Seuils!H299</f>
        <v>1.4591687041564771E-2</v>
      </c>
      <c r="C86" s="38"/>
      <c r="D86" s="75">
        <f>B86</f>
        <v>1.4591687041564771E-2</v>
      </c>
      <c r="E86" s="50"/>
      <c r="F86" s="96">
        <f>D86</f>
        <v>1.4591687041564771E-2</v>
      </c>
    </row>
    <row r="87" spans="1:10" ht="16.2" thickBot="1" x14ac:dyDescent="0.35">
      <c r="A87" s="38" t="s">
        <v>63</v>
      </c>
      <c r="B87" s="76">
        <f>IF('Optimisation retraite'!B13+'Optimisation retraite'!C13=0,Seuils!I292,Seuils!H347)</f>
        <v>9927.0487290000056</v>
      </c>
      <c r="C87" s="77" t="s">
        <v>100</v>
      </c>
      <c r="D87" s="76">
        <f>D56</f>
        <v>36923.449999999997</v>
      </c>
      <c r="E87" s="77" t="s">
        <v>100</v>
      </c>
      <c r="F87" s="294">
        <f>D87</f>
        <v>36923.449999999997</v>
      </c>
    </row>
    <row r="88" spans="1:10" ht="16.8" thickTop="1" thickBot="1" x14ac:dyDescent="0.35">
      <c r="A88" s="37" t="s">
        <v>62</v>
      </c>
      <c r="B88" s="293">
        <f>NPER(B86,B87,-B85,,1)</f>
        <v>29.461701900493281</v>
      </c>
      <c r="C88" s="79">
        <f>64+B88</f>
        <v>93.461701900493281</v>
      </c>
      <c r="D88" s="78">
        <f>NPER(D86,D87,-D85,,1)</f>
        <v>12.236156959093581</v>
      </c>
      <c r="E88" s="79">
        <f>64+D88</f>
        <v>76.236156959093577</v>
      </c>
      <c r="F88" s="295">
        <f>NPER(F86,F87,-F85,,1)</f>
        <v>0</v>
      </c>
    </row>
    <row r="89" spans="1:10" ht="16.2" thickTop="1" x14ac:dyDescent="0.3">
      <c r="A89" s="37" t="s">
        <v>64</v>
      </c>
      <c r="B89" s="76">
        <f>C119</f>
        <v>14462.085635328287</v>
      </c>
      <c r="C89" s="38"/>
      <c r="D89" s="76">
        <f>E119</f>
        <v>-658623.15443358477</v>
      </c>
      <c r="E89" s="50"/>
      <c r="G89" s="50"/>
      <c r="H89" s="50"/>
      <c r="I89" s="50"/>
    </row>
    <row r="90" spans="1:10" ht="15.6" x14ac:dyDescent="0.3">
      <c r="A90" s="37"/>
      <c r="B90" s="22" t="s">
        <v>238</v>
      </c>
      <c r="C90" s="296" t="s">
        <v>239</v>
      </c>
      <c r="D90" s="22" t="s">
        <v>237</v>
      </c>
      <c r="E90" s="296" t="s">
        <v>240</v>
      </c>
      <c r="G90" s="86" t="s">
        <v>65</v>
      </c>
      <c r="H90" s="86" t="s">
        <v>57</v>
      </c>
      <c r="I90" s="86" t="s">
        <v>45</v>
      </c>
      <c r="J90" s="86" t="s">
        <v>236</v>
      </c>
    </row>
    <row r="91" spans="1:10" ht="15.6" x14ac:dyDescent="0.3">
      <c r="A91" s="80" t="s">
        <v>65</v>
      </c>
      <c r="B91" s="38"/>
      <c r="C91" s="81">
        <f>B82</f>
        <v>239792.03562756503</v>
      </c>
      <c r="D91" s="38"/>
      <c r="E91" s="81">
        <f>D82</f>
        <v>417029.62717837392</v>
      </c>
      <c r="F91" s="82" t="b">
        <f>E82</f>
        <v>0</v>
      </c>
      <c r="G91" s="50"/>
      <c r="H91" s="87">
        <f>C91</f>
        <v>239792.03562756503</v>
      </c>
      <c r="I91" s="87">
        <f>E91</f>
        <v>417029.62717837392</v>
      </c>
      <c r="J91" s="292" t="b">
        <f>F91</f>
        <v>0</v>
      </c>
    </row>
    <row r="92" spans="1:10" ht="15.6" x14ac:dyDescent="0.3">
      <c r="A92" s="38">
        <v>65</v>
      </c>
      <c r="B92" s="81">
        <f t="shared" ref="B92:B121" si="2">$B$87</f>
        <v>9927.0487290000056</v>
      </c>
      <c r="C92" s="82">
        <f>(C91-B92)*(1+$B$86)</f>
        <v>233219.10484920227</v>
      </c>
      <c r="D92" s="81">
        <f t="shared" ref="D92:D121" si="3">$D$87</f>
        <v>36923.449999999997</v>
      </c>
      <c r="E92" s="82">
        <f>(E91-D92)*(1+$B$86)</f>
        <v>385652.56755832629</v>
      </c>
      <c r="F92" s="82">
        <f>(F91-$D$87)*(1+$B$86)</f>
        <v>-37462.22542689486</v>
      </c>
      <c r="G92" s="50">
        <f>A92</f>
        <v>65</v>
      </c>
      <c r="H92" s="88">
        <f>C92</f>
        <v>233219.10484920227</v>
      </c>
      <c r="I92" s="88">
        <f>E92</f>
        <v>385652.56755832629</v>
      </c>
      <c r="J92" s="292">
        <f t="shared" ref="J92:J121" si="4">F92</f>
        <v>-37462.22542689486</v>
      </c>
    </row>
    <row r="93" spans="1:10" ht="15.6" x14ac:dyDescent="0.3">
      <c r="A93" s="38">
        <f>A92+1</f>
        <v>66</v>
      </c>
      <c r="B93" s="81">
        <f t="shared" si="2"/>
        <v>9927.0487290000056</v>
      </c>
      <c r="C93" s="82">
        <f t="shared" ref="C93:C121" si="5">(C92-B93)*(1+$B$86)</f>
        <v>226550.26392197577</v>
      </c>
      <c r="D93" s="81">
        <f t="shared" si="3"/>
        <v>36923.449999999997</v>
      </c>
      <c r="E93" s="82">
        <f t="shared" ref="E93:E121" si="6">(E92-D93)*(1+$B$86)</f>
        <v>353817.6637040184</v>
      </c>
      <c r="F93" s="82">
        <f t="shared" ref="F93:F121" si="7">(F92-$D$87)*(1+$B$86)</f>
        <v>-75471.08792309952</v>
      </c>
      <c r="G93" s="50">
        <f t="shared" ref="G93:G121" si="8">A93</f>
        <v>66</v>
      </c>
      <c r="H93" s="88">
        <f t="shared" ref="H93:H121" si="9">C93</f>
        <v>226550.26392197577</v>
      </c>
      <c r="I93" s="88">
        <f t="shared" ref="I93:I121" si="10">E93</f>
        <v>353817.6637040184</v>
      </c>
      <c r="J93" s="292">
        <f t="shared" si="4"/>
        <v>-75471.08792309952</v>
      </c>
    </row>
    <row r="94" spans="1:10" ht="15.6" x14ac:dyDescent="0.3">
      <c r="A94" s="38">
        <f t="shared" ref="A94:A121" si="11">A93+1</f>
        <v>67</v>
      </c>
      <c r="B94" s="81">
        <f t="shared" si="2"/>
        <v>9927.0487290000056</v>
      </c>
      <c r="C94" s="82">
        <f t="shared" si="5"/>
        <v>219784.11335500921</v>
      </c>
      <c r="D94" s="81">
        <f t="shared" si="3"/>
        <v>36923.449999999997</v>
      </c>
      <c r="E94" s="82">
        <f t="shared" si="6"/>
        <v>321518.23489567015</v>
      </c>
      <c r="F94" s="82">
        <f t="shared" si="7"/>
        <v>-114034.56384565467</v>
      </c>
      <c r="G94" s="50">
        <f t="shared" si="8"/>
        <v>67</v>
      </c>
      <c r="H94" s="88">
        <f t="shared" si="9"/>
        <v>219784.11335500921</v>
      </c>
      <c r="I94" s="88">
        <f t="shared" si="10"/>
        <v>321518.23489567015</v>
      </c>
      <c r="J94" s="292">
        <f t="shared" si="4"/>
        <v>-114034.56384565467</v>
      </c>
    </row>
    <row r="95" spans="1:10" ht="15.6" x14ac:dyDescent="0.3">
      <c r="A95" s="38">
        <f t="shared" si="11"/>
        <v>68</v>
      </c>
      <c r="B95" s="81">
        <f t="shared" si="2"/>
        <v>9927.0487290000056</v>
      </c>
      <c r="C95" s="82">
        <f t="shared" si="5"/>
        <v>212919.23323649337</v>
      </c>
      <c r="D95" s="81">
        <f t="shared" si="3"/>
        <v>36923.449999999997</v>
      </c>
      <c r="E95" s="82">
        <f t="shared" si="6"/>
        <v>288747.50293052918</v>
      </c>
      <c r="F95" s="82">
        <f t="shared" si="7"/>
        <v>-153160.74594010666</v>
      </c>
      <c r="G95" s="50">
        <f t="shared" si="8"/>
        <v>68</v>
      </c>
      <c r="H95" s="88">
        <f t="shared" si="9"/>
        <v>212919.23323649337</v>
      </c>
      <c r="I95" s="88">
        <f t="shared" si="10"/>
        <v>288747.50293052918</v>
      </c>
      <c r="J95" s="292">
        <f t="shared" si="4"/>
        <v>-153160.74594010666</v>
      </c>
    </row>
    <row r="96" spans="1:10" ht="15.6" x14ac:dyDescent="0.3">
      <c r="A96" s="38">
        <f t="shared" si="11"/>
        <v>69</v>
      </c>
      <c r="B96" s="81">
        <f t="shared" si="2"/>
        <v>9927.0487290000056</v>
      </c>
      <c r="C96" s="82">
        <f t="shared" si="5"/>
        <v>205954.18293571027</v>
      </c>
      <c r="D96" s="81">
        <f t="shared" si="3"/>
        <v>36923.449999999997</v>
      </c>
      <c r="E96" s="82">
        <f t="shared" si="6"/>
        <v>255498.59070042989</v>
      </c>
      <c r="F96" s="82">
        <f t="shared" si="7"/>
        <v>-192857.84503881214</v>
      </c>
      <c r="G96" s="50">
        <f t="shared" si="8"/>
        <v>69</v>
      </c>
      <c r="H96" s="88">
        <f t="shared" si="9"/>
        <v>205954.18293571027</v>
      </c>
      <c r="I96" s="88">
        <f t="shared" si="10"/>
        <v>255498.59070042989</v>
      </c>
      <c r="J96" s="292">
        <f t="shared" si="4"/>
        <v>-192857.84503881214</v>
      </c>
    </row>
    <row r="97" spans="1:10" ht="15.6" x14ac:dyDescent="0.3">
      <c r="A97" s="38">
        <f t="shared" si="11"/>
        <v>70</v>
      </c>
      <c r="B97" s="81">
        <f t="shared" si="2"/>
        <v>9927.0487290000056</v>
      </c>
      <c r="C97" s="82">
        <f t="shared" si="5"/>
        <v>198887.50080070939</v>
      </c>
      <c r="D97" s="81">
        <f t="shared" si="3"/>
        <v>36923.449999999997</v>
      </c>
      <c r="E97" s="82">
        <f t="shared" si="6"/>
        <v>221764.52074859658</v>
      </c>
      <c r="F97" s="82">
        <f t="shared" si="7"/>
        <v>-233134.19178402395</v>
      </c>
      <c r="G97" s="50">
        <f t="shared" si="8"/>
        <v>70</v>
      </c>
      <c r="H97" s="88">
        <f t="shared" si="9"/>
        <v>198887.50080070939</v>
      </c>
      <c r="I97" s="88">
        <f t="shared" si="10"/>
        <v>221764.52074859658</v>
      </c>
      <c r="J97" s="292">
        <f t="shared" si="4"/>
        <v>-233134.19178402395</v>
      </c>
    </row>
    <row r="98" spans="1:10" ht="15.6" x14ac:dyDescent="0.3">
      <c r="A98" s="38">
        <f t="shared" si="11"/>
        <v>71</v>
      </c>
      <c r="B98" s="81">
        <f t="shared" si="2"/>
        <v>9927.0487290000056</v>
      </c>
      <c r="C98" s="82">
        <f t="shared" si="5"/>
        <v>191717.70385157235</v>
      </c>
      <c r="D98" s="81">
        <f t="shared" si="3"/>
        <v>36923.449999999997</v>
      </c>
      <c r="E98" s="82">
        <f t="shared" si="6"/>
        <v>187538.21380538782</v>
      </c>
      <c r="F98" s="82">
        <f t="shared" si="7"/>
        <v>-273998.23837611947</v>
      </c>
      <c r="G98" s="50">
        <f t="shared" si="8"/>
        <v>71</v>
      </c>
      <c r="H98" s="88">
        <f t="shared" si="9"/>
        <v>191717.70385157235</v>
      </c>
      <c r="I98" s="88">
        <f t="shared" si="10"/>
        <v>187538.21380538782</v>
      </c>
      <c r="J98" s="292">
        <f t="shared" si="4"/>
        <v>-273998.23837611947</v>
      </c>
    </row>
    <row r="99" spans="1:10" ht="15.6" x14ac:dyDescent="0.3">
      <c r="A99" s="38">
        <f t="shared" si="11"/>
        <v>72</v>
      </c>
      <c r="B99" s="81">
        <f t="shared" si="2"/>
        <v>9927.0487290000056</v>
      </c>
      <c r="C99" s="82">
        <f t="shared" si="5"/>
        <v>184443.28746920195</v>
      </c>
      <c r="D99" s="81">
        <f t="shared" si="3"/>
        <v>36923.449999999997</v>
      </c>
      <c r="E99" s="82">
        <f t="shared" si="6"/>
        <v>152812.48730267526</v>
      </c>
      <c r="F99" s="82">
        <f t="shared" si="7"/>
        <v>-315458.56034733873</v>
      </c>
      <c r="G99" s="50">
        <f t="shared" si="8"/>
        <v>72</v>
      </c>
      <c r="H99" s="88">
        <f t="shared" si="9"/>
        <v>184443.28746920195</v>
      </c>
      <c r="I99" s="88">
        <f t="shared" si="10"/>
        <v>152812.48730267526</v>
      </c>
      <c r="J99" s="292">
        <f t="shared" si="4"/>
        <v>-315458.56034733873</v>
      </c>
    </row>
    <row r="100" spans="1:10" ht="15.6" x14ac:dyDescent="0.3">
      <c r="A100" s="38">
        <f t="shared" si="11"/>
        <v>73</v>
      </c>
      <c r="B100" s="81">
        <f t="shared" si="2"/>
        <v>9927.0487290000056</v>
      </c>
      <c r="C100" s="82">
        <f t="shared" si="5"/>
        <v>177062.72507956999</v>
      </c>
      <c r="D100" s="81">
        <f t="shared" si="3"/>
        <v>36923.449999999997</v>
      </c>
      <c r="E100" s="82">
        <f t="shared" si="6"/>
        <v>117580.05386654413</v>
      </c>
      <c r="F100" s="82">
        <f t="shared" si="7"/>
        <v>-357523.85836140456</v>
      </c>
      <c r="G100" s="50">
        <f t="shared" si="8"/>
        <v>73</v>
      </c>
      <c r="H100" s="88">
        <f t="shared" si="9"/>
        <v>177062.72507956999</v>
      </c>
      <c r="I100" s="88">
        <f t="shared" si="10"/>
        <v>117580.05386654413</v>
      </c>
      <c r="J100" s="292">
        <f t="shared" si="4"/>
        <v>-357523.85836140456</v>
      </c>
    </row>
    <row r="101" spans="1:10" ht="15.6" x14ac:dyDescent="0.3">
      <c r="A101" s="38">
        <f t="shared" si="11"/>
        <v>74</v>
      </c>
      <c r="B101" s="81">
        <f t="shared" si="2"/>
        <v>9927.0487290000056</v>
      </c>
      <c r="C101" s="82">
        <f t="shared" si="5"/>
        <v>169574.46783335778</v>
      </c>
      <c r="D101" s="81">
        <f t="shared" si="3"/>
        <v>36923.449999999997</v>
      </c>
      <c r="E101" s="82">
        <f t="shared" si="6"/>
        <v>81833.519788000209</v>
      </c>
      <c r="F101" s="82">
        <f t="shared" si="7"/>
        <v>-400202.96003940178</v>
      </c>
      <c r="G101" s="50">
        <f t="shared" si="8"/>
        <v>74</v>
      </c>
      <c r="H101" s="88">
        <f t="shared" si="9"/>
        <v>169574.46783335778</v>
      </c>
      <c r="I101" s="88">
        <f t="shared" si="10"/>
        <v>81833.519788000209</v>
      </c>
      <c r="J101" s="292">
        <f t="shared" si="4"/>
        <v>-400202.96003940178</v>
      </c>
    </row>
    <row r="102" spans="1:10" ht="15.6" x14ac:dyDescent="0.3">
      <c r="A102" s="38">
        <f t="shared" si="11"/>
        <v>75</v>
      </c>
      <c r="B102" s="81">
        <f t="shared" si="2"/>
        <v>9927.0487290000056</v>
      </c>
      <c r="C102" s="82">
        <f t="shared" si="5"/>
        <v>161976.94428092209</v>
      </c>
      <c r="D102" s="81">
        <f t="shared" si="3"/>
        <v>36923.449999999997</v>
      </c>
      <c r="E102" s="82">
        <f t="shared" si="6"/>
        <v>45565.383471361543</v>
      </c>
      <c r="F102" s="82">
        <f t="shared" si="7"/>
        <v>-443504.82181229943</v>
      </c>
      <c r="G102" s="50">
        <f t="shared" si="8"/>
        <v>75</v>
      </c>
      <c r="H102" s="88">
        <f t="shared" si="9"/>
        <v>161976.94428092209</v>
      </c>
      <c r="I102" s="88">
        <f t="shared" si="10"/>
        <v>45565.383471361543</v>
      </c>
      <c r="J102" s="292">
        <f t="shared" si="4"/>
        <v>-443504.82181229943</v>
      </c>
    </row>
    <row r="103" spans="1:10" ht="15.6" x14ac:dyDescent="0.3">
      <c r="A103" s="38">
        <f t="shared" si="11"/>
        <v>76</v>
      </c>
      <c r="B103" s="81">
        <f t="shared" si="2"/>
        <v>9927.0487290000056</v>
      </c>
      <c r="C103" s="82">
        <f t="shared" si="5"/>
        <v>154268.56004251834</v>
      </c>
      <c r="D103" s="81">
        <f t="shared" si="3"/>
        <v>36923.449999999997</v>
      </c>
      <c r="E103" s="82">
        <f t="shared" si="6"/>
        <v>8768.0338600096766</v>
      </c>
      <c r="F103" s="82">
        <f t="shared" si="7"/>
        <v>-487438.53080050432</v>
      </c>
      <c r="G103" s="50">
        <f t="shared" si="8"/>
        <v>76</v>
      </c>
      <c r="H103" s="88">
        <f t="shared" si="9"/>
        <v>154268.56004251834</v>
      </c>
      <c r="I103" s="88">
        <f t="shared" si="10"/>
        <v>8768.0338600096766</v>
      </c>
      <c r="J103" s="292">
        <f t="shared" si="4"/>
        <v>-487438.53080050432</v>
      </c>
    </row>
    <row r="104" spans="1:10" ht="15.6" x14ac:dyDescent="0.3">
      <c r="A104" s="38">
        <f t="shared" si="11"/>
        <v>77</v>
      </c>
      <c r="B104" s="81">
        <f t="shared" si="2"/>
        <v>9927.0487290000056</v>
      </c>
      <c r="C104" s="82">
        <f t="shared" si="5"/>
        <v>146447.69747371168</v>
      </c>
      <c r="D104" s="81">
        <f t="shared" si="3"/>
        <v>36923.449999999997</v>
      </c>
      <c r="E104" s="82">
        <f t="shared" si="6"/>
        <v>-28566.251160830081</v>
      </c>
      <c r="F104" s="82">
        <f t="shared" si="7"/>
        <v>-532013.30672084028</v>
      </c>
      <c r="G104" s="50">
        <f t="shared" si="8"/>
        <v>77</v>
      </c>
      <c r="H104" s="88">
        <f t="shared" si="9"/>
        <v>146447.69747371168</v>
      </c>
      <c r="I104" s="88">
        <f t="shared" si="10"/>
        <v>-28566.251160830081</v>
      </c>
      <c r="J104" s="292">
        <f t="shared" si="4"/>
        <v>-532013.30672084028</v>
      </c>
    </row>
    <row r="105" spans="1:10" ht="15.6" x14ac:dyDescent="0.3">
      <c r="A105" s="38">
        <f t="shared" si="11"/>
        <v>78</v>
      </c>
      <c r="B105" s="81">
        <f t="shared" si="2"/>
        <v>9927.0487290000056</v>
      </c>
      <c r="C105" s="82">
        <f t="shared" si="5"/>
        <v>138512.71532590591</v>
      </c>
      <c r="D105" s="81">
        <f t="shared" si="3"/>
        <v>36923.449999999997</v>
      </c>
      <c r="E105" s="82">
        <f t="shared" si="6"/>
        <v>-66445.306384614509</v>
      </c>
      <c r="F105" s="82">
        <f t="shared" si="7"/>
        <v>-577238.50382135366</v>
      </c>
      <c r="G105" s="50">
        <f t="shared" si="8"/>
        <v>78</v>
      </c>
      <c r="H105" s="88">
        <f t="shared" si="9"/>
        <v>138512.71532590591</v>
      </c>
      <c r="I105" s="88">
        <f t="shared" si="10"/>
        <v>-66445.306384614509</v>
      </c>
      <c r="J105" s="292">
        <f t="shared" si="4"/>
        <v>-577238.50382135366</v>
      </c>
    </row>
    <row r="106" spans="1:10" ht="15.6" x14ac:dyDescent="0.3">
      <c r="A106" s="38">
        <f t="shared" si="11"/>
        <v>79</v>
      </c>
      <c r="B106" s="81">
        <f t="shared" si="2"/>
        <v>9927.0487290000056</v>
      </c>
      <c r="C106" s="82">
        <f t="shared" si="5"/>
        <v>130461.94840191895</v>
      </c>
      <c r="D106" s="81">
        <f t="shared" si="3"/>
        <v>36923.449999999997</v>
      </c>
      <c r="E106" s="82">
        <f t="shared" si="6"/>
        <v>-104877.08092765455</v>
      </c>
      <c r="F106" s="82">
        <f t="shared" si="7"/>
        <v>-623123.61284435075</v>
      </c>
      <c r="G106" s="50">
        <f t="shared" si="8"/>
        <v>79</v>
      </c>
      <c r="H106" s="88">
        <f t="shared" si="9"/>
        <v>130461.94840191895</v>
      </c>
      <c r="I106" s="88">
        <f t="shared" si="10"/>
        <v>-104877.08092765455</v>
      </c>
      <c r="J106" s="292">
        <f t="shared" si="4"/>
        <v>-623123.61284435075</v>
      </c>
    </row>
    <row r="107" spans="1:10" ht="15.6" x14ac:dyDescent="0.3">
      <c r="A107" s="38">
        <f t="shared" si="11"/>
        <v>80</v>
      </c>
      <c r="B107" s="81">
        <f t="shared" si="2"/>
        <v>9927.0487290000056</v>
      </c>
      <c r="C107" s="82">
        <f t="shared" si="5"/>
        <v>122293.70720653259</v>
      </c>
      <c r="D107" s="81">
        <f t="shared" si="3"/>
        <v>36923.449999999997</v>
      </c>
      <c r="E107" s="82">
        <f t="shared" si="6"/>
        <v>-143869.6398972786</v>
      </c>
      <c r="F107" s="82">
        <f t="shared" si="7"/>
        <v>-669678.26301807945</v>
      </c>
      <c r="G107" s="50">
        <f t="shared" si="8"/>
        <v>80</v>
      </c>
      <c r="H107" s="88">
        <f t="shared" si="9"/>
        <v>122293.70720653259</v>
      </c>
      <c r="I107" s="88">
        <f t="shared" si="10"/>
        <v>-143869.6398972786</v>
      </c>
      <c r="J107" s="292">
        <f t="shared" si="4"/>
        <v>-669678.26301807945</v>
      </c>
    </row>
    <row r="108" spans="1:10" ht="15.6" x14ac:dyDescent="0.3">
      <c r="A108" s="38">
        <f t="shared" si="11"/>
        <v>81</v>
      </c>
      <c r="B108" s="81">
        <f t="shared" si="2"/>
        <v>9927.0487290000056</v>
      </c>
      <c r="C108" s="82">
        <f t="shared" si="5"/>
        <v>114006.27759194313</v>
      </c>
      <c r="D108" s="81">
        <f t="shared" si="3"/>
        <v>36923.449999999997</v>
      </c>
      <c r="E108" s="82">
        <f t="shared" si="6"/>
        <v>-183431.16608433716</v>
      </c>
      <c r="F108" s="82">
        <f t="shared" si="7"/>
        <v>-716912.22407747281</v>
      </c>
      <c r="G108" s="50">
        <f t="shared" si="8"/>
        <v>81</v>
      </c>
      <c r="H108" s="88">
        <f t="shared" si="9"/>
        <v>114006.27759194313</v>
      </c>
      <c r="I108" s="88">
        <f t="shared" si="10"/>
        <v>-183431.16608433716</v>
      </c>
      <c r="J108" s="292">
        <f t="shared" si="4"/>
        <v>-716912.22407747281</v>
      </c>
    </row>
    <row r="109" spans="1:10" ht="15.6" x14ac:dyDescent="0.3">
      <c r="A109" s="38">
        <f t="shared" si="11"/>
        <v>82</v>
      </c>
      <c r="B109" s="81">
        <f t="shared" si="2"/>
        <v>9927.0487290000056</v>
      </c>
      <c r="C109" s="82">
        <f t="shared" si="5"/>
        <v>105597.92039803859</v>
      </c>
      <c r="D109" s="81">
        <f t="shared" si="3"/>
        <v>36923.449999999997</v>
      </c>
      <c r="E109" s="82">
        <f t="shared" si="6"/>
        <v>-223569.96168040397</v>
      </c>
      <c r="F109" s="82">
        <f t="shared" si="7"/>
        <v>-764835.40831437823</v>
      </c>
      <c r="G109" s="50">
        <f t="shared" si="8"/>
        <v>82</v>
      </c>
      <c r="H109" s="88">
        <f t="shared" si="9"/>
        <v>105597.92039803859</v>
      </c>
      <c r="I109" s="88">
        <f t="shared" si="10"/>
        <v>-223569.96168040397</v>
      </c>
      <c r="J109" s="292">
        <f t="shared" si="4"/>
        <v>-764835.40831437823</v>
      </c>
    </row>
    <row r="110" spans="1:10" ht="15.6" x14ac:dyDescent="0.3">
      <c r="A110" s="38">
        <f t="shared" si="11"/>
        <v>83</v>
      </c>
      <c r="B110" s="81">
        <f t="shared" si="2"/>
        <v>9927.0487290000056</v>
      </c>
      <c r="C110" s="82">
        <f t="shared" si="5"/>
        <v>97066.871087426902</v>
      </c>
      <c r="D110" s="81">
        <f t="shared" si="3"/>
        <v>36923.449999999997</v>
      </c>
      <c r="E110" s="82">
        <f t="shared" si="6"/>
        <v>-264294.45002003392</v>
      </c>
      <c r="F110" s="82">
        <f t="shared" si="7"/>
        <v>-813457.87265770382</v>
      </c>
      <c r="G110" s="50">
        <f t="shared" si="8"/>
        <v>83</v>
      </c>
      <c r="H110" s="88">
        <f t="shared" si="9"/>
        <v>97066.871087426902</v>
      </c>
      <c r="I110" s="88">
        <f t="shared" si="10"/>
        <v>-264294.45002003392</v>
      </c>
      <c r="J110" s="292">
        <f t="shared" si="4"/>
        <v>-813457.87265770382</v>
      </c>
    </row>
    <row r="111" spans="1:10" ht="15.6" x14ac:dyDescent="0.3">
      <c r="A111" s="38">
        <f t="shared" si="11"/>
        <v>84</v>
      </c>
      <c r="B111" s="81">
        <f t="shared" si="2"/>
        <v>9927.0487290000056</v>
      </c>
      <c r="C111" s="82">
        <f t="shared" si="5"/>
        <v>88411.339375138617</v>
      </c>
      <c r="D111" s="81">
        <f t="shared" si="3"/>
        <v>36923.449999999997</v>
      </c>
      <c r="E111" s="82">
        <f t="shared" si="6"/>
        <v>-305613.1773484436</v>
      </c>
      <c r="F111" s="82">
        <f t="shared" si="7"/>
        <v>-862789.82078391686</v>
      </c>
      <c r="G111" s="50">
        <f t="shared" si="8"/>
        <v>84</v>
      </c>
      <c r="H111" s="88">
        <f t="shared" si="9"/>
        <v>88411.339375138617</v>
      </c>
      <c r="I111" s="88">
        <f t="shared" si="10"/>
        <v>-305613.1773484436</v>
      </c>
      <c r="J111" s="292">
        <f t="shared" si="4"/>
        <v>-862789.82078391686</v>
      </c>
    </row>
    <row r="112" spans="1:10" ht="15.6" x14ac:dyDescent="0.3">
      <c r="A112" s="38">
        <f t="shared" si="11"/>
        <v>85</v>
      </c>
      <c r="B112" s="81">
        <f t="shared" si="2"/>
        <v>9927.0487290000056</v>
      </c>
      <c r="C112" s="82">
        <f t="shared" si="5"/>
        <v>79629.508852926287</v>
      </c>
      <c r="D112" s="81">
        <f t="shared" si="3"/>
        <v>36923.449999999997</v>
      </c>
      <c r="E112" s="82">
        <f t="shared" si="6"/>
        <v>-347534.8146149852</v>
      </c>
      <c r="F112" s="82">
        <f t="shared" si="7"/>
        <v>-912841.60525833839</v>
      </c>
      <c r="G112" s="50">
        <f t="shared" si="8"/>
        <v>85</v>
      </c>
      <c r="H112" s="88">
        <f t="shared" si="9"/>
        <v>79629.508852926287</v>
      </c>
      <c r="I112" s="88">
        <f t="shared" si="10"/>
        <v>-347534.8146149852</v>
      </c>
      <c r="J112" s="292">
        <f t="shared" si="4"/>
        <v>-912841.60525833839</v>
      </c>
    </row>
    <row r="113" spans="1:10" ht="15.6" x14ac:dyDescent="0.3">
      <c r="A113" s="38">
        <f t="shared" si="11"/>
        <v>86</v>
      </c>
      <c r="B113" s="81">
        <f t="shared" si="2"/>
        <v>9927.0487290000056</v>
      </c>
      <c r="C113" s="82">
        <f t="shared" si="5"/>
        <v>70719.536608081762</v>
      </c>
      <c r="D113" s="81">
        <f t="shared" si="3"/>
        <v>36923.449999999997</v>
      </c>
      <c r="E113" s="82">
        <f t="shared" si="6"/>
        <v>-390068.15929279017</v>
      </c>
      <c r="F113" s="82">
        <f t="shared" si="7"/>
        <v>-963623.72970768251</v>
      </c>
      <c r="G113" s="50">
        <f t="shared" si="8"/>
        <v>86</v>
      </c>
      <c r="H113" s="88">
        <f t="shared" si="9"/>
        <v>70719.536608081762</v>
      </c>
      <c r="I113" s="88">
        <f t="shared" si="10"/>
        <v>-390068.15929279017</v>
      </c>
      <c r="J113" s="292">
        <f t="shared" si="4"/>
        <v>-963623.72970768251</v>
      </c>
    </row>
    <row r="114" spans="1:10" ht="15.6" x14ac:dyDescent="0.3">
      <c r="A114" s="38">
        <f t="shared" si="11"/>
        <v>87</v>
      </c>
      <c r="B114" s="81">
        <f t="shared" si="2"/>
        <v>9927.0487290000056</v>
      </c>
      <c r="C114" s="82">
        <f t="shared" si="5"/>
        <v>61679.552836691444</v>
      </c>
      <c r="D114" s="81">
        <f t="shared" si="3"/>
        <v>36923.449999999997</v>
      </c>
      <c r="E114" s="82">
        <f t="shared" si="6"/>
        <v>-433222.13722496468</v>
      </c>
      <c r="F114" s="82">
        <f t="shared" si="7"/>
        <v>-1015146.8510242972</v>
      </c>
      <c r="G114" s="50">
        <f t="shared" si="8"/>
        <v>87</v>
      </c>
      <c r="H114" s="88">
        <f t="shared" si="9"/>
        <v>61679.552836691444</v>
      </c>
      <c r="I114" s="88">
        <f t="shared" si="10"/>
        <v>-433222.13722496468</v>
      </c>
      <c r="J114" s="292">
        <f t="shared" si="4"/>
        <v>-1015146.8510242972</v>
      </c>
    </row>
    <row r="115" spans="1:10" ht="15.6" x14ac:dyDescent="0.3">
      <c r="A115" s="38">
        <f t="shared" si="11"/>
        <v>88</v>
      </c>
      <c r="B115" s="81">
        <f t="shared" si="2"/>
        <v>9927.0487290000056</v>
      </c>
      <c r="C115" s="82">
        <f t="shared" si="5"/>
        <v>52507.660451248164</v>
      </c>
      <c r="D115" s="81">
        <f t="shared" si="3"/>
        <v>36923.449999999997</v>
      </c>
      <c r="E115" s="82">
        <f t="shared" si="6"/>
        <v>-477005.80449772405</v>
      </c>
      <c r="F115" s="82">
        <f t="shared" si="7"/>
        <v>-1067421.7816025687</v>
      </c>
      <c r="G115" s="50">
        <f t="shared" si="8"/>
        <v>88</v>
      </c>
      <c r="H115" s="88">
        <f t="shared" si="9"/>
        <v>52507.660451248164</v>
      </c>
      <c r="I115" s="88">
        <f t="shared" si="10"/>
        <v>-477005.80449772405</v>
      </c>
      <c r="J115" s="292">
        <f t="shared" si="4"/>
        <v>-1067421.7816025687</v>
      </c>
    </row>
    <row r="116" spans="1:10" ht="15.6" x14ac:dyDescent="0.3">
      <c r="A116" s="38">
        <f t="shared" si="11"/>
        <v>89</v>
      </c>
      <c r="B116" s="81">
        <f t="shared" si="2"/>
        <v>9927.0487290000056</v>
      </c>
      <c r="C116" s="82">
        <f t="shared" si="5"/>
        <v>43201.934682537583</v>
      </c>
      <c r="D116" s="81">
        <f t="shared" si="3"/>
        <v>36923.449999999997</v>
      </c>
      <c r="E116" s="82">
        <f t="shared" si="6"/>
        <v>-521428.34934085957</v>
      </c>
      <c r="F116" s="82">
        <f t="shared" si="7"/>
        <v>-1120459.4916079578</v>
      </c>
      <c r="G116" s="50">
        <f t="shared" si="8"/>
        <v>89</v>
      </c>
      <c r="H116" s="88">
        <f t="shared" si="9"/>
        <v>43201.934682537583</v>
      </c>
      <c r="I116" s="88">
        <f t="shared" si="10"/>
        <v>-521428.34934085957</v>
      </c>
      <c r="J116" s="292">
        <f t="shared" si="4"/>
        <v>-1120459.4916079578</v>
      </c>
    </row>
    <row r="117" spans="1:10" ht="15.6" x14ac:dyDescent="0.3">
      <c r="A117" s="38">
        <f t="shared" si="11"/>
        <v>90</v>
      </c>
      <c r="B117" s="81">
        <f t="shared" si="2"/>
        <v>9927.0487290000056</v>
      </c>
      <c r="C117" s="82">
        <f t="shared" si="5"/>
        <v>33760.422675715359</v>
      </c>
      <c r="D117" s="81">
        <f t="shared" si="3"/>
        <v>36923.449999999997</v>
      </c>
      <c r="E117" s="82">
        <f t="shared" si="6"/>
        <v>-566499.09405593586</v>
      </c>
      <c r="F117" s="82">
        <f t="shared" si="7"/>
        <v>-1174271.1112791467</v>
      </c>
      <c r="G117" s="50">
        <f t="shared" si="8"/>
        <v>90</v>
      </c>
      <c r="H117" s="88">
        <f t="shared" si="9"/>
        <v>33760.422675715359</v>
      </c>
      <c r="I117" s="88">
        <f t="shared" si="10"/>
        <v>-566499.09405593586</v>
      </c>
      <c r="J117" s="292">
        <f t="shared" si="4"/>
        <v>-1174271.1112791467</v>
      </c>
    </row>
    <row r="118" spans="1:10" ht="15.6" x14ac:dyDescent="0.3">
      <c r="A118" s="38">
        <f t="shared" si="11"/>
        <v>91</v>
      </c>
      <c r="B118" s="81">
        <f t="shared" si="2"/>
        <v>9927.0487290000056</v>
      </c>
      <c r="C118" s="82">
        <f t="shared" si="5"/>
        <v>24181.143080490408</v>
      </c>
      <c r="D118" s="81">
        <f t="shared" si="3"/>
        <v>36923.449999999997</v>
      </c>
      <c r="E118" s="82">
        <f t="shared" si="6"/>
        <v>-612227.49697262491</v>
      </c>
      <c r="F118" s="82">
        <f t="shared" si="7"/>
        <v>-1228867.9332637773</v>
      </c>
      <c r="G118" s="50">
        <f t="shared" si="8"/>
        <v>91</v>
      </c>
      <c r="H118" s="88">
        <f t="shared" si="9"/>
        <v>24181.143080490408</v>
      </c>
      <c r="I118" s="88">
        <f t="shared" si="10"/>
        <v>-612227.49697262491</v>
      </c>
      <c r="J118" s="292">
        <f t="shared" si="4"/>
        <v>-1228867.9332637773</v>
      </c>
    </row>
    <row r="119" spans="1:10" ht="15.6" x14ac:dyDescent="0.3">
      <c r="A119" s="38">
        <f t="shared" si="11"/>
        <v>92</v>
      </c>
      <c r="B119" s="81">
        <f t="shared" si="2"/>
        <v>9927.0487290000056</v>
      </c>
      <c r="C119" s="82">
        <f t="shared" si="5"/>
        <v>14462.085635328287</v>
      </c>
      <c r="D119" s="81">
        <f t="shared" si="3"/>
        <v>36923.449999999997</v>
      </c>
      <c r="E119" s="82">
        <f t="shared" si="6"/>
        <v>-658623.15443358477</v>
      </c>
      <c r="F119" s="82">
        <f t="shared" si="7"/>
        <v>-1284261.4149882717</v>
      </c>
      <c r="G119" s="50">
        <f t="shared" si="8"/>
        <v>92</v>
      </c>
      <c r="H119" s="88">
        <f t="shared" si="9"/>
        <v>14462.085635328287</v>
      </c>
      <c r="I119" s="88">
        <f t="shared" si="10"/>
        <v>-658623.15443358477</v>
      </c>
      <c r="J119" s="292">
        <f t="shared" si="4"/>
        <v>-1284261.4149882717</v>
      </c>
    </row>
    <row r="120" spans="1:10" ht="15.6" x14ac:dyDescent="0.3">
      <c r="A120" s="38">
        <f t="shared" si="11"/>
        <v>93</v>
      </c>
      <c r="B120" s="81">
        <f t="shared" si="2"/>
        <v>9927.0487290000056</v>
      </c>
      <c r="C120" s="82">
        <f t="shared" si="5"/>
        <v>4601.2107455873702</v>
      </c>
      <c r="D120" s="81">
        <f t="shared" si="3"/>
        <v>36923.449999999997</v>
      </c>
      <c r="E120" s="82">
        <f t="shared" si="6"/>
        <v>-705695.80280830269</v>
      </c>
      <c r="F120" s="82">
        <f t="shared" si="7"/>
        <v>-1340463.1810622325</v>
      </c>
      <c r="G120" s="50">
        <f t="shared" si="8"/>
        <v>93</v>
      </c>
      <c r="H120" s="88">
        <f t="shared" si="9"/>
        <v>4601.2107455873702</v>
      </c>
      <c r="I120" s="88">
        <f t="shared" si="10"/>
        <v>-705695.80280830269</v>
      </c>
      <c r="J120" s="292">
        <f t="shared" si="4"/>
        <v>-1340463.1810622325</v>
      </c>
    </row>
    <row r="121" spans="1:10" ht="15.6" x14ac:dyDescent="0.3">
      <c r="A121" s="38">
        <f t="shared" si="11"/>
        <v>94</v>
      </c>
      <c r="B121" s="81">
        <f t="shared" si="2"/>
        <v>9927.0487290000056</v>
      </c>
      <c r="C121" s="82">
        <f t="shared" si="5"/>
        <v>-5403.550944500671</v>
      </c>
      <c r="D121" s="81">
        <f t="shared" si="3"/>
        <v>36923.449999999997</v>
      </c>
      <c r="E121" s="82">
        <f t="shared" si="6"/>
        <v>-753455.32053632208</v>
      </c>
      <c r="F121" s="82">
        <f t="shared" si="7"/>
        <v>-1397485.0257179278</v>
      </c>
      <c r="G121" s="50">
        <f t="shared" si="8"/>
        <v>94</v>
      </c>
      <c r="H121" s="88">
        <f t="shared" si="9"/>
        <v>-5403.550944500671</v>
      </c>
      <c r="I121" s="88">
        <f t="shared" si="10"/>
        <v>-753455.32053632208</v>
      </c>
      <c r="J121" s="292">
        <f t="shared" si="4"/>
        <v>-1397485.0257179278</v>
      </c>
    </row>
  </sheetData>
  <sheetProtection algorithmName="SHA-512" hashValue="CXevZTJP+eofu8JLcDu+KRssMT5x/6NmyqdbSZICfRIWPNjCnHBQX21BZ1t1iegxaRVurEIBha8Yq+HP3Lv8nQ==" saltValue="kXPzCXoofn2+V0B+ywh3iA==" spinCount="100000" sheet="1" objects="1" scenarios="1"/>
  <mergeCells count="8">
    <mergeCell ref="F47:L47"/>
    <mergeCell ref="F48:L48"/>
    <mergeCell ref="A1:E1"/>
    <mergeCell ref="K14:M14"/>
    <mergeCell ref="B22:C22"/>
    <mergeCell ref="D22:E22"/>
    <mergeCell ref="B30:C30"/>
    <mergeCell ref="D30:E30"/>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EA984-6B66-4D3F-8D9B-E281CA1B29D5}">
  <dimension ref="A1:P113"/>
  <sheetViews>
    <sheetView workbookViewId="0">
      <selection activeCell="E37" sqref="E37"/>
    </sheetView>
  </sheetViews>
  <sheetFormatPr baseColWidth="10" defaultRowHeight="14.4" x14ac:dyDescent="0.3"/>
  <cols>
    <col min="1" max="1" width="44.5546875" customWidth="1"/>
  </cols>
  <sheetData>
    <row r="1" spans="1:16" ht="21" x14ac:dyDescent="0.4">
      <c r="A1" s="591" t="s">
        <v>167</v>
      </c>
      <c r="B1" s="592"/>
      <c r="C1" s="592"/>
      <c r="D1" s="592"/>
      <c r="E1" s="592"/>
    </row>
    <row r="2" spans="1:16" ht="21" x14ac:dyDescent="0.4">
      <c r="A2" s="6"/>
    </row>
    <row r="3" spans="1:16" x14ac:dyDescent="0.3">
      <c r="B3" t="s">
        <v>67</v>
      </c>
      <c r="C3" t="s">
        <v>68</v>
      </c>
      <c r="D3" t="s">
        <v>69</v>
      </c>
      <c r="F3" s="50" t="s">
        <v>102</v>
      </c>
      <c r="G3" s="50"/>
    </row>
    <row r="4" spans="1:16" ht="15.6" x14ac:dyDescent="0.3">
      <c r="A4" s="1" t="s">
        <v>66</v>
      </c>
      <c r="B4" s="10">
        <f>'Optimisation retraite'!B4</f>
        <v>1</v>
      </c>
      <c r="C4" s="19"/>
      <c r="F4" s="50" t="s">
        <v>67</v>
      </c>
      <c r="G4" s="50" t="s">
        <v>103</v>
      </c>
    </row>
    <row r="5" spans="1:16" ht="15.6" x14ac:dyDescent="0.3">
      <c r="A5" s="1" t="s">
        <v>256</v>
      </c>
      <c r="B5" s="20">
        <f>'Optimisation retraite'!B5</f>
        <v>50</v>
      </c>
      <c r="C5" s="20">
        <f>'Optimisation retraite'!C5</f>
        <v>0</v>
      </c>
      <c r="D5" t="s">
        <v>69</v>
      </c>
      <c r="F5" s="50">
        <f>IF(B5&gt;=65,0,65-B5)</f>
        <v>15</v>
      </c>
      <c r="G5" s="50">
        <f>IF(B4=1,0,IF(C5&gt;=65,0,65-C5))</f>
        <v>0</v>
      </c>
      <c r="H5" s="305">
        <f>MAX(F5,G5)</f>
        <v>15</v>
      </c>
    </row>
    <row r="6" spans="1:16" ht="15.6" x14ac:dyDescent="0.3">
      <c r="A6" s="1" t="s">
        <v>266</v>
      </c>
      <c r="B6" s="20">
        <f>'Optimisation retraite'!B6</f>
        <v>65</v>
      </c>
      <c r="C6" s="20">
        <f>'Optimisation retraite'!C6</f>
        <v>0</v>
      </c>
      <c r="F6" s="50">
        <f>IF(B6&gt;=65,0,65-B6)</f>
        <v>0</v>
      </c>
      <c r="G6" s="50">
        <f>IF(B4=1,0,IF(C6&gt;=65,0,65-C6))</f>
        <v>0</v>
      </c>
      <c r="H6" s="305">
        <f>MAX(F6,G6)</f>
        <v>0</v>
      </c>
      <c r="I6">
        <f>ABS(B6-C6)</f>
        <v>65</v>
      </c>
    </row>
    <row r="7" spans="1:16" ht="16.2" thickBot="1" x14ac:dyDescent="0.35">
      <c r="A7" s="1" t="s">
        <v>378</v>
      </c>
      <c r="B7" s="20">
        <f>B6</f>
        <v>65</v>
      </c>
      <c r="C7" s="20">
        <f>C6</f>
        <v>0</v>
      </c>
      <c r="F7" s="50">
        <f>IF(B6&gt;=60,0,60-B6)</f>
        <v>0</v>
      </c>
      <c r="G7" s="50">
        <f>IF(C6&gt;=60,0,60-C6)</f>
        <v>60</v>
      </c>
      <c r="H7" s="305">
        <f>MAX(F7,G7)</f>
        <v>60</v>
      </c>
      <c r="I7">
        <f>MIN(B6:C6)</f>
        <v>0</v>
      </c>
      <c r="J7">
        <f>IF(I7&lt;55,55-I7)</f>
        <v>55</v>
      </c>
      <c r="O7" t="s">
        <v>412</v>
      </c>
    </row>
    <row r="8" spans="1:16" ht="16.2" thickBot="1" x14ac:dyDescent="0.35">
      <c r="A8" s="5" t="s">
        <v>78</v>
      </c>
      <c r="B8" s="11">
        <f>'Optimisation retraite'!B7</f>
        <v>50000</v>
      </c>
      <c r="C8" s="11">
        <f>'Optimisation retraite'!C7</f>
        <v>0</v>
      </c>
      <c r="D8" s="21">
        <f>SUM(B8:C8)</f>
        <v>50000</v>
      </c>
      <c r="E8" s="96"/>
      <c r="F8" s="85">
        <f>IF(AND(B8=6,B10&gt;0),F10/(F10+G10),B8/(B8+C8))</f>
        <v>1</v>
      </c>
      <c r="G8" s="85">
        <f>100%-F8</f>
        <v>0</v>
      </c>
      <c r="H8">
        <f>MAX(B6,C6)</f>
        <v>65</v>
      </c>
      <c r="I8">
        <f>IF(OR(B6&gt;59,C6&gt;59),65-H8)</f>
        <v>0</v>
      </c>
      <c r="J8" s="544">
        <v>0</v>
      </c>
      <c r="O8" t="s">
        <v>413</v>
      </c>
      <c r="P8" t="s">
        <v>41</v>
      </c>
    </row>
    <row r="9" spans="1:16" ht="16.2" thickBot="1" x14ac:dyDescent="0.35">
      <c r="A9" s="5" t="s">
        <v>134</v>
      </c>
      <c r="B9" s="11">
        <f>IF($B$5&lt;65,0,IF($B$5=65,'Optimisation retraite'!B8,'Optimisation retraite'!B8*POWER(1+Seuils!$H$296,$B$5-64)))</f>
        <v>0</v>
      </c>
      <c r="C9" s="11">
        <f>IF($C$5&lt;65,0,IF($C$5=65,'Optimisation retraite'!C8,'Optimisation retraite'!C8*POWER(1+Seuils!$H$296,$C$5-64)))</f>
        <v>0</v>
      </c>
      <c r="D9" s="21"/>
      <c r="E9" s="1"/>
      <c r="F9" s="88" t="str">
        <f>IF(B8&gt;0," ",(B10*61600/80%)/(61600*25%*94.15%))</f>
        <v xml:space="preserve"> </v>
      </c>
      <c r="G9" s="88" t="str">
        <f>IF(OR(B4=1,C8&gt;0)," ",(C10*61600/80%)/(61600*25%*94.15%))</f>
        <v xml:space="preserve"> </v>
      </c>
      <c r="L9">
        <f>IF(AND(B4=1,C27&lt;Seuils!D55),Seuils!D55,IF(AND(B4=1,'Optimisation retraite'!P9=0),Seuils!J7,IF('Optimal &lt; 65'!B4=1,'Optimisation retraite'!E29+Seuils!F108,IF(AND(B4=2,MAX(B7:C7)&lt;65,'Optimisation retraite'!J11&gt;37.1%),'Optimal actuel'!O10+'Optimal actuel'!P11,Seuils!I7*2))))</f>
        <v>39669.839999999997</v>
      </c>
      <c r="M9" s="3">
        <f>L9/D8</f>
        <v>0.7933967999999999</v>
      </c>
      <c r="O9">
        <f>Seuils!I8</f>
        <v>90200</v>
      </c>
      <c r="P9">
        <f>Seuils!J6</f>
        <v>45105</v>
      </c>
    </row>
    <row r="10" spans="1:16" ht="16.2" thickBot="1" x14ac:dyDescent="0.35">
      <c r="A10" s="1" t="s">
        <v>101</v>
      </c>
      <c r="B10" s="11">
        <f>IF($B$5&lt;65,0,IF($B$5=65,'Optimisation retraite'!B9,'Optimisation retraite'!B9*POWER(1+Seuils!$H$296,$B$5-64)))</f>
        <v>0</v>
      </c>
      <c r="C10" s="11">
        <f>IF($C$5&lt;65,0,IF($C$5=65,'Optimisation retraite'!C9,'Optimisation retraite'!C9*POWER(1+Seuils!$H$296,$C$5-64)))</f>
        <v>0</v>
      </c>
      <c r="D10" s="89">
        <f>SUM(B10:C10)</f>
        <v>0</v>
      </c>
      <c r="E10" s="1"/>
      <c r="L10">
        <f>'Optimisation retraite'!E29+Seuils!F125</f>
        <v>36361.117647058825</v>
      </c>
      <c r="M10" s="3">
        <f>L10/B8</f>
        <v>0.72722235294117654</v>
      </c>
      <c r="O10" s="549">
        <f>MAX(B15:C15)</f>
        <v>0</v>
      </c>
      <c r="P10" s="549">
        <f>MIN(B15:C15)</f>
        <v>0</v>
      </c>
    </row>
    <row r="11" spans="1:16" ht="18" x14ac:dyDescent="0.35">
      <c r="A11" s="5" t="s">
        <v>70</v>
      </c>
      <c r="B11" s="11">
        <f>'Optimisation retraite'!B10</f>
        <v>1000</v>
      </c>
      <c r="C11" s="11">
        <v>0</v>
      </c>
      <c r="D11" s="21">
        <f>SUM(B11:C11)</f>
        <v>1000</v>
      </c>
      <c r="E11" s="1" t="s">
        <v>177</v>
      </c>
      <c r="H11" s="83" t="s">
        <v>107</v>
      </c>
      <c r="I11" s="50"/>
      <c r="J11" s="50"/>
      <c r="K11" s="50"/>
      <c r="L11" s="94">
        <f>IF(AND(B4=1,C27&gt;Seuils!D55),Seuils!E33,IF(AND(B4=1,B8&gt;Seuils!A9),Seuils!E33,IF(AND(B4=1,B10&lt;Seuils!E33/80%,B10&lt;=61600*25%*94.15%),Seuils!D55,IF(AND(B4=1,B10&lt;Seuils!E33/80%,B10&gt;61600*25%*94.15%),Seuils!J55,IF(C27&lt;Seuils!I7*2,Seuils!I7*2,IF(C27&lt;Seuils!B7,Seuils!B7,IF('Optimal actuel'!C27&lt;Seuils!J47*2+'Optimal actuel'!B22+'Optimal actuel'!C22,Seuils!J47*2+'Optimal actuel'!B22+'Optimal actuel'!C22,IF(C27&gt;Seuils!A8,Seuils!E33*2,IF('Optimisation retraite'!C29&gt;Seuils!I7*2,Seuils!A8,IF(AND(B15+C15+D10&gt;21300,C27&lt;Seuils!C16),Seuils!C16,Seuils!J6*2))))))))))</f>
        <v>39669.839999999997</v>
      </c>
      <c r="M11" s="95">
        <f>IF(D8=0,L11/(F10+G10),L11/D8)</f>
        <v>0.7933967999999999</v>
      </c>
      <c r="O11">
        <f>IF(O10+O12&gt;O9,O10+O12-O9,0)</f>
        <v>0</v>
      </c>
      <c r="P11" s="549">
        <f>P9-P10+O11</f>
        <v>45105</v>
      </c>
    </row>
    <row r="12" spans="1:16" ht="15.6" x14ac:dyDescent="0.3">
      <c r="A12" s="1" t="s">
        <v>135</v>
      </c>
      <c r="B12" s="18">
        <f>'Optimisation retraite'!B11</f>
        <v>642</v>
      </c>
      <c r="C12" s="11">
        <f>'Optimisation retraite'!C11</f>
        <v>0</v>
      </c>
      <c r="D12" s="21">
        <f>SUM(B12:C12)</f>
        <v>642</v>
      </c>
      <c r="E12" s="17" t="s">
        <v>106</v>
      </c>
      <c r="F12" s="17" t="s">
        <v>161</v>
      </c>
      <c r="G12" t="str">
        <f>IF(B4=1,"seuil limite","optimal #2")</f>
        <v>seuil limite</v>
      </c>
      <c r="H12" s="50"/>
      <c r="I12" s="50"/>
      <c r="J12" s="50"/>
      <c r="K12" s="50"/>
      <c r="L12" s="94">
        <f>IF(AND(B4=2,D8&gt;150000,C27&gt;Seuils!I7*2),Seuils!E33*2,IF(AND(B4=2,L11=Seuils!I7*2),Seuils!C16,IF(AND(B4=2,L11=Seuils!C16),Seuils!I7*2,IF(AND(B4=1,L11=Seuils!D55),Seuils!E33,Seuils!D55))))</f>
        <v>79845</v>
      </c>
      <c r="M12" s="95">
        <f>IF(D8=0,L12/(F10+G10),L12/D8)</f>
        <v>1.5969</v>
      </c>
      <c r="O12">
        <f>IF(B15=O10,B9+B10,C9+C10)</f>
        <v>0</v>
      </c>
      <c r="P12">
        <f>IF(C15=P10,C9+C10,B9+B10)</f>
        <v>0</v>
      </c>
    </row>
    <row r="13" spans="1:16" ht="15.6" x14ac:dyDescent="0.3">
      <c r="A13" s="5" t="s">
        <v>82</v>
      </c>
      <c r="B13" s="52">
        <f>IF(B8=0,(F9+G9)*E13,(B8+C8)*E13)</f>
        <v>39669.839999999997</v>
      </c>
      <c r="C13" s="21"/>
      <c r="D13" s="21">
        <f>SUM(B13:C13)</f>
        <v>39669.839999999997</v>
      </c>
      <c r="E13" s="270">
        <f>IF(H8&gt;64,M9,M11)</f>
        <v>0.7933967999999999</v>
      </c>
      <c r="F13" s="93">
        <f>M11</f>
        <v>0.7933967999999999</v>
      </c>
      <c r="G13" s="99">
        <f>IF(B4=1,Seuils!E33/B8,M12)</f>
        <v>1.5969</v>
      </c>
      <c r="O13" s="549">
        <f>IF(B15&gt;C15,E27-P9,P9)</f>
        <v>45105</v>
      </c>
      <c r="P13">
        <f>IF(C15&lt;B15,P9,E27-P11)</f>
        <v>-5435.1600000000035</v>
      </c>
    </row>
    <row r="14" spans="1:16" ht="18" x14ac:dyDescent="0.35">
      <c r="A14" s="5" t="s">
        <v>136</v>
      </c>
      <c r="B14" s="11">
        <f>IF(AND(B4=2,C8&gt;15000),(B13-D10-B22-C22)*F8,B13-D10-B22-C22)</f>
        <v>39669.839999999997</v>
      </c>
      <c r="C14" s="22">
        <f>IF(AND(B4=2,C8&gt;15000),(B13-D10-B22-C22)*(1-F8),0)</f>
        <v>0</v>
      </c>
      <c r="D14" s="21">
        <f t="shared" ref="D14" si="0">SUM(B14:C14)</f>
        <v>39669.839999999997</v>
      </c>
      <c r="E14" s="1"/>
      <c r="H14" s="83" t="s">
        <v>105</v>
      </c>
      <c r="I14" s="83"/>
      <c r="J14" s="84">
        <f>D68</f>
        <v>0.42499999999999999</v>
      </c>
      <c r="K14" s="622" t="str">
        <f>IF(J14&lt;J16-0.5%,"Maximiser d'abord votre CELI !",IF(J14&gt;J16+0.5%,"Privillégiez le REER OPTIMAL", "Indifférent entre REER et CELI"))</f>
        <v>Privillégiez le REER OPTIMAL</v>
      </c>
      <c r="L14" s="623"/>
      <c r="M14" s="623"/>
      <c r="O14" t="s">
        <v>414</v>
      </c>
    </row>
    <row r="15" spans="1:16" ht="18" x14ac:dyDescent="0.35">
      <c r="A15" s="5" t="s">
        <v>246</v>
      </c>
      <c r="B15" s="11">
        <f>IF(B7&gt;=65,'Optimisation retraite'!B13,IF(AND(B6&lt;65,B6&gt;59),' Épargne nécessaire'!B35,IF(B6&lt;55,0,IF(B6&lt;60,' Épargne nécessaire'!B36))))</f>
        <v>0</v>
      </c>
      <c r="C15" s="11">
        <f>IF(C7&gt;=65,'Optimisation retraite'!C13,IF(AND(C6&lt;65,C6&gt;59),' Épargne nécessaire'!C35,IF(C6&lt;55,0,IF(C6&lt;60,' Épargne nécessaire'!C36))))</f>
        <v>0</v>
      </c>
      <c r="D15" s="21">
        <f>B15+C15</f>
        <v>0</v>
      </c>
      <c r="E15" s="1"/>
      <c r="H15" s="83" t="s">
        <v>350</v>
      </c>
      <c r="I15" s="50"/>
      <c r="J15" s="84">
        <f>C55</f>
        <v>0.14583041059152235</v>
      </c>
      <c r="K15" s="50"/>
      <c r="L15" s="50"/>
      <c r="M15" s="50"/>
    </row>
    <row r="16" spans="1:16" ht="18" x14ac:dyDescent="0.35">
      <c r="A16" s="5" t="s">
        <v>191</v>
      </c>
      <c r="B16" s="271">
        <f>'Optimisation retraite'!B14</f>
        <v>0.5</v>
      </c>
      <c r="C16" s="271">
        <f>'Optimisation retraite'!C14</f>
        <v>0.5</v>
      </c>
      <c r="D16" s="21">
        <f>D14-D15</f>
        <v>39669.839999999997</v>
      </c>
      <c r="E16" s="1"/>
      <c r="H16" s="83" t="s">
        <v>124</v>
      </c>
      <c r="J16" s="90">
        <f>C64</f>
        <v>0.15109889667566079</v>
      </c>
      <c r="K16" s="50"/>
      <c r="L16" s="50"/>
      <c r="M16" s="50"/>
    </row>
    <row r="17" spans="1:13" ht="18" x14ac:dyDescent="0.35">
      <c r="A17" s="5" t="s">
        <v>192</v>
      </c>
      <c r="B17" s="11">
        <f>'Optimisation retraite'!B15</f>
        <v>0</v>
      </c>
      <c r="C17" s="11">
        <f>'Optimisation retraite'!C15</f>
        <v>0</v>
      </c>
      <c r="D17" s="21"/>
      <c r="E17" s="1"/>
      <c r="H17" s="83" t="str">
        <f>IF(B4=1," ",IF(C8&lt;Seuils!A7,"N.B. Conjoint #2 ne devrait nullement cotiser à son REER !",IF(AND(C8&lt;Seuils!I8,'Optimisation retraite'!J11&gt;Seuils!E7+Seuils!K7+2%),"N.B. Conjoint #2 ne devrait nullement cotiser à son REER !"," ")))</f>
        <v xml:space="preserve"> </v>
      </c>
      <c r="I17" s="50"/>
      <c r="J17" s="84"/>
      <c r="K17" s="50"/>
      <c r="L17" s="50"/>
      <c r="M17" s="50"/>
    </row>
    <row r="18" spans="1:13" ht="15.6" x14ac:dyDescent="0.3">
      <c r="A18" s="5" t="s">
        <v>137</v>
      </c>
      <c r="B18" s="98"/>
      <c r="C18" s="22">
        <f>C14-C15</f>
        <v>0</v>
      </c>
      <c r="D18" s="21"/>
      <c r="E18" s="1"/>
      <c r="K18" s="50"/>
      <c r="L18" s="50"/>
      <c r="M18" s="50"/>
    </row>
    <row r="19" spans="1:13" ht="15.6" x14ac:dyDescent="0.3">
      <c r="A19" s="5" t="s">
        <v>138</v>
      </c>
      <c r="B19" s="98"/>
      <c r="C19" s="22"/>
      <c r="D19" s="21"/>
      <c r="E19" s="1"/>
      <c r="M19" s="50"/>
    </row>
    <row r="20" spans="1:13" ht="18.600000000000001" thickBot="1" x14ac:dyDescent="0.4">
      <c r="A20" s="5"/>
      <c r="B20" s="97"/>
      <c r="C20" s="22"/>
      <c r="D20" s="21"/>
      <c r="E20" s="1"/>
      <c r="H20" s="83"/>
      <c r="I20" s="50"/>
      <c r="J20" s="84"/>
      <c r="K20" s="50"/>
      <c r="L20" s="50"/>
      <c r="M20" s="50"/>
    </row>
    <row r="21" spans="1:13" ht="16.2" thickBot="1" x14ac:dyDescent="0.35">
      <c r="A21" s="23" t="s">
        <v>162</v>
      </c>
      <c r="B21" s="624" t="s">
        <v>164</v>
      </c>
      <c r="C21" s="625"/>
      <c r="D21" s="624" t="s">
        <v>165</v>
      </c>
      <c r="E21" s="625"/>
    </row>
    <row r="22" spans="1:13" ht="15.6" x14ac:dyDescent="0.3">
      <c r="A22" s="24" t="s">
        <v>43</v>
      </c>
      <c r="B22" s="25">
        <f>B9</f>
        <v>0</v>
      </c>
      <c r="C22" s="26">
        <f>C9</f>
        <v>0</v>
      </c>
      <c r="D22" s="25">
        <f>B9</f>
        <v>0</v>
      </c>
      <c r="E22" s="26">
        <f>C9</f>
        <v>0</v>
      </c>
    </row>
    <row r="23" spans="1:13" ht="15.6" x14ac:dyDescent="0.3">
      <c r="A23" s="24" t="s">
        <v>44</v>
      </c>
      <c r="B23" s="27">
        <f>B10</f>
        <v>0</v>
      </c>
      <c r="C23" s="28">
        <f>C10</f>
        <v>0</v>
      </c>
      <c r="D23" s="27">
        <f>B23</f>
        <v>0</v>
      </c>
      <c r="E23" s="28">
        <f>C23</f>
        <v>0</v>
      </c>
    </row>
    <row r="24" spans="1:13" ht="15.6" x14ac:dyDescent="0.3">
      <c r="A24" s="24" t="s">
        <v>31</v>
      </c>
      <c r="B24" s="27">
        <f>IF(B4=2,0,IF(B5&lt;65,0,IF(D10+B25&gt;Seuils!E29,0,IF(D10+B25&gt;Seuils!D31,Seuils!D28-(D10+B25)*50%,IF(D10+B25&gt;Seuils!D30,Seuils!D26-(D10+B25-Seuils!D30)*75%,Seuils!D27-(D10+B25)*50%)))))</f>
        <v>0</v>
      </c>
      <c r="C24" s="28">
        <f>IF(B4=1,0,IF(AND(B5&lt;65,C5&lt;65),0,IF(D10+B25+C25&gt;Seuils!D29,0,IF(D10+B25+C25&gt;Seuils!D31,Seuils!D28-(D10+B25+C25)*50%,IF(D10+B25+C25&gt;Seuils!D30,Seuils!D26-(D10+B25+C25-Seuils!D30)*75%,Seuils!D27-(D10+B25+C25)*50%)))))</f>
        <v>0</v>
      </c>
      <c r="D24" s="27">
        <f>IF(B4=2,0,IF('Optimisation retraite'!D9+'Optimisation retraite'!D16&gt;Seuils!E29,0,Seuils!D28-(D10+D14)*50%))</f>
        <v>0</v>
      </c>
      <c r="E24" s="28">
        <f>IF(B4=1,0,IF(D10+D14&gt;Seuils!D29,0,Seuils!D28-(D10+D14)*50%))</f>
        <v>0</v>
      </c>
    </row>
    <row r="25" spans="1:13" ht="16.2" thickBot="1" x14ac:dyDescent="0.35">
      <c r="A25" s="24" t="s">
        <v>166</v>
      </c>
      <c r="B25" s="29">
        <f>B15+B17</f>
        <v>0</v>
      </c>
      <c r="C25" s="30">
        <f>C15+C17</f>
        <v>0</v>
      </c>
      <c r="D25" s="29">
        <f>B14</f>
        <v>39669.839999999997</v>
      </c>
      <c r="E25" s="30">
        <f>C14</f>
        <v>0</v>
      </c>
    </row>
    <row r="26" spans="1:13" ht="16.2" thickBot="1" x14ac:dyDescent="0.35">
      <c r="A26" s="31" t="s">
        <v>76</v>
      </c>
      <c r="B26" s="32">
        <f>SUM(B22:B25)-B24</f>
        <v>0</v>
      </c>
      <c r="C26" s="33">
        <f>SUM(C22:C25)-C24</f>
        <v>0</v>
      </c>
      <c r="D26" s="32">
        <f>SUM(D22:D25)-D24</f>
        <v>39669.839999999997</v>
      </c>
      <c r="E26" s="33">
        <f>SUM(E22:E25)-E24</f>
        <v>0</v>
      </c>
    </row>
    <row r="27" spans="1:13" ht="16.2" thickBot="1" x14ac:dyDescent="0.35">
      <c r="A27" s="34" t="s">
        <v>77</v>
      </c>
      <c r="B27" s="35"/>
      <c r="C27" s="35">
        <f>B26+C26</f>
        <v>0</v>
      </c>
      <c r="D27" s="35"/>
      <c r="E27" s="36">
        <f>D26+E26</f>
        <v>39669.839999999997</v>
      </c>
    </row>
    <row r="28" spans="1:13" ht="16.2" thickBot="1" x14ac:dyDescent="0.35">
      <c r="A28" s="37"/>
      <c r="B28" s="38"/>
      <c r="C28" s="38"/>
      <c r="D28" s="38"/>
      <c r="E28" s="39"/>
    </row>
    <row r="29" spans="1:13" ht="16.2" thickBot="1" x14ac:dyDescent="0.35">
      <c r="A29" s="40" t="s">
        <v>81</v>
      </c>
      <c r="B29" s="624" t="s">
        <v>164</v>
      </c>
      <c r="C29" s="625"/>
      <c r="D29" s="624" t="s">
        <v>165</v>
      </c>
      <c r="E29" s="625"/>
    </row>
    <row r="30" spans="1:13" ht="16.2" thickBot="1" x14ac:dyDescent="0.35">
      <c r="A30" s="41"/>
      <c r="B30" s="244" t="s">
        <v>46</v>
      </c>
      <c r="C30" s="245" t="s">
        <v>47</v>
      </c>
      <c r="D30" s="246" t="s">
        <v>46</v>
      </c>
      <c r="E30" s="245" t="s">
        <v>47</v>
      </c>
    </row>
    <row r="31" spans="1:13" ht="15.6" x14ac:dyDescent="0.3">
      <c r="A31" s="42" t="s">
        <v>79</v>
      </c>
      <c r="B31" s="25">
        <f>IF(B4=2,Seuils!D12+Seuils!D13,Seuils!D12)</f>
        <v>13808</v>
      </c>
      <c r="C31" s="26">
        <f>IF(B4=2,Seuils!J12*2,Seuils!J12)</f>
        <v>15728</v>
      </c>
      <c r="D31" s="25">
        <f>IF(B4=2,Seuils!D12+Seuils!E13,Seuils!D12)</f>
        <v>13808</v>
      </c>
      <c r="E31" s="26">
        <f>C31</f>
        <v>15728</v>
      </c>
    </row>
    <row r="32" spans="1:13" ht="15.6" x14ac:dyDescent="0.3">
      <c r="A32" s="42" t="s">
        <v>80</v>
      </c>
      <c r="B32" s="27">
        <f>IF(B4=2,Seuils!D241,Seuils!B241)</f>
        <v>7713</v>
      </c>
      <c r="C32" s="520">
        <f>Seuils!Z18</f>
        <v>0</v>
      </c>
      <c r="D32" s="43">
        <f>Seuils!D232</f>
        <v>7596.4740000000002</v>
      </c>
      <c r="E32" s="28">
        <f>Seuils!AA18</f>
        <v>5124.2800000000007</v>
      </c>
    </row>
    <row r="33" spans="1:12" ht="15.6" x14ac:dyDescent="0.3">
      <c r="A33" s="42" t="s">
        <v>168</v>
      </c>
      <c r="B33" s="27">
        <f>IF(AND(B4=1,B15&gt;Seuils!C19),Seuils!C19,IF(AND(B4=1,B15&lt;2000),B15,IF(AND(B4=2,B15+C15&gt;4000),Seuils!C19*2,IF(AND(B4=2,B15+C15&lt;4000),0))))</f>
        <v>0</v>
      </c>
      <c r="C33" s="28"/>
      <c r="D33" s="43">
        <f>IF(AND(B5&lt;65,B15+C15&lt;=2000*B4),B15+C15,IF(AND(B5&lt;65,B15+C15&gt;2000*B4),2000*B4,Seuils!D19*'Optimal &lt; 65'!B4))</f>
        <v>0</v>
      </c>
      <c r="E33" s="28"/>
    </row>
    <row r="34" spans="1:12" ht="15.6" x14ac:dyDescent="0.3">
      <c r="A34" s="42" t="s">
        <v>15</v>
      </c>
      <c r="B34" s="27">
        <f>Seuils!C242</f>
        <v>1642</v>
      </c>
      <c r="C34" s="28">
        <f>Seuils!Z24</f>
        <v>1335.118379</v>
      </c>
      <c r="D34" s="43">
        <f>Seuils!C233</f>
        <v>451.90480000000025</v>
      </c>
      <c r="E34" s="28">
        <f>Seuils!AA24</f>
        <v>489.00480000000016</v>
      </c>
    </row>
    <row r="35" spans="1:12" ht="15.6" x14ac:dyDescent="0.3">
      <c r="A35" s="42" t="s">
        <v>48</v>
      </c>
      <c r="B35" s="27">
        <f>SUM(B31:B34)</f>
        <v>23163</v>
      </c>
      <c r="C35" s="28">
        <f>SUM(C31:C34)</f>
        <v>17063.118379</v>
      </c>
      <c r="D35" s="43">
        <f>SUM(D31:D34)</f>
        <v>21856.378800000002</v>
      </c>
      <c r="E35" s="28">
        <f>SUM(E31:E34)</f>
        <v>21341.284799999998</v>
      </c>
    </row>
    <row r="36" spans="1:12" ht="15.6" x14ac:dyDescent="0.3">
      <c r="A36" s="44"/>
      <c r="B36" s="27"/>
      <c r="C36" s="28"/>
      <c r="D36" s="43"/>
      <c r="E36" s="28"/>
    </row>
    <row r="37" spans="1:12" ht="15.6" x14ac:dyDescent="0.3">
      <c r="A37" s="42" t="s">
        <v>49</v>
      </c>
      <c r="B37" s="27">
        <f>Seuils!D239</f>
        <v>0</v>
      </c>
      <c r="C37" s="28">
        <f>Seuils!L239</f>
        <v>0</v>
      </c>
      <c r="D37" s="43">
        <f>Seuils!D230</f>
        <v>5950.4759999999997</v>
      </c>
      <c r="E37" s="45">
        <f>Seuils!L230</f>
        <v>5950.4759999999997</v>
      </c>
    </row>
    <row r="38" spans="1:12" ht="15.6" x14ac:dyDescent="0.3">
      <c r="A38" s="42" t="s">
        <v>50</v>
      </c>
      <c r="B38" s="27">
        <f>B35*15%</f>
        <v>3474.45</v>
      </c>
      <c r="C38" s="28">
        <f>(C31+C32)*Seuils!K6+C34*20%</f>
        <v>2626.2236757999999</v>
      </c>
      <c r="D38" s="43">
        <f>D35*15%</f>
        <v>3278.4568200000003</v>
      </c>
      <c r="E38" s="28">
        <f>(E31+E32)*Seuils!K6+E34*20%</f>
        <v>3225.6429599999997</v>
      </c>
    </row>
    <row r="39" spans="1:12" ht="15.6" x14ac:dyDescent="0.3">
      <c r="A39" s="42" t="s">
        <v>51</v>
      </c>
      <c r="B39" s="27">
        <f>IF(B37&gt;B38,(B37-B38)*16.5%,0)</f>
        <v>0</v>
      </c>
      <c r="C39" s="28"/>
      <c r="D39" s="43">
        <f>IF(D37&gt;D38,(D37-D38)*16.5%,0)</f>
        <v>440.8831646999999</v>
      </c>
      <c r="E39" s="28"/>
    </row>
    <row r="40" spans="1:12" ht="15.6" x14ac:dyDescent="0.3">
      <c r="A40" s="42" t="s">
        <v>35</v>
      </c>
      <c r="B40" s="27"/>
      <c r="C40" s="28">
        <f>Seuils!L241</f>
        <v>0</v>
      </c>
      <c r="D40" s="43"/>
      <c r="E40" s="28">
        <f>Seuils!L232</f>
        <v>150</v>
      </c>
    </row>
    <row r="41" spans="1:12" ht="15.6" x14ac:dyDescent="0.3">
      <c r="A41" s="42" t="s">
        <v>18</v>
      </c>
      <c r="B41" s="27"/>
      <c r="C41" s="28">
        <f>Seuils!Z28</f>
        <v>0</v>
      </c>
      <c r="D41" s="43"/>
      <c r="E41" s="28">
        <f>Seuils!L28</f>
        <v>679.1</v>
      </c>
    </row>
    <row r="42" spans="1:12" ht="15.6" x14ac:dyDescent="0.3">
      <c r="A42" s="42" t="s">
        <v>169</v>
      </c>
      <c r="B42" s="29"/>
      <c r="C42" s="30"/>
      <c r="D42" s="46"/>
      <c r="E42" s="30"/>
    </row>
    <row r="43" spans="1:12" ht="16.2" thickBot="1" x14ac:dyDescent="0.35">
      <c r="A43" s="42" t="s">
        <v>133</v>
      </c>
      <c r="B43" s="29">
        <f>B45</f>
        <v>0</v>
      </c>
      <c r="C43" s="30"/>
      <c r="D43" s="46">
        <f>D45</f>
        <v>0</v>
      </c>
      <c r="E43" s="30"/>
    </row>
    <row r="44" spans="1:12" ht="16.2" thickBot="1" x14ac:dyDescent="0.35">
      <c r="A44" s="31" t="s">
        <v>52</v>
      </c>
      <c r="B44" s="32">
        <f>IF(B38&gt;B37-B39+B40+B41+B43,0,B37+B40+B41+B43-B38-B39)</f>
        <v>0</v>
      </c>
      <c r="C44" s="33">
        <f>IF(C38&gt;C37,C40+C41+C43,C37+C40+C41+C43-C38)</f>
        <v>0</v>
      </c>
      <c r="D44" s="47">
        <f>IF(D38&gt;D37-D39+D40+D41+D43,0,D37-D39+D40+D41+D43-D38)</f>
        <v>2231.1360152999996</v>
      </c>
      <c r="E44" s="33">
        <f>IF(E38&gt;E37,E40+E41+E43,E37+E40+E41+E43-E38)</f>
        <v>3553.9330400000003</v>
      </c>
    </row>
    <row r="45" spans="1:12" ht="15.6" x14ac:dyDescent="0.3">
      <c r="A45" s="48" t="s">
        <v>170</v>
      </c>
      <c r="B45" s="91">
        <f>IF(B6&lt;65,0,IF(AND(B4=1,B26&gt;Seuils!E34),Seuils!E32,IF(AND(B4=1,'Optimisation retraite'!B28&gt;Seuils!E33),(B26-Seuils!E33)*15%,IF(AND(B4=2,Seuils!B110&gt;Seuils!E33,(Seuils!B110-Seuils!E33)*15%&gt;B22),B22,IF(AND(B4=2,Seuils!B110&gt;Seuils!E33),(Seuils!B110-Seuils!E33)*15%,0)))))</f>
        <v>0</v>
      </c>
      <c r="C45" s="49"/>
      <c r="D45" s="91">
        <f>IF(B6&lt;65,0,IF(AND(B4=1,D26&gt;Seuils!E34),Seuils!E32,IF(AND(B4=1,'Optimisation retraite'!D28&gt;Seuils!E33),(D26-Seuils!E33)*15%,IF(AND(B4=2,Seuils!B101&gt;Seuils!E33,(Seuils!B101-Seuils!E33)*15%&gt;B22),B22,IF(AND(B4=2,Seuils!B101&gt;Seuils!E33),(Seuils!B101-Seuils!E33)*15%,0)))))</f>
        <v>0</v>
      </c>
      <c r="E45" s="49">
        <f>E44+D44-(B44+C44)</f>
        <v>5785.0690553000004</v>
      </c>
      <c r="F45" s="7">
        <f>E45/$D$14</f>
        <v>0.14583041059152244</v>
      </c>
    </row>
    <row r="46" spans="1:12" ht="15.6" x14ac:dyDescent="0.3">
      <c r="A46" s="50"/>
      <c r="B46" s="50"/>
      <c r="C46" s="50"/>
      <c r="D46" s="92" t="str">
        <f>IF(D45&gt;0,"Remboursement PSV"," ")</f>
        <v xml:space="preserve"> </v>
      </c>
      <c r="E46" s="50"/>
      <c r="F46" s="588"/>
      <c r="G46" s="589"/>
      <c r="H46" s="589"/>
      <c r="I46" s="589"/>
      <c r="J46" s="589"/>
      <c r="K46" s="589"/>
      <c r="L46" s="589"/>
    </row>
    <row r="47" spans="1:12" ht="15.6" x14ac:dyDescent="0.3">
      <c r="A47" s="39" t="s">
        <v>179</v>
      </c>
      <c r="B47" s="50"/>
      <c r="C47" s="50"/>
      <c r="D47" s="50"/>
      <c r="E47" s="38" t="s">
        <v>84</v>
      </c>
      <c r="F47" s="588"/>
      <c r="G47" s="589"/>
      <c r="H47" s="589"/>
      <c r="I47" s="589"/>
      <c r="J47" s="589"/>
      <c r="K47" s="589"/>
      <c r="L47" s="589"/>
    </row>
    <row r="48" spans="1:12" ht="15.6" x14ac:dyDescent="0.3">
      <c r="A48" s="37" t="s">
        <v>180</v>
      </c>
      <c r="B48" s="21">
        <f>C27-B44-C44</f>
        <v>0</v>
      </c>
      <c r="C48" s="21"/>
      <c r="D48" s="21">
        <f>E27-D44-E44-D45</f>
        <v>33884.770944699994</v>
      </c>
      <c r="E48" s="21">
        <f>D48-B48</f>
        <v>33884.770944699994</v>
      </c>
      <c r="F48" s="85"/>
    </row>
    <row r="49" spans="1:7" ht="15.6" x14ac:dyDescent="0.3">
      <c r="A49" s="37" t="s">
        <v>181</v>
      </c>
      <c r="B49" s="21">
        <f>B24+C24</f>
        <v>0</v>
      </c>
      <c r="C49" s="21"/>
      <c r="D49" s="21">
        <f>D24+E24</f>
        <v>0</v>
      </c>
      <c r="E49" s="21">
        <f t="shared" ref="E49:E52" si="1">D49-B49</f>
        <v>0</v>
      </c>
      <c r="F49" s="85">
        <f>-E49/$D$14</f>
        <v>0</v>
      </c>
    </row>
    <row r="50" spans="1:7" ht="15.6" x14ac:dyDescent="0.3">
      <c r="A50" s="37" t="s">
        <v>182</v>
      </c>
      <c r="B50" s="21">
        <f>Seuils!D59</f>
        <v>462.58</v>
      </c>
      <c r="C50" s="21"/>
      <c r="D50" s="21">
        <f>Seuils!E59</f>
        <v>462.58</v>
      </c>
      <c r="E50" s="21">
        <f t="shared" si="1"/>
        <v>0</v>
      </c>
      <c r="F50" s="85">
        <f>-E50/$D$14</f>
        <v>0</v>
      </c>
    </row>
    <row r="51" spans="1:7" ht="15.6" x14ac:dyDescent="0.3">
      <c r="A51" s="37" t="s">
        <v>183</v>
      </c>
      <c r="B51" s="21">
        <f>Seuils!J59</f>
        <v>1050.6199999999999</v>
      </c>
      <c r="C51" s="21"/>
      <c r="D51" s="21">
        <f>Seuils!K59</f>
        <v>1050.6199999999999</v>
      </c>
      <c r="E51" s="21">
        <f t="shared" si="1"/>
        <v>0</v>
      </c>
      <c r="F51" s="85">
        <f>-E51/$D$14</f>
        <v>0</v>
      </c>
    </row>
    <row r="52" spans="1:7" ht="15.6" x14ac:dyDescent="0.3">
      <c r="A52" s="37" t="s">
        <v>53</v>
      </c>
      <c r="B52" s="21">
        <f>SUM(B48:B51)</f>
        <v>1513.1999999999998</v>
      </c>
      <c r="C52" s="21"/>
      <c r="D52" s="51">
        <f>SUM(D48:D51)</f>
        <v>35397.970944699999</v>
      </c>
      <c r="E52" s="52">
        <f t="shared" si="1"/>
        <v>33884.770944700002</v>
      </c>
      <c r="F52" s="85">
        <f>SUM(F45:F51)</f>
        <v>0.14583041059152244</v>
      </c>
      <c r="G52" s="7"/>
    </row>
    <row r="53" spans="1:7" ht="15.6" x14ac:dyDescent="0.3">
      <c r="A53" s="37"/>
      <c r="B53" s="53"/>
      <c r="C53" s="38"/>
      <c r="D53" s="38"/>
      <c r="E53" s="53"/>
      <c r="F53" s="100"/>
    </row>
    <row r="54" spans="1:7" ht="15.6" x14ac:dyDescent="0.3">
      <c r="A54" s="37" t="s">
        <v>54</v>
      </c>
      <c r="B54" s="51">
        <f>D52</f>
        <v>35397.970944699999</v>
      </c>
      <c r="C54" s="37" t="s">
        <v>55</v>
      </c>
      <c r="D54" s="38"/>
      <c r="E54" s="50"/>
      <c r="F54" s="50"/>
    </row>
    <row r="55" spans="1:7" ht="15.6" x14ac:dyDescent="0.3">
      <c r="A55" s="37" t="s">
        <v>87</v>
      </c>
      <c r="B55" s="52">
        <f>B54-B52</f>
        <v>33884.770944700002</v>
      </c>
      <c r="C55" s="54">
        <f>1-B55/D55</f>
        <v>0.14583041059152235</v>
      </c>
      <c r="D55" s="52">
        <f>D25+E25-C25-B25</f>
        <v>39669.839999999997</v>
      </c>
      <c r="E55" s="50"/>
      <c r="F55" s="50"/>
    </row>
    <row r="56" spans="1:7" x14ac:dyDescent="0.3">
      <c r="A56" s="50"/>
      <c r="B56" s="50"/>
      <c r="C56" s="50"/>
      <c r="D56" s="50"/>
      <c r="E56" s="50"/>
      <c r="F56" s="50"/>
    </row>
    <row r="57" spans="1:7" x14ac:dyDescent="0.3">
      <c r="A57" s="50"/>
      <c r="B57" s="50"/>
      <c r="C57" s="50"/>
      <c r="D57" s="50"/>
      <c r="E57" s="50"/>
      <c r="F57" s="50"/>
    </row>
    <row r="58" spans="1:7" x14ac:dyDescent="0.3">
      <c r="A58" s="50"/>
      <c r="B58" s="50"/>
      <c r="C58" s="50"/>
      <c r="D58" s="50"/>
      <c r="E58" s="50"/>
      <c r="F58" s="50"/>
    </row>
    <row r="59" spans="1:7" ht="15.6" x14ac:dyDescent="0.3">
      <c r="A59" s="39" t="s">
        <v>178</v>
      </c>
      <c r="B59" s="50"/>
      <c r="C59" s="50"/>
      <c r="D59" s="50"/>
      <c r="E59" s="50"/>
      <c r="F59" s="50"/>
    </row>
    <row r="60" spans="1:7" ht="15.6" x14ac:dyDescent="0.3">
      <c r="A60" s="37" t="s">
        <v>129</v>
      </c>
      <c r="B60" s="21">
        <f>B52</f>
        <v>1513.1999999999998</v>
      </c>
      <c r="C60" s="38"/>
      <c r="D60" s="21">
        <f>D52</f>
        <v>35397.970944699999</v>
      </c>
      <c r="E60" s="50"/>
      <c r="F60" s="50"/>
    </row>
    <row r="61" spans="1:7" ht="15.6" x14ac:dyDescent="0.3">
      <c r="A61" s="37" t="s">
        <v>127</v>
      </c>
      <c r="B61" s="38">
        <f>Seuils!J61</f>
        <v>209</v>
      </c>
      <c r="C61" s="38"/>
      <c r="D61" s="38">
        <f>Seuils!K61</f>
        <v>0</v>
      </c>
      <c r="E61" s="50"/>
      <c r="F61" s="50"/>
    </row>
    <row r="62" spans="1:7" ht="15.6" x14ac:dyDescent="0.3">
      <c r="A62" s="37" t="s">
        <v>126</v>
      </c>
      <c r="B62" s="21">
        <f>B60+B61</f>
        <v>1722.1999999999998</v>
      </c>
      <c r="C62" s="38"/>
      <c r="D62" s="21">
        <f>D60+D61</f>
        <v>35397.970944699999</v>
      </c>
      <c r="E62" s="50"/>
      <c r="F62" s="50"/>
    </row>
    <row r="63" spans="1:7" ht="15.6" x14ac:dyDescent="0.3">
      <c r="A63" s="50"/>
      <c r="B63" s="38"/>
      <c r="C63" s="38"/>
      <c r="D63" s="38"/>
      <c r="E63" s="50"/>
      <c r="F63" s="50"/>
    </row>
    <row r="64" spans="1:7" ht="15.6" x14ac:dyDescent="0.3">
      <c r="A64" s="37" t="s">
        <v>128</v>
      </c>
      <c r="B64" s="21">
        <f>D62-B62</f>
        <v>33675.770944700002</v>
      </c>
      <c r="C64" s="54">
        <f>1-B64/D64</f>
        <v>0.15109889667566079</v>
      </c>
      <c r="D64" s="21">
        <f>D55</f>
        <v>39669.839999999997</v>
      </c>
      <c r="E64" s="50"/>
      <c r="F64" s="50"/>
    </row>
    <row r="65" spans="1:6" x14ac:dyDescent="0.3">
      <c r="A65" s="50"/>
      <c r="B65" s="50"/>
      <c r="C65" s="50"/>
      <c r="D65" s="50"/>
      <c r="E65" s="50"/>
    </row>
    <row r="66" spans="1:6" ht="15" thickBot="1" x14ac:dyDescent="0.35">
      <c r="A66" s="50"/>
      <c r="B66" s="50"/>
      <c r="C66" s="50"/>
      <c r="D66" s="50"/>
      <c r="E66" s="50"/>
    </row>
    <row r="67" spans="1:6" ht="16.2" thickBot="1" x14ac:dyDescent="0.35">
      <c r="A67" s="55" t="s">
        <v>56</v>
      </c>
      <c r="B67" s="56" t="s">
        <v>57</v>
      </c>
      <c r="C67" s="57"/>
      <c r="D67" s="58" t="s">
        <v>42</v>
      </c>
      <c r="E67" s="285" t="s">
        <v>234</v>
      </c>
    </row>
    <row r="68" spans="1:6" ht="15.6" x14ac:dyDescent="0.3">
      <c r="A68" s="59" t="s">
        <v>88</v>
      </c>
      <c r="B68" s="60">
        <f>D68</f>
        <v>0.42499999999999999</v>
      </c>
      <c r="C68" s="61"/>
      <c r="D68" s="15">
        <f>IF(B8&gt;Seuils!A9,Seuils!E9+Seuils!K9,IF(B8&gt;Seuils!I9,Seuils!E8+Seuils!K9,IF(B8&gt;Seuils!A8,Seuils!E8+Seuils!K8,IF(AND(D8&gt;Seuils!J56/90%,B8&gt;Seuils!A7),37.1%,IF(AND(B4=2,D8&gt;Seuils!J56/90%,B8&lt;Seuils!I7),28.5%,IF(AND(B4=2,D8&gt;Seuils!J56/90%,B8&lt;Seuils!A7),Seuils!K7+Seuils!E6+1%,IF(AND(B4=2,D8&gt;Seuils!D56/90%,B8&lt;Seuils!A7),35%,IF(AND(B4=2,D8&lt;27000),35%,IF(AND(B4=2,D8&lt;32500),45%,IF(AND(B4=2,D8&lt;36000),50%,IF(AND(B4=2,D8&lt;41500),58%,IF(AND(B4=2,D8&lt;47000),45%,IF(AND(B4=1,B8&gt;Seuils!J56/95%),Seuils!E7+Seuils!K7,IF(AND(B4=1,B8&gt;Seuils!D56/95%),44%,IF(AND(B4=1,B8&gt;Seuils!D55/90%),42.5%,IF(AND(B4=1,B8&gt;Seuils!J55/90%),37.5%,IF(AND(B4=1,B8&lt;Seuils!D12+Seuils!D19),30%,IF(AND(B4=1,B8&lt;Seuils!O32),44%,IF(AND(B4=1,B8&lt;Seuils!B277/90%),58%,IF(AND(B4=1,B8&lt;Seuils!O41/90%),37%,IF(AND(B4=1,B8&lt;Seuils!J16),28.5%,IF(AND(B4=1,B8&lt;Seuils!J16/90%),37.5%,IF(AND(B4=2,D8&gt;Seuils!J55+2410),44%,28.5%+10%)))))))))))))))))))))))</f>
        <v>0.42499999999999999</v>
      </c>
      <c r="E68" s="288">
        <f>D68</f>
        <v>0.42499999999999999</v>
      </c>
    </row>
    <row r="69" spans="1:6" ht="15.6" x14ac:dyDescent="0.3">
      <c r="A69" s="62" t="s">
        <v>58</v>
      </c>
      <c r="B69" s="63">
        <f>B71</f>
        <v>11029.137296391424</v>
      </c>
      <c r="C69" s="61"/>
      <c r="D69" s="64">
        <f>+D71/(1-D68)</f>
        <v>19181.108341550302</v>
      </c>
      <c r="E69" s="289">
        <f>PMT(E73,E72,,-E74)</f>
        <v>0</v>
      </c>
    </row>
    <row r="70" spans="1:6" ht="15.6" x14ac:dyDescent="0.3">
      <c r="A70" s="62" t="s">
        <v>83</v>
      </c>
      <c r="B70" s="65"/>
      <c r="C70" s="61"/>
      <c r="D70" s="64">
        <f>+D69*D68</f>
        <v>8151.971045158878</v>
      </c>
      <c r="E70" s="286">
        <f>+E69*E68</f>
        <v>0</v>
      </c>
    </row>
    <row r="71" spans="1:6" ht="15.6" x14ac:dyDescent="0.3">
      <c r="A71" s="62" t="s">
        <v>59</v>
      </c>
      <c r="B71" s="66">
        <f>PMT(D73,D72,,-Seuils!I293)</f>
        <v>11029.137296391424</v>
      </c>
      <c r="C71" s="61"/>
      <c r="D71" s="67">
        <f>B71</f>
        <v>11029.137296391424</v>
      </c>
      <c r="E71" s="287">
        <f>E69-E70</f>
        <v>0</v>
      </c>
    </row>
    <row r="72" spans="1:6" ht="15.6" x14ac:dyDescent="0.3">
      <c r="A72" s="62" t="s">
        <v>85</v>
      </c>
      <c r="B72" s="12">
        <f>' Épargne nécessaire'!E4</f>
        <v>15</v>
      </c>
      <c r="C72" s="68"/>
      <c r="D72" s="69">
        <f>B72</f>
        <v>15</v>
      </c>
      <c r="E72" s="290">
        <f>B72</f>
        <v>15</v>
      </c>
    </row>
    <row r="73" spans="1:6" ht="15.6" x14ac:dyDescent="0.3">
      <c r="A73" s="70" t="s">
        <v>86</v>
      </c>
      <c r="B73" s="13">
        <f>' Épargne nécessaire'!D23</f>
        <v>5.0999999999999997E-2</v>
      </c>
      <c r="C73" s="68"/>
      <c r="D73" s="71">
        <f>B73</f>
        <v>5.0999999999999997E-2</v>
      </c>
      <c r="E73" s="288">
        <f>B73</f>
        <v>5.0999999999999997E-2</v>
      </c>
    </row>
    <row r="74" spans="1:6" ht="16.2" thickBot="1" x14ac:dyDescent="0.35">
      <c r="A74" s="72" t="s">
        <v>60</v>
      </c>
      <c r="B74" s="35">
        <f>FV(B73,B72,-B69)</f>
        <v>239792.03562756503</v>
      </c>
      <c r="C74" s="73"/>
      <c r="D74" s="74">
        <f>FV(D73,D72,-D69)</f>
        <v>417029.62717837392</v>
      </c>
      <c r="E74" s="291">
        <f>B19</f>
        <v>0</v>
      </c>
    </row>
    <row r="75" spans="1:6" x14ac:dyDescent="0.3">
      <c r="A75" s="50"/>
      <c r="B75" s="50"/>
      <c r="C75" s="50"/>
      <c r="D75" s="50"/>
      <c r="E75" s="50"/>
    </row>
    <row r="76" spans="1:6" x14ac:dyDescent="0.3">
      <c r="A76" s="50"/>
      <c r="B76" s="50"/>
      <c r="C76" s="50"/>
      <c r="D76" s="50"/>
      <c r="E76" s="50"/>
    </row>
    <row r="77" spans="1:6" ht="15.6" x14ac:dyDescent="0.3">
      <c r="A77" s="39" t="s">
        <v>61</v>
      </c>
      <c r="B77" s="22">
        <f>B74</f>
        <v>239792.03562756503</v>
      </c>
      <c r="C77" s="38"/>
      <c r="D77" s="22">
        <f>D74</f>
        <v>417029.62717837392</v>
      </c>
      <c r="E77" s="50"/>
      <c r="F77" s="294">
        <f>E74</f>
        <v>0</v>
      </c>
    </row>
    <row r="78" spans="1:6" ht="15.6" x14ac:dyDescent="0.3">
      <c r="A78" s="37" t="s">
        <v>163</v>
      </c>
      <c r="B78" s="14">
        <f>Seuils!H299</f>
        <v>1.4591687041564771E-2</v>
      </c>
      <c r="C78" s="38"/>
      <c r="D78" s="75">
        <f>B78</f>
        <v>1.4591687041564771E-2</v>
      </c>
      <c r="E78" s="50"/>
      <c r="F78" s="96">
        <f>D78</f>
        <v>1.4591687041564771E-2</v>
      </c>
    </row>
    <row r="79" spans="1:6" ht="16.2" thickBot="1" x14ac:dyDescent="0.35">
      <c r="A79" s="38" t="s">
        <v>63</v>
      </c>
      <c r="B79" s="76">
        <f>IF('Optimisation retraite'!B13+'Optimisation retraite'!C13=0,Seuils!I292,Seuils!H347)</f>
        <v>9927.0487290000056</v>
      </c>
      <c r="C79" s="77" t="s">
        <v>100</v>
      </c>
      <c r="D79" s="76">
        <f>D55</f>
        <v>39669.839999999997</v>
      </c>
      <c r="E79" s="77" t="s">
        <v>100</v>
      </c>
      <c r="F79" s="294">
        <f>D79</f>
        <v>39669.839999999997</v>
      </c>
    </row>
    <row r="80" spans="1:6" ht="16.8" thickTop="1" thickBot="1" x14ac:dyDescent="0.35">
      <c r="A80" s="37" t="s">
        <v>62</v>
      </c>
      <c r="B80" s="293">
        <f>NPER(B78,B79,-B77,,1)</f>
        <v>29.461701900493281</v>
      </c>
      <c r="C80" s="79">
        <f>64+B80</f>
        <v>93.461701900493281</v>
      </c>
      <c r="D80" s="78">
        <f>NPER(D78,D79,-D77,,1)</f>
        <v>11.315481571886053</v>
      </c>
      <c r="E80" s="79">
        <f>64+D80</f>
        <v>75.315481571886053</v>
      </c>
      <c r="F80" s="295">
        <f>NPER(F78,F79,-F77,,1)</f>
        <v>0</v>
      </c>
    </row>
    <row r="81" spans="1:10" ht="16.2" thickTop="1" x14ac:dyDescent="0.3">
      <c r="A81" s="37" t="s">
        <v>64</v>
      </c>
      <c r="B81" s="76">
        <f>C111</f>
        <v>14462.085635328287</v>
      </c>
      <c r="C81" s="38"/>
      <c r="D81" s="76">
        <f>E111</f>
        <v>-754147.34590295283</v>
      </c>
      <c r="E81" s="50"/>
      <c r="G81" s="50"/>
      <c r="H81" s="50"/>
      <c r="I81" s="50"/>
    </row>
    <row r="82" spans="1:10" ht="15.6" x14ac:dyDescent="0.3">
      <c r="A82" s="37"/>
      <c r="B82" s="22" t="s">
        <v>238</v>
      </c>
      <c r="C82" s="296" t="s">
        <v>239</v>
      </c>
      <c r="D82" s="22" t="s">
        <v>237</v>
      </c>
      <c r="E82" s="296" t="s">
        <v>240</v>
      </c>
      <c r="G82" s="86" t="s">
        <v>65</v>
      </c>
      <c r="H82" s="86" t="s">
        <v>57</v>
      </c>
      <c r="I82" s="86" t="s">
        <v>45</v>
      </c>
      <c r="J82" s="86" t="s">
        <v>236</v>
      </c>
    </row>
    <row r="83" spans="1:10" ht="15.6" x14ac:dyDescent="0.3">
      <c r="A83" s="80" t="s">
        <v>65</v>
      </c>
      <c r="B83" s="38"/>
      <c r="C83" s="81">
        <f>B74</f>
        <v>239792.03562756503</v>
      </c>
      <c r="D83" s="38"/>
      <c r="E83" s="81">
        <f>D74</f>
        <v>417029.62717837392</v>
      </c>
      <c r="F83" s="82">
        <f>E74</f>
        <v>0</v>
      </c>
      <c r="G83" s="50"/>
      <c r="H83" s="87">
        <f>C83</f>
        <v>239792.03562756503</v>
      </c>
      <c r="I83" s="87">
        <f>E83</f>
        <v>417029.62717837392</v>
      </c>
      <c r="J83" s="292">
        <f>F83</f>
        <v>0</v>
      </c>
    </row>
    <row r="84" spans="1:10" ht="15.6" x14ac:dyDescent="0.3">
      <c r="A84" s="38">
        <v>65</v>
      </c>
      <c r="B84" s="81">
        <f t="shared" ref="B84:B113" si="2">$B$79</f>
        <v>9927.0487290000056</v>
      </c>
      <c r="C84" s="82">
        <f>(C83-B84)*(1+$B$78)</f>
        <v>233219.10484920227</v>
      </c>
      <c r="D84" s="81">
        <f t="shared" ref="D84:D113" si="3">$D$79</f>
        <v>39669.839999999997</v>
      </c>
      <c r="E84" s="82">
        <f>(E83-D84)*(1+$B$78)</f>
        <v>382866.10309495224</v>
      </c>
      <c r="F84" s="82">
        <f>(F83-$D$79)*(1+$B$78)</f>
        <v>-40248.689890268943</v>
      </c>
      <c r="G84" s="50">
        <f>A84</f>
        <v>65</v>
      </c>
      <c r="H84" s="88">
        <f>C84</f>
        <v>233219.10484920227</v>
      </c>
      <c r="I84" s="88">
        <f>E84</f>
        <v>382866.10309495224</v>
      </c>
      <c r="J84" s="292">
        <f t="shared" ref="J84:J113" si="4">F84</f>
        <v>-40248.689890268943</v>
      </c>
    </row>
    <row r="85" spans="1:10" ht="15.6" x14ac:dyDescent="0.3">
      <c r="A85" s="38">
        <f>A84+1</f>
        <v>66</v>
      </c>
      <c r="B85" s="81">
        <f t="shared" si="2"/>
        <v>9927.0487290000056</v>
      </c>
      <c r="C85" s="82">
        <f t="shared" ref="C85:C113" si="5">(C84-B85)*(1+$B$78)</f>
        <v>226550.26392197577</v>
      </c>
      <c r="D85" s="81">
        <f t="shared" si="3"/>
        <v>39669.839999999997</v>
      </c>
      <c r="E85" s="82">
        <f t="shared" ref="E85:E113" si="6">(E84-D85)*(1+$B$78)</f>
        <v>348204.0755598683</v>
      </c>
      <c r="F85" s="82">
        <f t="shared" ref="F85:F113" si="7">(F84-$D$79)*(1+$B$78)</f>
        <v>-81084.676067249689</v>
      </c>
      <c r="G85" s="50">
        <f t="shared" ref="G85:G113" si="8">A85</f>
        <v>66</v>
      </c>
      <c r="H85" s="88">
        <f t="shared" ref="H85:H113" si="9">C85</f>
        <v>226550.26392197577</v>
      </c>
      <c r="I85" s="88">
        <f t="shared" ref="I85:I113" si="10">E85</f>
        <v>348204.0755598683</v>
      </c>
      <c r="J85" s="292">
        <f t="shared" si="4"/>
        <v>-81084.676067249689</v>
      </c>
    </row>
    <row r="86" spans="1:10" ht="15.6" x14ac:dyDescent="0.3">
      <c r="A86" s="38">
        <f t="shared" ref="A86:A113" si="11">A85+1</f>
        <v>67</v>
      </c>
      <c r="B86" s="81">
        <f t="shared" si="2"/>
        <v>9927.0487290000056</v>
      </c>
      <c r="C86" s="82">
        <f t="shared" si="5"/>
        <v>219784.11335500921</v>
      </c>
      <c r="D86" s="81">
        <f t="shared" si="3"/>
        <v>39669.839999999997</v>
      </c>
      <c r="E86" s="82">
        <f t="shared" si="6"/>
        <v>313036.27056676632</v>
      </c>
      <c r="F86" s="82">
        <f t="shared" si="7"/>
        <v>-122516.5281745586</v>
      </c>
      <c r="G86" s="50">
        <f t="shared" si="8"/>
        <v>67</v>
      </c>
      <c r="H86" s="88">
        <f t="shared" si="9"/>
        <v>219784.11335500921</v>
      </c>
      <c r="I86" s="88">
        <f t="shared" si="10"/>
        <v>313036.27056676632</v>
      </c>
      <c r="J86" s="292">
        <f t="shared" si="4"/>
        <v>-122516.5281745586</v>
      </c>
    </row>
    <row r="87" spans="1:10" ht="15.6" x14ac:dyDescent="0.3">
      <c r="A87" s="38">
        <f t="shared" si="11"/>
        <v>68</v>
      </c>
      <c r="B87" s="81">
        <f t="shared" si="2"/>
        <v>9927.0487290000056</v>
      </c>
      <c r="C87" s="82">
        <f t="shared" si="5"/>
        <v>212919.23323649337</v>
      </c>
      <c r="D87" s="81">
        <f t="shared" si="3"/>
        <v>39669.839999999997</v>
      </c>
      <c r="E87" s="82">
        <f t="shared" si="6"/>
        <v>277355.3079692662</v>
      </c>
      <c r="F87" s="82">
        <f t="shared" si="7"/>
        <v>-164552.94090136976</v>
      </c>
      <c r="G87" s="50">
        <f t="shared" si="8"/>
        <v>68</v>
      </c>
      <c r="H87" s="88">
        <f t="shared" si="9"/>
        <v>212919.23323649337</v>
      </c>
      <c r="I87" s="88">
        <f t="shared" si="10"/>
        <v>277355.3079692662</v>
      </c>
      <c r="J87" s="292">
        <f t="shared" si="4"/>
        <v>-164552.94090136976</v>
      </c>
    </row>
    <row r="88" spans="1:10" ht="15.6" x14ac:dyDescent="0.3">
      <c r="A88" s="38">
        <f t="shared" si="11"/>
        <v>69</v>
      </c>
      <c r="B88" s="81">
        <f t="shared" si="2"/>
        <v>9927.0487290000056</v>
      </c>
      <c r="C88" s="82">
        <f t="shared" si="5"/>
        <v>205954.18293571027</v>
      </c>
      <c r="D88" s="81">
        <f t="shared" si="3"/>
        <v>39669.839999999997</v>
      </c>
      <c r="E88" s="82">
        <f t="shared" si="6"/>
        <v>241153.69993220159</v>
      </c>
      <c r="F88" s="82">
        <f t="shared" si="7"/>
        <v>-207202.73580704059</v>
      </c>
      <c r="G88" s="50">
        <f t="shared" si="8"/>
        <v>69</v>
      </c>
      <c r="H88" s="88">
        <f t="shared" si="9"/>
        <v>205954.18293571027</v>
      </c>
      <c r="I88" s="88">
        <f t="shared" si="10"/>
        <v>241153.69993220159</v>
      </c>
      <c r="J88" s="292">
        <f t="shared" si="4"/>
        <v>-207202.73580704059</v>
      </c>
    </row>
    <row r="89" spans="1:10" ht="15.6" x14ac:dyDescent="0.3">
      <c r="A89" s="38">
        <f t="shared" si="11"/>
        <v>70</v>
      </c>
      <c r="B89" s="81">
        <f t="shared" si="2"/>
        <v>9927.0487290000056</v>
      </c>
      <c r="C89" s="82">
        <f t="shared" si="5"/>
        <v>198887.50080070939</v>
      </c>
      <c r="D89" s="81">
        <f t="shared" si="3"/>
        <v>39669.839999999997</v>
      </c>
      <c r="E89" s="82">
        <f t="shared" si="6"/>
        <v>204423.84936025876</v>
      </c>
      <c r="F89" s="82">
        <f t="shared" si="7"/>
        <v>-250474.86317236189</v>
      </c>
      <c r="G89" s="50">
        <f t="shared" si="8"/>
        <v>70</v>
      </c>
      <c r="H89" s="88">
        <f t="shared" si="9"/>
        <v>198887.50080070939</v>
      </c>
      <c r="I89" s="88">
        <f t="shared" si="10"/>
        <v>204423.84936025876</v>
      </c>
      <c r="J89" s="292">
        <f t="shared" si="4"/>
        <v>-250474.86317236189</v>
      </c>
    </row>
    <row r="90" spans="1:10" ht="15.6" x14ac:dyDescent="0.3">
      <c r="A90" s="38">
        <f t="shared" si="11"/>
        <v>71</v>
      </c>
      <c r="B90" s="81">
        <f t="shared" si="2"/>
        <v>9927.0487290000056</v>
      </c>
      <c r="C90" s="82">
        <f t="shared" si="5"/>
        <v>191717.70385157235</v>
      </c>
      <c r="D90" s="81">
        <f t="shared" si="3"/>
        <v>39669.839999999997</v>
      </c>
      <c r="E90" s="82">
        <f t="shared" si="6"/>
        <v>167158.04830368669</v>
      </c>
      <c r="F90" s="82">
        <f t="shared" si="7"/>
        <v>-294378.4038778207</v>
      </c>
      <c r="G90" s="50">
        <f t="shared" si="8"/>
        <v>71</v>
      </c>
      <c r="H90" s="88">
        <f t="shared" si="9"/>
        <v>191717.70385157235</v>
      </c>
      <c r="I90" s="88">
        <f t="shared" si="10"/>
        <v>167158.04830368669</v>
      </c>
      <c r="J90" s="292">
        <f t="shared" si="4"/>
        <v>-294378.4038778207</v>
      </c>
    </row>
    <row r="91" spans="1:10" ht="15.6" x14ac:dyDescent="0.3">
      <c r="A91" s="38">
        <f t="shared" si="11"/>
        <v>72</v>
      </c>
      <c r="B91" s="81">
        <f t="shared" si="2"/>
        <v>9927.0487290000056</v>
      </c>
      <c r="C91" s="82">
        <f t="shared" si="5"/>
        <v>184443.28746920195</v>
      </c>
      <c r="D91" s="81">
        <f t="shared" si="3"/>
        <v>39669.839999999997</v>
      </c>
      <c r="E91" s="82">
        <f t="shared" si="6"/>
        <v>129348.47634074392</v>
      </c>
      <c r="F91" s="82">
        <f t="shared" si="7"/>
        <v>-338922.57130927016</v>
      </c>
      <c r="G91" s="50">
        <f t="shared" si="8"/>
        <v>72</v>
      </c>
      <c r="H91" s="88">
        <f t="shared" si="9"/>
        <v>184443.28746920195</v>
      </c>
      <c r="I91" s="88">
        <f t="shared" si="10"/>
        <v>129348.47634074392</v>
      </c>
      <c r="J91" s="292">
        <f t="shared" si="4"/>
        <v>-338922.57130927016</v>
      </c>
    </row>
    <row r="92" spans="1:10" ht="15.6" x14ac:dyDescent="0.3">
      <c r="A92" s="38">
        <f t="shared" si="11"/>
        <v>73</v>
      </c>
      <c r="B92" s="81">
        <f t="shared" si="2"/>
        <v>9927.0487290000056</v>
      </c>
      <c r="C92" s="82">
        <f t="shared" si="5"/>
        <v>177062.72507956999</v>
      </c>
      <c r="D92" s="81">
        <f t="shared" si="3"/>
        <v>39669.839999999997</v>
      </c>
      <c r="E92" s="82">
        <f t="shared" si="6"/>
        <v>90987.198936542351</v>
      </c>
      <c r="F92" s="82">
        <f t="shared" si="7"/>
        <v>-384116.7132914064</v>
      </c>
      <c r="G92" s="50">
        <f t="shared" si="8"/>
        <v>73</v>
      </c>
      <c r="H92" s="88">
        <f t="shared" si="9"/>
        <v>177062.72507956999</v>
      </c>
      <c r="I92" s="88">
        <f t="shared" si="10"/>
        <v>90987.198936542351</v>
      </c>
      <c r="J92" s="292">
        <f t="shared" si="4"/>
        <v>-384116.7132914064</v>
      </c>
    </row>
    <row r="93" spans="1:10" ht="15.6" x14ac:dyDescent="0.3">
      <c r="A93" s="38">
        <f t="shared" si="11"/>
        <v>74</v>
      </c>
      <c r="B93" s="81">
        <f t="shared" si="2"/>
        <v>9927.0487290000056</v>
      </c>
      <c r="C93" s="82">
        <f t="shared" si="5"/>
        <v>169574.46783335778</v>
      </c>
      <c r="D93" s="81">
        <f t="shared" si="3"/>
        <v>39669.839999999997</v>
      </c>
      <c r="E93" s="82">
        <f t="shared" si="6"/>
        <v>52066.165777944028</v>
      </c>
      <c r="F93" s="82">
        <f t="shared" si="7"/>
        <v>-429970.31404945796</v>
      </c>
      <c r="G93" s="50">
        <f t="shared" si="8"/>
        <v>74</v>
      </c>
      <c r="H93" s="88">
        <f t="shared" si="9"/>
        <v>169574.46783335778</v>
      </c>
      <c r="I93" s="88">
        <f t="shared" si="10"/>
        <v>52066.165777944028</v>
      </c>
      <c r="J93" s="292">
        <f t="shared" si="4"/>
        <v>-429970.31404945796</v>
      </c>
    </row>
    <row r="94" spans="1:10" ht="15.6" x14ac:dyDescent="0.3">
      <c r="A94" s="38">
        <f t="shared" si="11"/>
        <v>75</v>
      </c>
      <c r="B94" s="81">
        <f t="shared" si="2"/>
        <v>9927.0487290000056</v>
      </c>
      <c r="C94" s="82">
        <f t="shared" si="5"/>
        <v>161976.94428092209</v>
      </c>
      <c r="D94" s="81">
        <f t="shared" si="3"/>
        <v>39669.839999999997</v>
      </c>
      <c r="E94" s="82">
        <f t="shared" si="6"/>
        <v>12577.209084161073</v>
      </c>
      <c r="F94" s="82">
        <f t="shared" si="7"/>
        <v>-476492.99619949993</v>
      </c>
      <c r="G94" s="50">
        <f t="shared" si="8"/>
        <v>75</v>
      </c>
      <c r="H94" s="88">
        <f t="shared" si="9"/>
        <v>161976.94428092209</v>
      </c>
      <c r="I94" s="88">
        <f t="shared" si="10"/>
        <v>12577.209084161073</v>
      </c>
      <c r="J94" s="292">
        <f t="shared" si="4"/>
        <v>-476492.99619949993</v>
      </c>
    </row>
    <row r="95" spans="1:10" ht="15.6" x14ac:dyDescent="0.3">
      <c r="A95" s="38">
        <f t="shared" si="11"/>
        <v>76</v>
      </c>
      <c r="B95" s="81">
        <f t="shared" si="2"/>
        <v>9927.0487290000056</v>
      </c>
      <c r="C95" s="82">
        <f t="shared" si="5"/>
        <v>154268.56004251834</v>
      </c>
      <c r="D95" s="81">
        <f t="shared" si="3"/>
        <v>39669.839999999997</v>
      </c>
      <c r="E95" s="82">
        <f t="shared" si="6"/>
        <v>-27487.958107295468</v>
      </c>
      <c r="F95" s="82">
        <f t="shared" si="7"/>
        <v>-523694.52276780945</v>
      </c>
      <c r="G95" s="50">
        <f t="shared" si="8"/>
        <v>76</v>
      </c>
      <c r="H95" s="88">
        <f t="shared" si="9"/>
        <v>154268.56004251834</v>
      </c>
      <c r="I95" s="88">
        <f t="shared" si="10"/>
        <v>-27487.958107295468</v>
      </c>
      <c r="J95" s="292">
        <f t="shared" si="4"/>
        <v>-523694.52276780945</v>
      </c>
    </row>
    <row r="96" spans="1:10" ht="15.6" x14ac:dyDescent="0.3">
      <c r="A96" s="38">
        <f t="shared" si="11"/>
        <v>77</v>
      </c>
      <c r="B96" s="81">
        <f t="shared" si="2"/>
        <v>9927.0487290000056</v>
      </c>
      <c r="C96" s="82">
        <f t="shared" si="5"/>
        <v>146447.69747371168</v>
      </c>
      <c r="D96" s="81">
        <f t="shared" si="3"/>
        <v>39669.839999999997</v>
      </c>
      <c r="E96" s="82">
        <f t="shared" si="6"/>
        <v>-68137.743679677718</v>
      </c>
      <c r="F96" s="82">
        <f t="shared" si="7"/>
        <v>-571584.79923968785</v>
      </c>
      <c r="G96" s="50">
        <f t="shared" si="8"/>
        <v>77</v>
      </c>
      <c r="H96" s="88">
        <f t="shared" si="9"/>
        <v>146447.69747371168</v>
      </c>
      <c r="I96" s="88">
        <f t="shared" si="10"/>
        <v>-68137.743679677718</v>
      </c>
      <c r="J96" s="292">
        <f t="shared" si="4"/>
        <v>-571584.79923968785</v>
      </c>
    </row>
    <row r="97" spans="1:10" ht="15.6" x14ac:dyDescent="0.3">
      <c r="A97" s="38">
        <f t="shared" si="11"/>
        <v>78</v>
      </c>
      <c r="B97" s="81">
        <f t="shared" si="2"/>
        <v>9927.0487290000056</v>
      </c>
      <c r="C97" s="82">
        <f t="shared" si="5"/>
        <v>138512.71532590591</v>
      </c>
      <c r="D97" s="81">
        <f t="shared" si="3"/>
        <v>39669.839999999997</v>
      </c>
      <c r="E97" s="82">
        <f t="shared" si="6"/>
        <v>-109380.67820143887</v>
      </c>
      <c r="F97" s="82">
        <f t="shared" si="7"/>
        <v>-620173.87563817797</v>
      </c>
      <c r="G97" s="50">
        <f t="shared" si="8"/>
        <v>78</v>
      </c>
      <c r="H97" s="88">
        <f t="shared" si="9"/>
        <v>138512.71532590591</v>
      </c>
      <c r="I97" s="88">
        <f t="shared" si="10"/>
        <v>-109380.67820143887</v>
      </c>
      <c r="J97" s="292">
        <f t="shared" si="4"/>
        <v>-620173.87563817797</v>
      </c>
    </row>
    <row r="98" spans="1:10" ht="15.6" x14ac:dyDescent="0.3">
      <c r="A98" s="38">
        <f t="shared" si="11"/>
        <v>79</v>
      </c>
      <c r="B98" s="81">
        <f t="shared" si="2"/>
        <v>9927.0487290000056</v>
      </c>
      <c r="C98" s="82">
        <f t="shared" si="5"/>
        <v>130461.94840191895</v>
      </c>
      <c r="D98" s="81">
        <f t="shared" si="3"/>
        <v>39669.839999999997</v>
      </c>
      <c r="E98" s="82">
        <f t="shared" si="6"/>
        <v>-151225.41671641733</v>
      </c>
      <c r="F98" s="82">
        <f t="shared" si="7"/>
        <v>-669471.94863311353</v>
      </c>
      <c r="G98" s="50">
        <f t="shared" si="8"/>
        <v>79</v>
      </c>
      <c r="H98" s="88">
        <f t="shared" si="9"/>
        <v>130461.94840191895</v>
      </c>
      <c r="I98" s="88">
        <f t="shared" si="10"/>
        <v>-151225.41671641733</v>
      </c>
      <c r="J98" s="292">
        <f t="shared" si="4"/>
        <v>-669471.94863311353</v>
      </c>
    </row>
    <row r="99" spans="1:10" ht="15.6" x14ac:dyDescent="0.3">
      <c r="A99" s="38">
        <f t="shared" si="11"/>
        <v>80</v>
      </c>
      <c r="B99" s="81">
        <f t="shared" si="2"/>
        <v>9927.0487290000056</v>
      </c>
      <c r="C99" s="82">
        <f t="shared" si="5"/>
        <v>122293.70720653259</v>
      </c>
      <c r="D99" s="81">
        <f t="shared" si="3"/>
        <v>39669.839999999997</v>
      </c>
      <c r="E99" s="82">
        <f t="shared" si="6"/>
        <v>-193680.74056014244</v>
      </c>
      <c r="F99" s="82">
        <f t="shared" si="7"/>
        <v>-719489.36368094338</v>
      </c>
      <c r="G99" s="50">
        <f t="shared" si="8"/>
        <v>80</v>
      </c>
      <c r="H99" s="88">
        <f t="shared" si="9"/>
        <v>122293.70720653259</v>
      </c>
      <c r="I99" s="88">
        <f t="shared" si="10"/>
        <v>-193680.74056014244</v>
      </c>
      <c r="J99" s="292">
        <f t="shared" si="4"/>
        <v>-719489.36368094338</v>
      </c>
    </row>
    <row r="100" spans="1:10" ht="15.6" x14ac:dyDescent="0.3">
      <c r="A100" s="38">
        <f t="shared" si="11"/>
        <v>81</v>
      </c>
      <c r="B100" s="81">
        <f t="shared" si="2"/>
        <v>9927.0487290000056</v>
      </c>
      <c r="C100" s="82">
        <f t="shared" si="5"/>
        <v>114006.27759194313</v>
      </c>
      <c r="D100" s="81">
        <f t="shared" si="3"/>
        <v>39669.839999999997</v>
      </c>
      <c r="E100" s="82">
        <f t="shared" si="6"/>
        <v>-236755.55920264349</v>
      </c>
      <c r="F100" s="82">
        <f t="shared" si="7"/>
        <v>-770236.61719577922</v>
      </c>
      <c r="G100" s="50">
        <f t="shared" si="8"/>
        <v>81</v>
      </c>
      <c r="H100" s="88">
        <f t="shared" si="9"/>
        <v>114006.27759194313</v>
      </c>
      <c r="I100" s="88">
        <f t="shared" si="10"/>
        <v>-236755.55920264349</v>
      </c>
      <c r="J100" s="292">
        <f t="shared" si="4"/>
        <v>-770236.61719577922</v>
      </c>
    </row>
    <row r="101" spans="1:10" ht="15.6" x14ac:dyDescent="0.3">
      <c r="A101" s="38">
        <f t="shared" si="11"/>
        <v>82</v>
      </c>
      <c r="B101" s="81">
        <f t="shared" si="2"/>
        <v>9927.0487290000056</v>
      </c>
      <c r="C101" s="82">
        <f t="shared" si="5"/>
        <v>105597.92039803859</v>
      </c>
      <c r="D101" s="81">
        <f t="shared" si="3"/>
        <v>39669.839999999997</v>
      </c>
      <c r="E101" s="82">
        <f t="shared" si="6"/>
        <v>-280458.91211814806</v>
      </c>
      <c r="F101" s="82">
        <f t="shared" si="7"/>
        <v>-821724.3587521225</v>
      </c>
      <c r="G101" s="50">
        <f t="shared" si="8"/>
        <v>82</v>
      </c>
      <c r="H101" s="88">
        <f t="shared" si="9"/>
        <v>105597.92039803859</v>
      </c>
      <c r="I101" s="88">
        <f t="shared" si="10"/>
        <v>-280458.91211814806</v>
      </c>
      <c r="J101" s="292">
        <f t="shared" si="4"/>
        <v>-821724.3587521225</v>
      </c>
    </row>
    <row r="102" spans="1:10" ht="15.6" x14ac:dyDescent="0.3">
      <c r="A102" s="38">
        <f t="shared" si="11"/>
        <v>83</v>
      </c>
      <c r="B102" s="81">
        <f t="shared" si="2"/>
        <v>9927.0487290000056</v>
      </c>
      <c r="C102" s="82">
        <f t="shared" si="5"/>
        <v>97066.871087426902</v>
      </c>
      <c r="D102" s="81">
        <f t="shared" si="3"/>
        <v>39669.839999999997</v>
      </c>
      <c r="E102" s="82">
        <f t="shared" si="6"/>
        <v>-324799.97068206273</v>
      </c>
      <c r="F102" s="82">
        <f t="shared" si="7"/>
        <v>-873963.39331973286</v>
      </c>
      <c r="G102" s="50">
        <f t="shared" si="8"/>
        <v>83</v>
      </c>
      <c r="H102" s="88">
        <f t="shared" si="9"/>
        <v>97066.871087426902</v>
      </c>
      <c r="I102" s="88">
        <f t="shared" si="10"/>
        <v>-324799.97068206273</v>
      </c>
      <c r="J102" s="292">
        <f t="shared" si="4"/>
        <v>-873963.39331973286</v>
      </c>
    </row>
    <row r="103" spans="1:10" ht="15.6" x14ac:dyDescent="0.3">
      <c r="A103" s="38">
        <f t="shared" si="11"/>
        <v>84</v>
      </c>
      <c r="B103" s="81">
        <f t="shared" si="2"/>
        <v>9927.0487290000056</v>
      </c>
      <c r="C103" s="82">
        <f t="shared" si="5"/>
        <v>88411.339375138617</v>
      </c>
      <c r="D103" s="81">
        <f t="shared" si="3"/>
        <v>39669.839999999997</v>
      </c>
      <c r="E103" s="82">
        <f t="shared" si="6"/>
        <v>-369788.04009563377</v>
      </c>
      <c r="F103" s="82">
        <f t="shared" si="7"/>
        <v>-926964.68353110726</v>
      </c>
      <c r="G103" s="50">
        <f t="shared" si="8"/>
        <v>84</v>
      </c>
      <c r="H103" s="88">
        <f t="shared" si="9"/>
        <v>88411.339375138617</v>
      </c>
      <c r="I103" s="88">
        <f t="shared" si="10"/>
        <v>-369788.04009563377</v>
      </c>
      <c r="J103" s="292">
        <f t="shared" si="4"/>
        <v>-926964.68353110726</v>
      </c>
    </row>
    <row r="104" spans="1:10" ht="15.6" x14ac:dyDescent="0.3">
      <c r="A104" s="38">
        <f t="shared" si="11"/>
        <v>85</v>
      </c>
      <c r="B104" s="81">
        <f t="shared" si="2"/>
        <v>9927.0487290000056</v>
      </c>
      <c r="C104" s="82">
        <f t="shared" si="5"/>
        <v>79629.508852926287</v>
      </c>
      <c r="D104" s="81">
        <f t="shared" si="3"/>
        <v>39669.839999999997</v>
      </c>
      <c r="E104" s="82">
        <f t="shared" si="6"/>
        <v>-415432.56133869186</v>
      </c>
      <c r="F104" s="82">
        <f t="shared" si="7"/>
        <v>-980739.35198204522</v>
      </c>
      <c r="G104" s="50">
        <f t="shared" si="8"/>
        <v>85</v>
      </c>
      <c r="H104" s="88">
        <f t="shared" si="9"/>
        <v>79629.508852926287</v>
      </c>
      <c r="I104" s="88">
        <f t="shared" si="10"/>
        <v>-415432.56133869186</v>
      </c>
      <c r="J104" s="292">
        <f t="shared" si="4"/>
        <v>-980739.35198204522</v>
      </c>
    </row>
    <row r="105" spans="1:10" ht="15.6" x14ac:dyDescent="0.3">
      <c r="A105" s="38">
        <f t="shared" si="11"/>
        <v>86</v>
      </c>
      <c r="B105" s="81">
        <f t="shared" si="2"/>
        <v>9927.0487290000056</v>
      </c>
      <c r="C105" s="82">
        <f t="shared" si="5"/>
        <v>70719.536608081762</v>
      </c>
      <c r="D105" s="81">
        <f t="shared" si="3"/>
        <v>39669.839999999997</v>
      </c>
      <c r="E105" s="82">
        <f t="shared" si="6"/>
        <v>-461743.11315089063</v>
      </c>
      <c r="F105" s="82">
        <f t="shared" si="7"/>
        <v>-1035298.6835657832</v>
      </c>
      <c r="G105" s="50">
        <f t="shared" si="8"/>
        <v>86</v>
      </c>
      <c r="H105" s="88">
        <f t="shared" si="9"/>
        <v>70719.536608081762</v>
      </c>
      <c r="I105" s="88">
        <f t="shared" si="10"/>
        <v>-461743.11315089063</v>
      </c>
      <c r="J105" s="292">
        <f t="shared" si="4"/>
        <v>-1035298.6835657832</v>
      </c>
    </row>
    <row r="106" spans="1:10" ht="15.6" x14ac:dyDescent="0.3">
      <c r="A106" s="38">
        <f t="shared" si="11"/>
        <v>87</v>
      </c>
      <c r="B106" s="81">
        <f t="shared" si="2"/>
        <v>9927.0487290000056</v>
      </c>
      <c r="C106" s="82">
        <f t="shared" si="5"/>
        <v>61679.552836691444</v>
      </c>
      <c r="D106" s="81">
        <f t="shared" si="3"/>
        <v>39669.839999999997</v>
      </c>
      <c r="E106" s="82">
        <f t="shared" si="6"/>
        <v>-508729.4140418552</v>
      </c>
      <c r="F106" s="82">
        <f t="shared" si="7"/>
        <v>-1090654.1278411881</v>
      </c>
      <c r="G106" s="50">
        <f t="shared" si="8"/>
        <v>87</v>
      </c>
      <c r="H106" s="88">
        <f t="shared" si="9"/>
        <v>61679.552836691444</v>
      </c>
      <c r="I106" s="88">
        <f t="shared" si="10"/>
        <v>-508729.4140418552</v>
      </c>
      <c r="J106" s="292">
        <f t="shared" si="4"/>
        <v>-1090654.1278411881</v>
      </c>
    </row>
    <row r="107" spans="1:10" ht="15.6" x14ac:dyDescent="0.3">
      <c r="A107" s="38">
        <f t="shared" si="11"/>
        <v>88</v>
      </c>
      <c r="B107" s="81">
        <f t="shared" si="2"/>
        <v>9927.0487290000056</v>
      </c>
      <c r="C107" s="82">
        <f t="shared" si="5"/>
        <v>52507.660451248164</v>
      </c>
      <c r="D107" s="81">
        <f t="shared" si="3"/>
        <v>39669.839999999997</v>
      </c>
      <c r="E107" s="82">
        <f t="shared" si="6"/>
        <v>-556401.32433066156</v>
      </c>
      <c r="F107" s="82">
        <f t="shared" si="7"/>
        <v>-1146817.3014355064</v>
      </c>
      <c r="G107" s="50">
        <f t="shared" si="8"/>
        <v>88</v>
      </c>
      <c r="H107" s="88">
        <f t="shared" si="9"/>
        <v>52507.660451248164</v>
      </c>
      <c r="I107" s="88">
        <f t="shared" si="10"/>
        <v>-556401.32433066156</v>
      </c>
      <c r="J107" s="292">
        <f t="shared" si="4"/>
        <v>-1146817.3014355064</v>
      </c>
    </row>
    <row r="108" spans="1:10" ht="15.6" x14ac:dyDescent="0.3">
      <c r="A108" s="38">
        <f t="shared" si="11"/>
        <v>89</v>
      </c>
      <c r="B108" s="81">
        <f t="shared" si="2"/>
        <v>9927.0487290000056</v>
      </c>
      <c r="C108" s="82">
        <f t="shared" si="5"/>
        <v>43201.934682537583</v>
      </c>
      <c r="D108" s="81">
        <f t="shared" si="3"/>
        <v>39669.839999999997</v>
      </c>
      <c r="E108" s="82">
        <f t="shared" si="6"/>
        <v>-604768.84821507568</v>
      </c>
      <c r="F108" s="82">
        <f t="shared" si="7"/>
        <v>-1203799.9904821743</v>
      </c>
      <c r="G108" s="50">
        <f t="shared" si="8"/>
        <v>89</v>
      </c>
      <c r="H108" s="88">
        <f t="shared" si="9"/>
        <v>43201.934682537583</v>
      </c>
      <c r="I108" s="88">
        <f t="shared" si="10"/>
        <v>-604768.84821507568</v>
      </c>
      <c r="J108" s="292">
        <f t="shared" si="4"/>
        <v>-1203799.9904821743</v>
      </c>
    </row>
    <row r="109" spans="1:10" ht="15.6" x14ac:dyDescent="0.3">
      <c r="A109" s="38">
        <f t="shared" si="11"/>
        <v>90</v>
      </c>
      <c r="B109" s="81">
        <f t="shared" si="2"/>
        <v>9927.0487290000056</v>
      </c>
      <c r="C109" s="82">
        <f t="shared" si="5"/>
        <v>33760.422675715359</v>
      </c>
      <c r="D109" s="81">
        <f t="shared" si="3"/>
        <v>39669.839999999997</v>
      </c>
      <c r="E109" s="82">
        <f t="shared" si="6"/>
        <v>-653842.13587098662</v>
      </c>
      <c r="F109" s="82">
        <f t="shared" si="7"/>
        <v>-1261614.1530941979</v>
      </c>
      <c r="G109" s="50">
        <f t="shared" si="8"/>
        <v>90</v>
      </c>
      <c r="H109" s="88">
        <f t="shared" si="9"/>
        <v>33760.422675715359</v>
      </c>
      <c r="I109" s="88">
        <f t="shared" si="10"/>
        <v>-653842.13587098662</v>
      </c>
      <c r="J109" s="292">
        <f t="shared" si="4"/>
        <v>-1261614.1530941979</v>
      </c>
    </row>
    <row r="110" spans="1:10" ht="15.6" x14ac:dyDescent="0.3">
      <c r="A110" s="38">
        <f t="shared" si="11"/>
        <v>91</v>
      </c>
      <c r="B110" s="81">
        <f t="shared" si="2"/>
        <v>9927.0487290000056</v>
      </c>
      <c r="C110" s="82">
        <f t="shared" si="5"/>
        <v>24181.143080490408</v>
      </c>
      <c r="D110" s="81">
        <f t="shared" si="3"/>
        <v>39669.839999999997</v>
      </c>
      <c r="E110" s="82">
        <f t="shared" si="6"/>
        <v>-703631.48558247322</v>
      </c>
      <c r="F110" s="82">
        <f t="shared" si="7"/>
        <v>-1320271.9218736263</v>
      </c>
      <c r="G110" s="50">
        <f t="shared" si="8"/>
        <v>91</v>
      </c>
      <c r="H110" s="88">
        <f t="shared" si="9"/>
        <v>24181.143080490408</v>
      </c>
      <c r="I110" s="88">
        <f t="shared" si="10"/>
        <v>-703631.48558247322</v>
      </c>
      <c r="J110" s="292">
        <f t="shared" si="4"/>
        <v>-1320271.9218736263</v>
      </c>
    </row>
    <row r="111" spans="1:10" ht="15.6" x14ac:dyDescent="0.3">
      <c r="A111" s="38">
        <f t="shared" si="11"/>
        <v>92</v>
      </c>
      <c r="B111" s="81">
        <f t="shared" si="2"/>
        <v>9927.0487290000056</v>
      </c>
      <c r="C111" s="82">
        <f t="shared" si="5"/>
        <v>14462.085635328287</v>
      </c>
      <c r="D111" s="81">
        <f t="shared" si="3"/>
        <v>39669.839999999997</v>
      </c>
      <c r="E111" s="82">
        <f t="shared" si="6"/>
        <v>-754147.34590295283</v>
      </c>
      <c r="F111" s="82">
        <f t="shared" si="7"/>
        <v>-1379785.6064576406</v>
      </c>
      <c r="G111" s="50">
        <f t="shared" si="8"/>
        <v>92</v>
      </c>
      <c r="H111" s="88">
        <f t="shared" si="9"/>
        <v>14462.085635328287</v>
      </c>
      <c r="I111" s="88">
        <f t="shared" si="10"/>
        <v>-754147.34590295283</v>
      </c>
      <c r="J111" s="292">
        <f t="shared" si="4"/>
        <v>-1379785.6064576406</v>
      </c>
    </row>
    <row r="112" spans="1:10" ht="15.6" x14ac:dyDescent="0.3">
      <c r="A112" s="38">
        <f t="shared" si="11"/>
        <v>93</v>
      </c>
      <c r="B112" s="81">
        <f t="shared" si="2"/>
        <v>9927.0487290000056</v>
      </c>
      <c r="C112" s="82">
        <f t="shared" si="5"/>
        <v>4601.2107455873702</v>
      </c>
      <c r="D112" s="81">
        <f t="shared" si="3"/>
        <v>39669.839999999997</v>
      </c>
      <c r="E112" s="82">
        <f t="shared" si="6"/>
        <v>-805400.31784786435</v>
      </c>
      <c r="F112" s="82">
        <f t="shared" si="7"/>
        <v>-1440167.6961017952</v>
      </c>
      <c r="G112" s="50">
        <f t="shared" si="8"/>
        <v>93</v>
      </c>
      <c r="H112" s="88">
        <f t="shared" si="9"/>
        <v>4601.2107455873702</v>
      </c>
      <c r="I112" s="88">
        <f t="shared" si="10"/>
        <v>-805400.31784786435</v>
      </c>
      <c r="J112" s="292">
        <f t="shared" si="4"/>
        <v>-1440167.6961017952</v>
      </c>
    </row>
    <row r="113" spans="1:10" ht="15.6" x14ac:dyDescent="0.3">
      <c r="A113" s="38">
        <f t="shared" si="11"/>
        <v>94</v>
      </c>
      <c r="B113" s="81">
        <f t="shared" si="2"/>
        <v>9927.0487290000056</v>
      </c>
      <c r="C113" s="82">
        <f t="shared" si="5"/>
        <v>-5403.550944500671</v>
      </c>
      <c r="D113" s="81">
        <f t="shared" si="3"/>
        <v>39669.839999999997</v>
      </c>
      <c r="E113" s="82">
        <f t="shared" si="6"/>
        <v>-857401.15711934608</v>
      </c>
      <c r="F113" s="82">
        <f t="shared" si="7"/>
        <v>-1501430.8623009529</v>
      </c>
      <c r="G113" s="50">
        <f t="shared" si="8"/>
        <v>94</v>
      </c>
      <c r="H113" s="88">
        <f t="shared" si="9"/>
        <v>-5403.550944500671</v>
      </c>
      <c r="I113" s="88">
        <f t="shared" si="10"/>
        <v>-857401.15711934608</v>
      </c>
      <c r="J113" s="292">
        <f t="shared" si="4"/>
        <v>-1501430.8623009529</v>
      </c>
    </row>
  </sheetData>
  <sheetProtection algorithmName="SHA-512" hashValue="UBx+SCVGB3gqLrSVPW5a2IFTKb3kTr+13eAy9ZrudOUebFYIRJfmkmLm6hrpQTwFjFmNo6xZ9Pdu/6CNR/mZvA==" saltValue="kuGh59u9uLklixG+ZQS1pw==" spinCount="100000" sheet="1" objects="1" scenarios="1"/>
  <mergeCells count="8">
    <mergeCell ref="F46:L46"/>
    <mergeCell ref="F47:L47"/>
    <mergeCell ref="A1:E1"/>
    <mergeCell ref="K14:M14"/>
    <mergeCell ref="B21:C21"/>
    <mergeCell ref="D21:E21"/>
    <mergeCell ref="B29:C29"/>
    <mergeCell ref="D29:E29"/>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40BE8-7629-439E-A106-B6E933DD5B65}">
  <dimension ref="A2:F38"/>
  <sheetViews>
    <sheetView workbookViewId="0">
      <selection activeCell="B9" sqref="B9"/>
    </sheetView>
  </sheetViews>
  <sheetFormatPr baseColWidth="10" defaultRowHeight="14.4" x14ac:dyDescent="0.3"/>
  <sheetData>
    <row r="2" spans="1:6" ht="15.6" x14ac:dyDescent="0.3">
      <c r="A2" s="294">
        <f>'Optimisation retraite'!E77</f>
        <v>437171.80392194708</v>
      </c>
      <c r="B2" s="592" t="s">
        <v>340</v>
      </c>
      <c r="C2" s="592"/>
      <c r="D2" s="592"/>
      <c r="E2" s="592"/>
      <c r="F2" s="592"/>
    </row>
    <row r="3" spans="1:6" ht="15.6" x14ac:dyDescent="0.3">
      <c r="A3" s="96">
        <f>'Optimisation retraite'!D81</f>
        <v>1.4591687041564771E-2</v>
      </c>
    </row>
    <row r="4" spans="1:6" ht="16.2" thickBot="1" x14ac:dyDescent="0.35">
      <c r="A4" s="294">
        <f>'Optimisation retraite'!D82</f>
        <v>18098.29</v>
      </c>
    </row>
    <row r="5" spans="1:6" ht="16.8" thickTop="1" thickBot="1" x14ac:dyDescent="0.35">
      <c r="A5" s="295">
        <f>NPER(A3,A4,-A2,,1)</f>
        <v>29.461701900493271</v>
      </c>
    </row>
    <row r="6" spans="1:6" ht="15" thickTop="1" x14ac:dyDescent="0.3">
      <c r="B6" s="50"/>
      <c r="C6" s="50"/>
      <c r="D6" s="50"/>
    </row>
    <row r="7" spans="1:6" ht="15.6" x14ac:dyDescent="0.3">
      <c r="B7" s="77" t="s">
        <v>65</v>
      </c>
      <c r="C7" s="296" t="s">
        <v>57</v>
      </c>
      <c r="D7" s="296" t="s">
        <v>45</v>
      </c>
      <c r="F7" s="77" t="s">
        <v>236</v>
      </c>
    </row>
    <row r="8" spans="1:6" ht="15.6" x14ac:dyDescent="0.3">
      <c r="A8" s="82">
        <f>'Optimisation retraite'!E77</f>
        <v>437171.80392194708</v>
      </c>
      <c r="B8" s="38">
        <f>B9-1</f>
        <v>64</v>
      </c>
      <c r="C8" s="81">
        <f>'Optimisation retraite'!C86</f>
        <v>239792.03562756503</v>
      </c>
      <c r="D8" s="81">
        <f>'Optimisation retraite'!E86</f>
        <v>417029.62717837392</v>
      </c>
      <c r="F8" s="294">
        <f t="shared" ref="F8:F38" si="0">A8</f>
        <v>437171.80392194708</v>
      </c>
    </row>
    <row r="9" spans="1:6" ht="15.6" x14ac:dyDescent="0.3">
      <c r="A9" s="82">
        <f>(A8-'Optimisation retraite'!$D$82)*(1+'Optimisation retraite'!$B$81)</f>
        <v>425188.503484505</v>
      </c>
      <c r="B9" s="38">
        <f>'Optimisation retraite'!A87</f>
        <v>65</v>
      </c>
      <c r="C9" s="82">
        <f>'Optimisation retraite'!C87</f>
        <v>233219.10484920227</v>
      </c>
      <c r="D9" s="82">
        <f>'Optimisation retraite'!E87</f>
        <v>404752.4184015537</v>
      </c>
      <c r="F9" s="294">
        <f t="shared" si="0"/>
        <v>425188.503484505</v>
      </c>
    </row>
    <row r="10" spans="1:6" ht="15.6" x14ac:dyDescent="0.3">
      <c r="A10" s="82">
        <f>(A9-'Optimisation retraite'!$D$82)*(1+'Optimisation retraite'!$B$81)</f>
        <v>413030.3464773547</v>
      </c>
      <c r="B10" s="38">
        <f>'Optimisation retraite'!A88</f>
        <v>66</v>
      </c>
      <c r="C10" s="82">
        <f>'Optimisation retraite'!C88</f>
        <v>226550.26392197577</v>
      </c>
      <c r="D10" s="82">
        <f>'Optimisation retraite'!E88</f>
        <v>392296.06443651818</v>
      </c>
      <c r="F10" s="294">
        <f t="shared" si="0"/>
        <v>413030.3464773547</v>
      </c>
    </row>
    <row r="11" spans="1:6" ht="15.6" x14ac:dyDescent="0.3">
      <c r="A11" s="82">
        <f>(A10-'Optimisation retraite'!$D$82)*(1+'Optimisation retraite'!$B$81)</f>
        <v>400694.7814481539</v>
      </c>
      <c r="B11" s="38">
        <f>'Optimisation retraite'!A89</f>
        <v>67</v>
      </c>
      <c r="C11" s="82">
        <f>'Optimisation retraite'!C89</f>
        <v>219784.11335500921</v>
      </c>
      <c r="D11" s="82">
        <f>'Optimisation retraite'!E89</f>
        <v>379657.95125274593</v>
      </c>
      <c r="F11" s="294">
        <f t="shared" si="0"/>
        <v>400694.7814481539</v>
      </c>
    </row>
    <row r="12" spans="1:6" ht="15.6" x14ac:dyDescent="0.3">
      <c r="A12" s="82">
        <f>(A11-'Optimisation retraite'!$D$82)*(1+'Optimisation retraite'!$B$81)</f>
        <v>388179.21971456608</v>
      </c>
      <c r="B12" s="38">
        <f>'Optimisation retraite'!A90</f>
        <v>68</v>
      </c>
      <c r="C12" s="82">
        <f>'Optimisation retraite'!C90</f>
        <v>212919.23323649337</v>
      </c>
      <c r="D12" s="82">
        <f>'Optimisation retraite'!E90</f>
        <v>366835.42667660018</v>
      </c>
      <c r="F12" s="294">
        <f t="shared" si="0"/>
        <v>388179.21971456608</v>
      </c>
    </row>
    <row r="13" spans="1:6" ht="15.6" x14ac:dyDescent="0.3">
      <c r="A13" s="82">
        <f>(A12-'Optimisation retraite'!$D$82)*(1+'Optimisation retraite'!$B$81)</f>
        <v>375481.03482101235</v>
      </c>
      <c r="B13" s="38">
        <f>'Optimisation retraite'!A91</f>
        <v>69</v>
      </c>
      <c r="C13" s="82">
        <f>'Optimisation retraite'!C91</f>
        <v>205954.18293571027</v>
      </c>
      <c r="D13" s="82">
        <f>'Optimisation retraite'!E91</f>
        <v>353825.79983475653</v>
      </c>
      <c r="F13" s="294">
        <f t="shared" si="0"/>
        <v>375481.03482101235</v>
      </c>
    </row>
    <row r="14" spans="1:6" ht="15.6" x14ac:dyDescent="0.3">
      <c r="A14" s="82">
        <f>(A13-'Optimisation retraite'!$D$82)*(1+'Optimisation retraite'!$B$81)</f>
        <v>362597.56198749598</v>
      </c>
      <c r="B14" s="38">
        <f>'Optimisation retraite'!A92</f>
        <v>70</v>
      </c>
      <c r="C14" s="82">
        <f>'Optimisation retraite'!C92</f>
        <v>198887.50080070939</v>
      </c>
      <c r="D14" s="82">
        <f>'Optimisation retraite'!E92</f>
        <v>340626.34058950917</v>
      </c>
      <c r="F14" s="294">
        <f t="shared" si="0"/>
        <v>362597.56198749598</v>
      </c>
    </row>
    <row r="15" spans="1:6" ht="15.6" x14ac:dyDescent="0.3">
      <c r="A15" s="82">
        <f>(A14-'Optimisation retraite'!$D$82)*(1+'Optimisation retraite'!$B$81)</f>
        <v>349526.09755038447</v>
      </c>
      <c r="B15" s="38">
        <f>'Optimisation retraite'!A93</f>
        <v>71</v>
      </c>
      <c r="C15" s="82">
        <f>'Optimisation retraite'!C93</f>
        <v>191717.70385157235</v>
      </c>
      <c r="D15" s="82">
        <f>'Optimisation retraite'!E93</f>
        <v>327234.27896583726</v>
      </c>
      <c r="F15" s="294">
        <f t="shared" si="0"/>
        <v>349526.09755038447</v>
      </c>
    </row>
    <row r="16" spans="1:6" ht="15.6" x14ac:dyDescent="0.3">
      <c r="A16" s="82">
        <f>(A15-'Optimisation retraite'!$D$82)*(1+'Optimisation retraite'!$B$81)</f>
        <v>336263.89839503163</v>
      </c>
      <c r="B16" s="38">
        <f>'Optimisation retraite'!A94</f>
        <v>72</v>
      </c>
      <c r="C16" s="82">
        <f>'Optimisation retraite'!C94</f>
        <v>184443.28746920195</v>
      </c>
      <c r="D16" s="82">
        <f>'Optimisation retraite'!E94</f>
        <v>313646.80457011139</v>
      </c>
      <c r="F16" s="294">
        <f t="shared" si="0"/>
        <v>336263.89839503163</v>
      </c>
    </row>
    <row r="17" spans="1:6" ht="15.6" x14ac:dyDescent="0.3">
      <c r="A17" s="82">
        <f>(A16-'Optimisation retraite'!$D$82)*(1+'Optimisation retraite'!$B$81)</f>
        <v>322808.18138012104</v>
      </c>
      <c r="B17" s="38">
        <f>'Optimisation retraite'!A95</f>
        <v>73</v>
      </c>
      <c r="C17" s="82">
        <f>'Optimisation retraite'!C95</f>
        <v>177062.72507956999</v>
      </c>
      <c r="D17" s="82">
        <f>'Optimisation retraite'!E95</f>
        <v>299861.06600031781</v>
      </c>
      <c r="F17" s="294">
        <f t="shared" si="0"/>
        <v>322808.18138012104</v>
      </c>
    </row>
    <row r="18" spans="1:6" ht="15.6" x14ac:dyDescent="0.3">
      <c r="A18" s="82">
        <f>(A17-'Optimisation retraite'!$D$82)*(1+'Optimisation retraite'!$B$81)</f>
        <v>309156.12275360897</v>
      </c>
      <c r="B18" s="38">
        <f>'Optimisation retraite'!A96</f>
        <v>74</v>
      </c>
      <c r="C18" s="82">
        <f>'Optimisation retraite'!C96</f>
        <v>169574.46783335778</v>
      </c>
      <c r="D18" s="82">
        <f>'Optimisation retraite'!E96</f>
        <v>285874.17024767696</v>
      </c>
      <c r="F18" s="294">
        <f t="shared" si="0"/>
        <v>309156.12275360897</v>
      </c>
    </row>
    <row r="19" spans="1:6" ht="15.6" x14ac:dyDescent="0.3">
      <c r="A19" s="82">
        <f>(A18-'Optimisation retraite'!$D$82)*(1+'Optimisation retraite'!$B$81)</f>
        <v>295304.85756014573</v>
      </c>
      <c r="B19" s="38">
        <f>'Optimisation retraite'!A97</f>
        <v>75</v>
      </c>
      <c r="C19" s="82">
        <f>'Optimisation retraite'!C97</f>
        <v>161976.94428092209</v>
      </c>
      <c r="D19" s="82">
        <f>'Optimisation retraite'!E97</f>
        <v>271683.18208953063</v>
      </c>
      <c r="F19" s="294">
        <f t="shared" si="0"/>
        <v>295304.85756014573</v>
      </c>
    </row>
    <row r="20" spans="1:6" ht="15.6" x14ac:dyDescent="0.3">
      <c r="A20" s="82">
        <f>(A19-'Optimisation retraite'!$D$82)*(1+'Optimisation retraite'!$B$81)</f>
        <v>281251.47903984977</v>
      </c>
      <c r="B20" s="38">
        <f>'Optimisation retraite'!A98</f>
        <v>76</v>
      </c>
      <c r="C20" s="82">
        <f>'Optimisation retraite'!C98</f>
        <v>154268.56004251834</v>
      </c>
      <c r="D20" s="82">
        <f>'Optimisation retraite'!E98</f>
        <v>257285.12347337004</v>
      </c>
      <c r="F20" s="294">
        <f t="shared" si="0"/>
        <v>281251.47903984977</v>
      </c>
    </row>
    <row r="21" spans="1:6" ht="15.6" x14ac:dyDescent="0.3">
      <c r="A21" s="82">
        <f>(A20-'Optimisation retraite'!$D$82)*(1+'Optimisation retraite'!$B$81)</f>
        <v>266993.03801830899</v>
      </c>
      <c r="B21" s="38">
        <f>'Optimisation retraite'!A99</f>
        <v>77</v>
      </c>
      <c r="C21" s="82">
        <f>'Optimisation retraite'!C99</f>
        <v>146447.69747371168</v>
      </c>
      <c r="D21" s="82">
        <f>'Optimisation retraite'!E99</f>
        <v>242676.97289187633</v>
      </c>
      <c r="F21" s="294">
        <f t="shared" si="0"/>
        <v>266993.03801830899</v>
      </c>
    </row>
    <row r="22" spans="1:6" ht="15.6" x14ac:dyDescent="0.3">
      <c r="A22" s="82">
        <f>(A21-'Optimisation retraite'!$D$82)*(1+'Optimisation retraite'!$B$81)</f>
        <v>252526.54228768128</v>
      </c>
      <c r="B22" s="38">
        <f>'Optimisation retraite'!A100</f>
        <v>78</v>
      </c>
      <c r="C22" s="82">
        <f>'Optimisation retraite'!C100</f>
        <v>138512.71532590591</v>
      </c>
      <c r="D22" s="82">
        <f>'Optimisation retraite'!E100</f>
        <v>227855.6647488414</v>
      </c>
      <c r="F22" s="294">
        <f t="shared" si="0"/>
        <v>252526.54228768128</v>
      </c>
    </row>
    <row r="23" spans="1:6" ht="15.6" x14ac:dyDescent="0.3">
      <c r="A23" s="82">
        <f>(A22-'Optimisation retraite'!$D$82)*(1+'Optimisation retraite'!$B$81)</f>
        <v>237848.9559787641</v>
      </c>
      <c r="B23" s="38">
        <f>'Optimisation retraite'!A101</f>
        <v>79</v>
      </c>
      <c r="C23" s="82">
        <f>'Optimisation retraite'!C101</f>
        <v>130461.94840191895</v>
      </c>
      <c r="D23" s="82">
        <f>'Optimisation retraite'!E101</f>
        <v>212818.0887158367</v>
      </c>
      <c r="F23" s="294">
        <f t="shared" si="0"/>
        <v>237848.9559787641</v>
      </c>
    </row>
    <row r="24" spans="1:6" ht="15.6" x14ac:dyDescent="0.3">
      <c r="A24" s="82">
        <f>(A23-'Optimisation retraite'!$D$82)*(1+'Optimisation retraite'!$B$81)</f>
        <v>222957.19892390165</v>
      </c>
      <c r="B24" s="38">
        <f>'Optimisation retraite'!A102</f>
        <v>80</v>
      </c>
      <c r="C24" s="82">
        <f>'Optimisation retraite'!C102</f>
        <v>122293.70720653259</v>
      </c>
      <c r="D24" s="82">
        <f>'Optimisation retraite'!E102</f>
        <v>197561.08907949468</v>
      </c>
      <c r="F24" s="294">
        <f t="shared" si="0"/>
        <v>222957.19892390165</v>
      </c>
    </row>
    <row r="25" spans="1:6" ht="15.6" x14ac:dyDescent="0.3">
      <c r="A25" s="82">
        <f>(A24-'Optimisation retraite'!$D$82)*(1+'Optimisation retraite'!$B$81)</f>
        <v>207848.14601059564</v>
      </c>
      <c r="B25" s="38">
        <f>'Optimisation retraite'!A103</f>
        <v>81</v>
      </c>
      <c r="C25" s="82">
        <f>'Optimisation retraite'!C103</f>
        <v>114006.27759194313</v>
      </c>
      <c r="D25" s="82">
        <f>'Optimisation retraite'!E103</f>
        <v>182081.46407926586</v>
      </c>
      <c r="F25" s="294">
        <f t="shared" si="0"/>
        <v>207848.14601059564</v>
      </c>
    </row>
    <row r="26" spans="1:6" ht="15.6" x14ac:dyDescent="0.3">
      <c r="A26" s="82">
        <f>(A25-'Optimisation retraite'!$D$82)*(1+'Optimisation retraite'!$B$81)</f>
        <v>192518.62652568423</v>
      </c>
      <c r="B26" s="38">
        <f>'Optimisation retraite'!A104</f>
        <v>82</v>
      </c>
      <c r="C26" s="82">
        <f>'Optimisation retraite'!C104</f>
        <v>105597.92039803859</v>
      </c>
      <c r="D26" s="82">
        <f>'Optimisation retraite'!E104</f>
        <v>166375.96523551294</v>
      </c>
      <c r="F26" s="294">
        <f t="shared" si="0"/>
        <v>192518.62652568423</v>
      </c>
    </row>
    <row r="27" spans="1:6" ht="15.6" x14ac:dyDescent="0.3">
      <c r="A27" s="82">
        <f>(A26-'Optimisation retraite'!$D$82)*(1+'Optimisation retraite'!$B$81)</f>
        <v>176965.42348995141</v>
      </c>
      <c r="B27" s="38">
        <f>'Optimisation retraite'!A105</f>
        <v>83</v>
      </c>
      <c r="C27" s="82">
        <f>'Optimisation retraite'!C105</f>
        <v>97066.871087426902</v>
      </c>
      <c r="D27" s="82">
        <f>'Optimisation retraite'!E105</f>
        <v>150441.29666780031</v>
      </c>
      <c r="F27" s="294">
        <f t="shared" si="0"/>
        <v>176965.42348995141</v>
      </c>
    </row>
    <row r="28" spans="1:6" ht="15.6" x14ac:dyDescent="0.3">
      <c r="A28" s="82">
        <f>(A27-'Optimisation retraite'!$D$82)*(1+'Optimisation retraite'!$B$81)</f>
        <v>161185.27298302727</v>
      </c>
      <c r="B28" s="38">
        <f>'Optimisation retraite'!A106</f>
        <v>84</v>
      </c>
      <c r="C28" s="82">
        <f>'Optimisation retraite'!C106</f>
        <v>88411.339375138617</v>
      </c>
      <c r="D28" s="82">
        <f>'Optimisation retraite'!E106</f>
        <v>134274.11440323657</v>
      </c>
      <c r="F28" s="294">
        <f t="shared" si="0"/>
        <v>161185.27298302727</v>
      </c>
    </row>
    <row r="29" spans="1:6" ht="15.6" x14ac:dyDescent="0.3">
      <c r="A29" s="82">
        <f>(A28-'Optimisation retraite'!$D$82)*(1+'Optimisation retraite'!$B$81)</f>
        <v>145174.86345843729</v>
      </c>
      <c r="B29" s="38">
        <f>'Optimisation retraite'!A107</f>
        <v>85</v>
      </c>
      <c r="C29" s="82">
        <f>'Optimisation retraite'!C107</f>
        <v>79629.508852926287</v>
      </c>
      <c r="D29" s="82">
        <f>'Optimisation retraite'!E107</f>
        <v>117871.02567472437</v>
      </c>
      <c r="F29" s="294">
        <f t="shared" si="0"/>
        <v>145174.86345843729</v>
      </c>
    </row>
    <row r="30" spans="1:6" ht="15.6" x14ac:dyDescent="0.3">
      <c r="A30" s="82">
        <f>(A29-'Optimisation retraite'!$D$82)*(1+'Optimisation retraite'!$B$81)</f>
        <v>128930.83504865722</v>
      </c>
      <c r="B30" s="38">
        <f>'Optimisation retraite'!A108</f>
        <v>86</v>
      </c>
      <c r="C30" s="82">
        <f>'Optimisation retraite'!C108</f>
        <v>70719.536608081762</v>
      </c>
      <c r="D30" s="82">
        <f>'Optimisation retraite'!E108</f>
        <v>101228.5882089707</v>
      </c>
      <c r="F30" s="294">
        <f t="shared" si="0"/>
        <v>128930.83504865722</v>
      </c>
    </row>
    <row r="31" spans="1:6" ht="15.6" x14ac:dyDescent="0.3">
      <c r="A31" s="82">
        <f>(A30-'Optimisation retraite'!$D$82)*(1+'Optimisation retraite'!$B$81)</f>
        <v>112449.77886002736</v>
      </c>
      <c r="B31" s="38">
        <f>'Optimisation retraite'!A109</f>
        <v>87</v>
      </c>
      <c r="C31" s="82">
        <f>'Optimisation retraite'!C109</f>
        <v>61679.552836691444</v>
      </c>
      <c r="D31" s="82">
        <f>'Optimisation retraite'!E109</f>
        <v>84343.30950410795</v>
      </c>
      <c r="F31" s="294">
        <f t="shared" si="0"/>
        <v>112449.77886002736</v>
      </c>
    </row>
    <row r="32" spans="1:6" ht="15.6" x14ac:dyDescent="0.3">
      <c r="A32" s="82">
        <f>(A31-'Optimisation retraite'!$D$82)*(1+'Optimisation retraite'!$B$81)</f>
        <v>95728.236257378579</v>
      </c>
      <c r="B32" s="38">
        <f>'Optimisation retraite'!A110</f>
        <v>88</v>
      </c>
      <c r="C32" s="82">
        <f>'Optimisation retraite'!C110</f>
        <v>52507.660451248164</v>
      </c>
      <c r="D32" s="82">
        <f>'Optimisation retraite'!E110</f>
        <v>67211.646096774246</v>
      </c>
      <c r="F32" s="294">
        <f t="shared" si="0"/>
        <v>95728.236257378579</v>
      </c>
    </row>
    <row r="33" spans="1:6" ht="15.6" x14ac:dyDescent="0.3">
      <c r="A33" s="82">
        <f>(A32-'Optimisation retraite'!$D$82)*(1+'Optimisation retraite'!$B$81)</f>
        <v>78762.698138219741</v>
      </c>
      <c r="B33" s="38">
        <f>'Optimisation retraite'!A111</f>
        <v>89</v>
      </c>
      <c r="C33" s="82">
        <f>'Optimisation retraite'!C111</f>
        <v>43201.934682537583</v>
      </c>
      <c r="D33" s="82">
        <f>'Optimisation retraite'!E111</f>
        <v>49830.002818499299</v>
      </c>
      <c r="F33" s="294">
        <f t="shared" si="0"/>
        <v>78762.698138219741</v>
      </c>
    </row>
    <row r="34" spans="1:6" ht="15.6" x14ac:dyDescent="0.3">
      <c r="A34" s="82">
        <f>(A33-'Optimisation retraite'!$D$82)*(1+'Optimisation retraite'!$B$81)</f>
        <v>61549.604196334396</v>
      </c>
      <c r="B34" s="38">
        <f>'Optimisation retraite'!A112</f>
        <v>90</v>
      </c>
      <c r="C34" s="82">
        <f>'Optimisation retraite'!C112</f>
        <v>33760.422675715359</v>
      </c>
      <c r="D34" s="82">
        <f>'Optimisation retraite'!E112</f>
        <v>32194.732041239648</v>
      </c>
      <c r="F34" s="294">
        <f t="shared" si="0"/>
        <v>61549.604196334396</v>
      </c>
    </row>
    <row r="35" spans="1:6" ht="15.6" x14ac:dyDescent="0.3">
      <c r="A35" s="82">
        <f>(A34-'Optimisation retraite'!$D$82)*(1+'Optimisation retraite'!$B$81)</f>
        <v>44085.342174632009</v>
      </c>
      <c r="B35" s="38">
        <f>'Optimisation retraite'!A113</f>
        <v>91</v>
      </c>
      <c r="C35" s="82">
        <f>'Optimisation retraite'!C113</f>
        <v>24181.143080490408</v>
      </c>
      <c r="D35" s="82">
        <f>'Optimisation retraite'!E113</f>
        <v>14302.132911904971</v>
      </c>
      <c r="F35" s="294">
        <f t="shared" si="0"/>
        <v>44085.342174632009</v>
      </c>
    </row>
    <row r="36" spans="1:6" ht="15.6" x14ac:dyDescent="0.3">
      <c r="A36" s="82">
        <f>(A35-'Optimisation retraite'!$D$82)*(1+'Optimisation retraite'!$B$81)</f>
        <v>26366.247107097053</v>
      </c>
      <c r="B36" s="38">
        <f>'Optimisation retraite'!A114</f>
        <v>92</v>
      </c>
      <c r="C36" s="82">
        <f>'Optimisation retraite'!C114</f>
        <v>14462.085635328287</v>
      </c>
      <c r="D36" s="82">
        <f>'Optimisation retraite'!E114</f>
        <v>-3851.54942428513</v>
      </c>
      <c r="F36" s="294">
        <f t="shared" si="0"/>
        <v>26366.247107097053</v>
      </c>
    </row>
    <row r="37" spans="1:6" ht="15.6" x14ac:dyDescent="0.3">
      <c r="A37" s="82">
        <f>(A36-'Optimisation retraite'!$D$82)*(1+'Optimisation retraite'!$B$81)</f>
        <v>8388.6005496768939</v>
      </c>
      <c r="B37" s="38">
        <f>'Optimisation retraite'!A115</f>
        <v>93</v>
      </c>
      <c r="C37" s="82">
        <f>'Optimisation retraite'!C115</f>
        <v>4601.2107455873702</v>
      </c>
      <c r="D37" s="82">
        <f>'Optimisation retraite'!E115</f>
        <v>-22270.124611776901</v>
      </c>
      <c r="F37" s="294">
        <f t="shared" si="0"/>
        <v>8388.6005496768939</v>
      </c>
    </row>
    <row r="38" spans="1:6" ht="15.6" x14ac:dyDescent="0.3">
      <c r="A38" s="82">
        <f>(A37-'Optimisation retraite'!$D$82)*(1+'Optimisation retraite'!$B$81)</f>
        <v>-9851.3702000530047</v>
      </c>
      <c r="B38" s="38">
        <f>'Optimisation retraite'!A116</f>
        <v>94</v>
      </c>
      <c r="C38" s="82">
        <f>'Optimisation retraite'!C116</f>
        <v>-5403.550944500671</v>
      </c>
      <c r="D38" s="82">
        <f>'Optimisation retraite'!E116</f>
        <v>-40957.45788415608</v>
      </c>
      <c r="F38" s="294">
        <f t="shared" si="0"/>
        <v>-9851.3702000530047</v>
      </c>
    </row>
  </sheetData>
  <sheetProtection algorithmName="SHA-512" hashValue="w4lHIaU+iQmMBj7JUB/w/05Nekuqdu765V3kArC4lB2i4Qz7LbKH/GUBI1p92DAq5UYnO8xS3weNnxbef1+hcA==" saltValue="DJQOwBS6ezJhQiDr6PW5bA==" spinCount="100000" sheet="1" objects="1" scenarios="1"/>
  <mergeCells count="1">
    <mergeCell ref="B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33C5-F6AE-40D5-B2CD-92982B1414C2}">
  <dimension ref="A1:AA61"/>
  <sheetViews>
    <sheetView zoomScaleNormal="100" workbookViewId="0">
      <selection activeCell="C6" sqref="C6"/>
    </sheetView>
  </sheetViews>
  <sheetFormatPr baseColWidth="10" defaultRowHeight="14.4" x14ac:dyDescent="0.3"/>
  <cols>
    <col min="1" max="1" width="35.109375" customWidth="1"/>
    <col min="2" max="7" width="15.44140625" customWidth="1"/>
    <col min="8" max="8" width="15.6640625" customWidth="1"/>
    <col min="9" max="9" width="18.33203125" customWidth="1"/>
    <col min="10" max="10" width="17.21875" customWidth="1"/>
    <col min="11" max="11" width="13.109375" customWidth="1"/>
    <col min="18" max="27" width="11.5546875" hidden="1" customWidth="1"/>
    <col min="28" max="30" width="11.5546875" customWidth="1"/>
  </cols>
  <sheetData>
    <row r="1" spans="1:26" ht="21" x14ac:dyDescent="0.4">
      <c r="A1" s="275" t="s">
        <v>339</v>
      </c>
      <c r="Y1">
        <v>10000</v>
      </c>
    </row>
    <row r="2" spans="1:26" hidden="1" x14ac:dyDescent="0.3">
      <c r="Y2">
        <f>Y1*1.38</f>
        <v>13799.999999999998</v>
      </c>
    </row>
    <row r="3" spans="1:26" x14ac:dyDescent="0.3">
      <c r="Y3">
        <f>Y2*Z6</f>
        <v>6230.5957932931733</v>
      </c>
      <c r="Z3" t="s">
        <v>225</v>
      </c>
    </row>
    <row r="4" spans="1:26" ht="15.6" x14ac:dyDescent="0.3">
      <c r="A4" s="1" t="s">
        <v>195</v>
      </c>
      <c r="E4" s="314">
        <f>IF('Optimisation retraite'!B6-'Optimisation retraite'!B5=0,1,'Optimisation retraite'!B6-'Optimisation retraite'!B5)</f>
        <v>15</v>
      </c>
      <c r="Y4">
        <f>Y2*(15.0198%*83.5%+11.9%)</f>
        <v>3372.9315539999993</v>
      </c>
      <c r="Z4" t="s">
        <v>227</v>
      </c>
    </row>
    <row r="5" spans="1:26" ht="10.199999999999999" customHeight="1" x14ac:dyDescent="0.3">
      <c r="X5" t="s">
        <v>224</v>
      </c>
      <c r="Y5">
        <f>Y1-Y3+Y4</f>
        <v>7142.3357607068265</v>
      </c>
      <c r="Z5" t="s">
        <v>226</v>
      </c>
    </row>
    <row r="6" spans="1:26" ht="15.6" x14ac:dyDescent="0.3">
      <c r="A6" s="277" t="s">
        <v>270</v>
      </c>
      <c r="C6" s="10">
        <v>4</v>
      </c>
      <c r="D6" s="1"/>
      <c r="E6" s="589" t="s">
        <v>212</v>
      </c>
      <c r="F6" s="589"/>
      <c r="G6" s="309" t="s">
        <v>275</v>
      </c>
      <c r="S6" s="7">
        <v>7.0000000000000007E-2</v>
      </c>
      <c r="T6" s="7">
        <v>3.5000000000000003E-2</v>
      </c>
      <c r="U6" s="7">
        <v>2.1999999999999999E-2</v>
      </c>
      <c r="V6" t="s">
        <v>219</v>
      </c>
      <c r="X6" s="3">
        <f>Z6/2</f>
        <v>0.22574622439468023</v>
      </c>
      <c r="Y6" s="3">
        <f>1-(Y5/Y1)</f>
        <v>0.28576642392931739</v>
      </c>
      <c r="Z6" s="3">
        <f>'Optimisation retraite'!J11</f>
        <v>0.45149244878936046</v>
      </c>
    </row>
    <row r="7" spans="1:26" ht="15.6" x14ac:dyDescent="0.3">
      <c r="D7" s="283" t="s">
        <v>209</v>
      </c>
      <c r="E7" s="283" t="s">
        <v>210</v>
      </c>
      <c r="F7" s="1" t="s">
        <v>211</v>
      </c>
      <c r="G7" s="284">
        <v>2.2499999999999999E-2</v>
      </c>
      <c r="S7" t="s">
        <v>218</v>
      </c>
      <c r="T7" t="s">
        <v>220</v>
      </c>
      <c r="U7" t="s">
        <v>221</v>
      </c>
      <c r="V7" t="s">
        <v>228</v>
      </c>
      <c r="W7" t="s">
        <v>229</v>
      </c>
      <c r="X7" t="s">
        <v>222</v>
      </c>
      <c r="Y7" t="s">
        <v>223</v>
      </c>
      <c r="Z7" t="s">
        <v>221</v>
      </c>
    </row>
    <row r="8" spans="1:26" ht="13.95" customHeight="1" x14ac:dyDescent="0.3">
      <c r="A8" s="274">
        <v>1</v>
      </c>
      <c r="B8" s="1" t="s">
        <v>196</v>
      </c>
      <c r="D8" s="276">
        <v>0</v>
      </c>
      <c r="E8" s="96">
        <v>0.01</v>
      </c>
      <c r="F8" s="96">
        <f>((1+E8)/(1+$G$7))-1</f>
        <v>-1.2224938875305624E-2</v>
      </c>
      <c r="S8">
        <v>0</v>
      </c>
      <c r="T8">
        <v>0</v>
      </c>
      <c r="U8" s="272">
        <v>1</v>
      </c>
      <c r="V8" s="7">
        <f>E8</f>
        <v>0.01</v>
      </c>
      <c r="W8" s="7">
        <f>V8*(1-Z6)</f>
        <v>5.4850755121063953E-3</v>
      </c>
    </row>
    <row r="9" spans="1:26" ht="13.95" customHeight="1" x14ac:dyDescent="0.3">
      <c r="A9" s="274">
        <v>2</v>
      </c>
      <c r="B9" s="1" t="s">
        <v>197</v>
      </c>
      <c r="D9" s="276">
        <v>0.2</v>
      </c>
      <c r="E9" s="96">
        <v>2.5000000000000001E-2</v>
      </c>
      <c r="F9" s="96">
        <f t="shared" ref="F9:F13" si="0">((1+E9)/(1+$G$7))-1</f>
        <v>2.4449877750609694E-3</v>
      </c>
      <c r="S9" s="272">
        <v>0</v>
      </c>
      <c r="T9" s="272">
        <f t="shared" ref="T9:T12" si="1">100%-S9-U9</f>
        <v>0.25</v>
      </c>
      <c r="U9" s="272">
        <v>0.75</v>
      </c>
      <c r="V9" s="7">
        <f>S9*$S$6+T9*$T$6+U9*$U$6</f>
        <v>2.5250000000000002E-2</v>
      </c>
      <c r="W9" s="7">
        <f>X9*(1-$X$6)+Y9*(1-$Y$6)+Z9*(1-$Z$6)</f>
        <v>1.5299918385594026E-2</v>
      </c>
      <c r="X9" s="7">
        <f>S9*$S$6</f>
        <v>0</v>
      </c>
      <c r="Y9" s="7">
        <f>T9*$T$6</f>
        <v>8.7500000000000008E-3</v>
      </c>
      <c r="Z9" s="7">
        <f>U9*$U$6</f>
        <v>1.6500000000000001E-2</v>
      </c>
    </row>
    <row r="10" spans="1:26" ht="13.95" customHeight="1" x14ac:dyDescent="0.3">
      <c r="A10" s="274">
        <v>3</v>
      </c>
      <c r="B10" s="1" t="s">
        <v>198</v>
      </c>
      <c r="D10" s="276">
        <v>0.35</v>
      </c>
      <c r="E10" s="96">
        <v>3.7420000000000002E-2</v>
      </c>
      <c r="F10" s="96">
        <f t="shared" si="0"/>
        <v>1.4591687041564771E-2</v>
      </c>
      <c r="S10" s="272">
        <v>0.25</v>
      </c>
      <c r="T10" s="272">
        <f t="shared" si="1"/>
        <v>0.25</v>
      </c>
      <c r="U10" s="272">
        <v>0.5</v>
      </c>
      <c r="V10" s="7">
        <f t="shared" ref="V10:V13" si="2">S10*$S$6+T10*$T$6+U10*$U$6</f>
        <v>3.7250000000000005E-2</v>
      </c>
      <c r="W10" s="7">
        <f t="shared" ref="W10:W13" si="3">X10*(1-$X$6)+Y10*(1-$Y$6)+Z10*(1-$Z$6)</f>
        <v>2.5832567927028607E-2</v>
      </c>
      <c r="X10" s="7">
        <f t="shared" ref="X10:X13" si="4">S10*$S$6</f>
        <v>1.7500000000000002E-2</v>
      </c>
      <c r="Y10" s="7">
        <f t="shared" ref="Y10:Y13" si="5">T10*$T$6</f>
        <v>8.7500000000000008E-3</v>
      </c>
      <c r="Z10" s="7">
        <f t="shared" ref="Z10:Z13" si="6">U10*$U$6</f>
        <v>1.0999999999999999E-2</v>
      </c>
    </row>
    <row r="11" spans="1:26" ht="13.95" customHeight="1" x14ac:dyDescent="0.3">
      <c r="A11" s="274">
        <v>4</v>
      </c>
      <c r="B11" s="1" t="s">
        <v>199</v>
      </c>
      <c r="D11" s="276">
        <v>0.5</v>
      </c>
      <c r="E11" s="96">
        <v>5.0999999999999997E-2</v>
      </c>
      <c r="F11" s="96">
        <f t="shared" si="0"/>
        <v>2.7872860635696828E-2</v>
      </c>
      <c r="S11" s="272">
        <v>0.6</v>
      </c>
      <c r="T11" s="272">
        <f t="shared" si="1"/>
        <v>0</v>
      </c>
      <c r="U11" s="272">
        <v>0.4</v>
      </c>
      <c r="V11" s="7">
        <f t="shared" si="2"/>
        <v>5.0800000000000005E-2</v>
      </c>
      <c r="W11" s="7">
        <f t="shared" si="3"/>
        <v>3.7345525026077062E-2</v>
      </c>
      <c r="X11" s="7">
        <f t="shared" si="4"/>
        <v>4.2000000000000003E-2</v>
      </c>
      <c r="Y11" s="7">
        <f t="shared" si="5"/>
        <v>0</v>
      </c>
      <c r="Z11" s="7">
        <f t="shared" si="6"/>
        <v>8.8000000000000005E-3</v>
      </c>
    </row>
    <row r="12" spans="1:26" ht="13.95" customHeight="1" x14ac:dyDescent="0.3">
      <c r="A12" s="274">
        <v>5</v>
      </c>
      <c r="B12" s="1" t="s">
        <v>200</v>
      </c>
      <c r="D12" s="276">
        <v>0.65</v>
      </c>
      <c r="E12" s="96">
        <v>5.6000000000000001E-2</v>
      </c>
      <c r="F12" s="96">
        <f t="shared" si="0"/>
        <v>3.2762836185819211E-2</v>
      </c>
      <c r="S12" s="272">
        <v>0.7</v>
      </c>
      <c r="T12" s="272">
        <f t="shared" si="1"/>
        <v>0</v>
      </c>
      <c r="U12" s="272">
        <v>0.3</v>
      </c>
      <c r="V12" s="7">
        <f t="shared" si="2"/>
        <v>5.5600000000000004E-2</v>
      </c>
      <c r="W12" s="7">
        <f t="shared" si="3"/>
        <v>4.1558584842650896E-2</v>
      </c>
      <c r="X12" s="7">
        <f t="shared" si="4"/>
        <v>4.9000000000000002E-2</v>
      </c>
      <c r="Y12" s="7">
        <f t="shared" si="5"/>
        <v>0</v>
      </c>
      <c r="Z12" s="7">
        <f t="shared" si="6"/>
        <v>6.5999999999999991E-3</v>
      </c>
    </row>
    <row r="13" spans="1:26" ht="13.95" customHeight="1" x14ac:dyDescent="0.3">
      <c r="A13" s="274">
        <v>6</v>
      </c>
      <c r="B13" s="1" t="s">
        <v>201</v>
      </c>
      <c r="D13" s="276">
        <v>0.8</v>
      </c>
      <c r="E13" s="96">
        <v>6.2E-2</v>
      </c>
      <c r="F13" s="96">
        <f t="shared" si="0"/>
        <v>3.8630806845965759E-2</v>
      </c>
      <c r="S13" s="272">
        <v>0.8</v>
      </c>
      <c r="T13" s="272">
        <f>100%-S13-U13</f>
        <v>9.999999999999995E-2</v>
      </c>
      <c r="U13" s="272">
        <v>0.1</v>
      </c>
      <c r="V13" s="7">
        <f t="shared" si="2"/>
        <v>6.1700000000000005E-2</v>
      </c>
      <c r="W13" s="7">
        <f t="shared" si="3"/>
        <v>4.7064745562808714E-2</v>
      </c>
      <c r="X13" s="7">
        <f t="shared" si="4"/>
        <v>5.6000000000000008E-2</v>
      </c>
      <c r="Y13" s="7">
        <f t="shared" si="5"/>
        <v>3.4999999999999988E-3</v>
      </c>
      <c r="Z13" s="7">
        <f t="shared" si="6"/>
        <v>2.2000000000000001E-3</v>
      </c>
    </row>
    <row r="14" spans="1:26" ht="10.8" customHeight="1" x14ac:dyDescent="0.3"/>
    <row r="15" spans="1:26" ht="15.6" x14ac:dyDescent="0.3">
      <c r="A15" s="277" t="s">
        <v>271</v>
      </c>
    </row>
    <row r="16" spans="1:26" ht="16.2" thickBot="1" x14ac:dyDescent="0.35">
      <c r="B16" s="602" t="s">
        <v>204</v>
      </c>
      <c r="C16" s="602"/>
      <c r="D16" s="277" t="s">
        <v>206</v>
      </c>
      <c r="E16" s="603" t="s">
        <v>205</v>
      </c>
      <c r="F16" s="603"/>
      <c r="G16" s="277" t="s">
        <v>207</v>
      </c>
      <c r="H16" s="604" t="s">
        <v>232</v>
      </c>
      <c r="I16" s="605"/>
      <c r="J16" s="1" t="s">
        <v>208</v>
      </c>
      <c r="K16" s="1" t="s">
        <v>233</v>
      </c>
      <c r="S16" t="s">
        <v>57</v>
      </c>
      <c r="T16" t="s">
        <v>235</v>
      </c>
    </row>
    <row r="17" spans="1:25" ht="16.2" thickBot="1" x14ac:dyDescent="0.35">
      <c r="B17" s="354" t="s">
        <v>67</v>
      </c>
      <c r="C17" s="355" t="s">
        <v>103</v>
      </c>
      <c r="D17" s="1"/>
      <c r="E17" s="354" t="s">
        <v>67</v>
      </c>
      <c r="F17" s="355" t="s">
        <v>103</v>
      </c>
      <c r="G17" s="1"/>
      <c r="H17" s="354" t="s">
        <v>67</v>
      </c>
      <c r="I17" s="355" t="s">
        <v>103</v>
      </c>
      <c r="J17" s="1"/>
      <c r="K17" s="1"/>
      <c r="S17">
        <f>6000*'Optimisation retraite'!$B$4</f>
        <v>6000</v>
      </c>
      <c r="T17">
        <v>0</v>
      </c>
      <c r="U17">
        <f>S17+T17</f>
        <v>6000</v>
      </c>
      <c r="V17" s="3">
        <f>S17/U17*$G$23+T17/U17*$J$23</f>
        <v>5.0999999999999997E-2</v>
      </c>
    </row>
    <row r="18" spans="1:25" ht="15.6" x14ac:dyDescent="0.3">
      <c r="A18" s="315" t="s">
        <v>268</v>
      </c>
      <c r="B18" s="316"/>
      <c r="C18" s="316"/>
      <c r="D18" s="317">
        <f>B18+C18</f>
        <v>0</v>
      </c>
      <c r="E18" s="318"/>
      <c r="F18" s="318"/>
      <c r="G18" s="317">
        <f>E18+F18</f>
        <v>0</v>
      </c>
      <c r="H18" s="319"/>
      <c r="I18" s="320"/>
      <c r="J18" s="279">
        <f>H18+I18</f>
        <v>0</v>
      </c>
      <c r="K18" s="1"/>
      <c r="S18">
        <f>6000*'Optimisation retraite'!$B$4</f>
        <v>6000</v>
      </c>
      <c r="T18">
        <v>6000</v>
      </c>
      <c r="U18">
        <f t="shared" ref="U18:U20" si="7">S18+T18</f>
        <v>12000</v>
      </c>
      <c r="V18" s="3">
        <f t="shared" ref="V18:V20" si="8">S18/U18*$G$23+T18/U18*$J$23</f>
        <v>4.4172762513038533E-2</v>
      </c>
    </row>
    <row r="19" spans="1:25" ht="15.6" x14ac:dyDescent="0.3">
      <c r="A19" s="321" t="s">
        <v>202</v>
      </c>
      <c r="B19" s="322"/>
      <c r="C19" s="322"/>
      <c r="D19" s="323">
        <f t="shared" ref="D19:D21" si="9">B19+C19</f>
        <v>0</v>
      </c>
      <c r="E19" s="322"/>
      <c r="F19" s="322"/>
      <c r="G19" s="323">
        <f t="shared" ref="G19:G21" si="10">E19+F19</f>
        <v>0</v>
      </c>
      <c r="H19" s="322"/>
      <c r="I19" s="324"/>
      <c r="J19" s="279">
        <f t="shared" ref="J19:J21" si="11">H19+I19</f>
        <v>0</v>
      </c>
      <c r="K19" s="1"/>
      <c r="S19">
        <f>6000*'Optimisation retraite'!$B$4</f>
        <v>6000</v>
      </c>
      <c r="T19">
        <v>12000</v>
      </c>
      <c r="U19">
        <f t="shared" si="7"/>
        <v>18000</v>
      </c>
      <c r="V19" s="3">
        <f t="shared" si="8"/>
        <v>4.1897016684051366E-2</v>
      </c>
    </row>
    <row r="20" spans="1:25" ht="15.6" x14ac:dyDescent="0.3">
      <c r="A20" s="321" t="s">
        <v>203</v>
      </c>
      <c r="B20" s="322"/>
      <c r="C20" s="322"/>
      <c r="D20" s="323">
        <f t="shared" si="9"/>
        <v>0</v>
      </c>
      <c r="E20" s="322"/>
      <c r="F20" s="322"/>
      <c r="G20" s="323">
        <f t="shared" si="10"/>
        <v>0</v>
      </c>
      <c r="H20" s="322"/>
      <c r="I20" s="324"/>
      <c r="J20" s="279">
        <f t="shared" si="11"/>
        <v>0</v>
      </c>
      <c r="K20" s="1"/>
      <c r="S20">
        <f>6000*'Optimisation retraite'!$B$4</f>
        <v>6000</v>
      </c>
      <c r="T20">
        <v>18000</v>
      </c>
      <c r="U20">
        <f t="shared" si="7"/>
        <v>24000</v>
      </c>
      <c r="V20" s="3">
        <f t="shared" si="8"/>
        <v>4.0759143769557797E-2</v>
      </c>
    </row>
    <row r="21" spans="1:25" ht="15.6" x14ac:dyDescent="0.3">
      <c r="A21" s="321" t="s">
        <v>269</v>
      </c>
      <c r="B21" s="322"/>
      <c r="C21" s="322"/>
      <c r="D21" s="323">
        <f t="shared" si="9"/>
        <v>0</v>
      </c>
      <c r="E21" s="322"/>
      <c r="F21" s="322"/>
      <c r="G21" s="323">
        <f t="shared" si="10"/>
        <v>0</v>
      </c>
      <c r="H21" s="322"/>
      <c r="I21" s="324"/>
      <c r="J21" s="279">
        <f t="shared" si="11"/>
        <v>0</v>
      </c>
      <c r="K21" s="1"/>
      <c r="S21">
        <f>6000*'Optimisation retraite'!$B$4</f>
        <v>6000</v>
      </c>
      <c r="T21">
        <f>T20+6000</f>
        <v>24000</v>
      </c>
      <c r="U21">
        <f t="shared" ref="U21" si="12">S21+T21</f>
        <v>30000</v>
      </c>
      <c r="V21" s="3">
        <f t="shared" ref="V21" si="13">S21/U21*$G$23+T21/U21*$J$23</f>
        <v>4.0076420020861647E-2</v>
      </c>
    </row>
    <row r="22" spans="1:25" ht="16.2" thickBot="1" x14ac:dyDescent="0.35">
      <c r="A22" s="325" t="s">
        <v>69</v>
      </c>
      <c r="B22" s="326">
        <f>SUM(B18:B21)</f>
        <v>0</v>
      </c>
      <c r="C22" s="326">
        <f t="shared" ref="C22:F22" si="14">SUM(C18:C21)</f>
        <v>0</v>
      </c>
      <c r="D22" s="326">
        <f>SUM(D18:D21)</f>
        <v>0</v>
      </c>
      <c r="E22" s="326">
        <f t="shared" si="14"/>
        <v>0</v>
      </c>
      <c r="F22" s="326">
        <f t="shared" si="14"/>
        <v>0</v>
      </c>
      <c r="G22" s="326">
        <f>SUM(G18:G21)</f>
        <v>0</v>
      </c>
      <c r="H22" s="326">
        <f t="shared" ref="H22" si="15">SUM(H18:H21)</f>
        <v>0</v>
      </c>
      <c r="I22" s="327">
        <f t="shared" ref="I22" si="16">SUM(I18:I21)</f>
        <v>0</v>
      </c>
      <c r="J22" s="279">
        <f>SUM(J18:J21)</f>
        <v>0</v>
      </c>
      <c r="K22" s="279">
        <f>D22+G22+J22</f>
        <v>0</v>
      </c>
      <c r="S22">
        <f>6000*'Optimisation retraite'!$B$4</f>
        <v>6000</v>
      </c>
      <c r="T22">
        <f>T21+6000</f>
        <v>30000</v>
      </c>
      <c r="U22">
        <f t="shared" ref="U22" si="17">S22+T22</f>
        <v>36000</v>
      </c>
      <c r="V22" s="3">
        <f t="shared" ref="V22" si="18">S22/U22*$G$23+T22/U22*$J$23</f>
        <v>3.9621270855064221E-2</v>
      </c>
    </row>
    <row r="23" spans="1:25" ht="15.6" hidden="1" x14ac:dyDescent="0.3">
      <c r="A23" s="1" t="s">
        <v>230</v>
      </c>
      <c r="B23" s="280"/>
      <c r="C23" s="280"/>
      <c r="D23" s="281">
        <f>B43</f>
        <v>5.0999999999999997E-2</v>
      </c>
      <c r="E23" s="280"/>
      <c r="F23" s="280"/>
      <c r="G23" s="281">
        <f>E43</f>
        <v>5.0999999999999997E-2</v>
      </c>
      <c r="H23" s="280"/>
      <c r="I23" s="280"/>
      <c r="J23" s="281">
        <f>IF(C6=1,W8,IF(C6=2,W9,IF(C6=3,W10,IF(C6=4,W11,IF(C6=5,W12,W13)))))</f>
        <v>3.7345525026077062E-2</v>
      </c>
      <c r="K23" s="1"/>
      <c r="S23">
        <f>6000*'Optimisation retraite'!$B$4</f>
        <v>6000</v>
      </c>
      <c r="T23">
        <f>T22+6000</f>
        <v>36000</v>
      </c>
      <c r="U23">
        <f t="shared" ref="U23" si="19">S23+T23</f>
        <v>42000</v>
      </c>
      <c r="V23" s="3">
        <f t="shared" ref="V23" si="20">S23/U23*$G$23+T23/U23*$J$23</f>
        <v>3.9296164308066046E-2</v>
      </c>
    </row>
    <row r="24" spans="1:25" ht="15.6" hidden="1" x14ac:dyDescent="0.3">
      <c r="A24" s="1" t="s">
        <v>216</v>
      </c>
      <c r="B24" s="280"/>
      <c r="C24" s="280"/>
      <c r="D24" s="279">
        <f>D22*$B$45</f>
        <v>0</v>
      </c>
      <c r="E24" s="280"/>
      <c r="F24" s="280"/>
      <c r="G24" s="279">
        <f>G22*$B$45</f>
        <v>0</v>
      </c>
      <c r="H24" s="280"/>
      <c r="I24" s="280"/>
      <c r="J24" s="279" t="s">
        <v>357</v>
      </c>
    </row>
    <row r="25" spans="1:25" ht="15.6" hidden="1" x14ac:dyDescent="0.3">
      <c r="A25" s="1" t="s">
        <v>217</v>
      </c>
      <c r="B25" s="1"/>
      <c r="C25" s="1"/>
      <c r="D25" s="279">
        <f>D24*(1-'Optimisation retraite'!J11)</f>
        <v>0</v>
      </c>
      <c r="E25" s="1"/>
      <c r="F25" s="1"/>
      <c r="G25" s="279">
        <f>G24</f>
        <v>0</v>
      </c>
      <c r="H25" s="1"/>
      <c r="I25" s="1"/>
      <c r="J25" s="282">
        <f>FV(J23,E4,-F53,-J22)</f>
        <v>0</v>
      </c>
      <c r="K25" s="279">
        <f>D25+G25+J25</f>
        <v>0</v>
      </c>
    </row>
    <row r="26" spans="1:25" ht="15.6" hidden="1" x14ac:dyDescent="0.3">
      <c r="A26" s="1"/>
      <c r="J26" s="1" t="s">
        <v>231</v>
      </c>
      <c r="K26" s="279">
        <f>G25+J25</f>
        <v>0</v>
      </c>
    </row>
    <row r="27" spans="1:25" ht="7.2" customHeight="1" x14ac:dyDescent="0.3">
      <c r="J27" s="273"/>
    </row>
    <row r="28" spans="1:25" ht="11.4" customHeight="1" x14ac:dyDescent="0.3">
      <c r="J28" s="273"/>
    </row>
    <row r="29" spans="1:25" ht="13.95" customHeight="1" thickBot="1" x14ac:dyDescent="0.35">
      <c r="A29" s="277" t="s">
        <v>272</v>
      </c>
      <c r="B29" s="602" t="s">
        <v>466</v>
      </c>
      <c r="C29" s="608"/>
      <c r="D29" s="609"/>
      <c r="E29" s="606" t="s">
        <v>258</v>
      </c>
      <c r="F29" s="607"/>
      <c r="G29" s="1"/>
      <c r="J29" s="273"/>
    </row>
    <row r="30" spans="1:25" ht="15.6" customHeight="1" thickBot="1" x14ac:dyDescent="0.35">
      <c r="A30" s="277" t="s">
        <v>274</v>
      </c>
      <c r="B30" s="354" t="str">
        <f>B17</f>
        <v>Conjoint #1</v>
      </c>
      <c r="C30" s="355" t="str">
        <f>C17</f>
        <v>Conjoint #2</v>
      </c>
      <c r="D30" s="491" t="s">
        <v>349</v>
      </c>
      <c r="E30" s="315" t="s">
        <v>261</v>
      </c>
      <c r="F30" s="340"/>
      <c r="G30" s="356"/>
      <c r="H30" s="313"/>
      <c r="J30" s="273"/>
      <c r="S30" t="s">
        <v>424</v>
      </c>
    </row>
    <row r="31" spans="1:25" ht="15.6" customHeight="1" x14ac:dyDescent="0.3">
      <c r="A31" s="315" t="s">
        <v>345</v>
      </c>
      <c r="B31" s="328"/>
      <c r="C31" s="329"/>
      <c r="D31" s="1"/>
      <c r="E31" s="321" t="s">
        <v>262</v>
      </c>
      <c r="F31" s="334"/>
      <c r="G31" s="331">
        <v>12</v>
      </c>
      <c r="J31" s="273"/>
      <c r="S31" t="s">
        <v>425</v>
      </c>
      <c r="T31" t="s">
        <v>426</v>
      </c>
      <c r="U31" t="s">
        <v>427</v>
      </c>
      <c r="V31" t="s">
        <v>463</v>
      </c>
    </row>
    <row r="32" spans="1:25" ht="15.6" customHeight="1" thickBot="1" x14ac:dyDescent="0.35">
      <c r="A32" s="321" t="s">
        <v>346</v>
      </c>
      <c r="B32" s="330"/>
      <c r="C32" s="331"/>
      <c r="D32" s="1"/>
      <c r="E32" s="325" t="s">
        <v>260</v>
      </c>
      <c r="F32" s="341"/>
      <c r="G32" s="342">
        <v>10</v>
      </c>
      <c r="J32" s="273"/>
      <c r="S32" s="3">
        <f>Seuils!H299</f>
        <v>1.4591687041564771E-2</v>
      </c>
      <c r="T32">
        <f>0.53*S32+1/G32</f>
        <v>0.10773359413202933</v>
      </c>
      <c r="U32">
        <f>1/T32</f>
        <v>9.2821557477650209</v>
      </c>
      <c r="V32">
        <f>'Optimisation retraite'!B57-'Optimal #1'!B57</f>
        <v>-2555.4541946999962</v>
      </c>
      <c r="W32">
        <f>V32*U32</f>
        <v>-23720.123841484801</v>
      </c>
      <c r="X32" s="292">
        <f>IF(W32-E46&lt;0,0,W32-E46)</f>
        <v>0</v>
      </c>
      <c r="Y32" s="263">
        <f>IF(G30&gt;0,PMT(B43,B44,-X32),0)</f>
        <v>0</v>
      </c>
    </row>
    <row r="33" spans="1:23" ht="13.95" hidden="1" customHeight="1" x14ac:dyDescent="0.3">
      <c r="A33" s="321" t="s">
        <v>257</v>
      </c>
      <c r="B33" s="332">
        <f>B31*B32</f>
        <v>0</v>
      </c>
      <c r="C33" s="333">
        <f>C31*C32</f>
        <v>0</v>
      </c>
      <c r="D33" s="524">
        <f>B33+C33+D37</f>
        <v>0</v>
      </c>
      <c r="E33" s="1"/>
      <c r="F33" s="574" t="s">
        <v>464</v>
      </c>
      <c r="G33" s="311">
        <f>IF(G32&lt;=E4,H33,PV(G7,G32-E4,,-H33))</f>
        <v>0</v>
      </c>
      <c r="H33" s="312">
        <f>PV(G7,95-('Optimisation retraite'!B5+' Épargne nécessaire'!G32),-G35)</f>
        <v>0</v>
      </c>
      <c r="J33" s="273"/>
    </row>
    <row r="34" spans="1:23" ht="13.95" hidden="1" customHeight="1" thickBot="1" x14ac:dyDescent="0.35">
      <c r="A34" s="321" t="s">
        <v>259</v>
      </c>
      <c r="B34" s="334"/>
      <c r="C34" s="335"/>
      <c r="D34" s="525">
        <f>D33*(1-'Optimisation retraite'!J11)</f>
        <v>0</v>
      </c>
      <c r="F34" t="s">
        <v>465</v>
      </c>
      <c r="G34" s="263">
        <f>G33*'Optimal #1'!D20/'Optimal #1'!D19</f>
        <v>0</v>
      </c>
      <c r="J34" s="273"/>
    </row>
    <row r="35" spans="1:23" ht="15.6" customHeight="1" thickBot="1" x14ac:dyDescent="0.35">
      <c r="A35" s="321" t="s">
        <v>474</v>
      </c>
      <c r="B35" s="336"/>
      <c r="C35" s="337"/>
      <c r="E35" s="581" t="s">
        <v>477</v>
      </c>
      <c r="F35" s="582"/>
      <c r="G35" s="583">
        <f>G30*G31</f>
        <v>0</v>
      </c>
      <c r="J35" s="273"/>
    </row>
    <row r="36" spans="1:23" ht="15.6" customHeight="1" thickBot="1" x14ac:dyDescent="0.35">
      <c r="A36" s="325" t="s">
        <v>475</v>
      </c>
      <c r="B36" s="338"/>
      <c r="C36" s="339"/>
      <c r="J36" s="273"/>
    </row>
    <row r="37" spans="1:23" ht="13.95" hidden="1" customHeight="1" x14ac:dyDescent="0.3">
      <c r="A37" s="1"/>
      <c r="B37" s="312"/>
      <c r="C37" s="312"/>
      <c r="D37" s="294">
        <f>B37+C37</f>
        <v>0</v>
      </c>
      <c r="F37" s="292"/>
      <c r="J37" s="273"/>
    </row>
    <row r="38" spans="1:23" ht="11.4" customHeight="1" x14ac:dyDescent="0.3">
      <c r="J38" s="273"/>
    </row>
    <row r="39" spans="1:23" ht="15.6" x14ac:dyDescent="0.3">
      <c r="A39" s="277" t="s">
        <v>273</v>
      </c>
      <c r="B39" s="278"/>
      <c r="C39" s="278"/>
      <c r="D39" s="278"/>
      <c r="E39" s="278"/>
      <c r="F39" s="278"/>
      <c r="G39" s="278"/>
    </row>
    <row r="40" spans="1:23" ht="16.2" thickBot="1" x14ac:dyDescent="0.35">
      <c r="A40" s="1"/>
      <c r="B40" s="602" t="s">
        <v>204</v>
      </c>
      <c r="C40" s="602"/>
      <c r="D40" s="592"/>
      <c r="E40" s="603" t="s">
        <v>252</v>
      </c>
      <c r="F40" s="603"/>
      <c r="G40" s="592"/>
    </row>
    <row r="41" spans="1:23" ht="15.6" x14ac:dyDescent="0.3">
      <c r="A41" s="343"/>
      <c r="B41" s="344" t="s">
        <v>254</v>
      </c>
      <c r="C41" s="317" t="s">
        <v>251</v>
      </c>
      <c r="D41" s="345" t="s">
        <v>206</v>
      </c>
      <c r="E41" s="344" t="s">
        <v>254</v>
      </c>
      <c r="F41" s="344" t="s">
        <v>251</v>
      </c>
      <c r="G41" s="346" t="s">
        <v>253</v>
      </c>
    </row>
    <row r="42" spans="1:23" ht="15.6" hidden="1" customHeight="1" x14ac:dyDescent="0.3">
      <c r="A42" s="321" t="s">
        <v>213</v>
      </c>
      <c r="B42" s="323">
        <f>D22</f>
        <v>0</v>
      </c>
      <c r="C42" s="323">
        <f>B42</f>
        <v>0</v>
      </c>
      <c r="D42" s="332"/>
      <c r="E42" s="323">
        <f>G22+J22</f>
        <v>0</v>
      </c>
      <c r="F42" s="323">
        <f>E42</f>
        <v>0</v>
      </c>
      <c r="G42" s="335"/>
    </row>
    <row r="43" spans="1:23" ht="15.6" hidden="1" x14ac:dyDescent="0.3">
      <c r="A43" s="321"/>
      <c r="B43" s="347">
        <f>IF(C6=1,E8,IF(C6=2,E9,IF(C6=3,E10,IF(C6=4,E11,IF(C6=5,E12,E13)))))</f>
        <v>5.0999999999999997E-2</v>
      </c>
      <c r="C43" s="347">
        <f>B43</f>
        <v>5.0999999999999997E-2</v>
      </c>
      <c r="D43" s="332"/>
      <c r="E43" s="347">
        <f>IF(C6=1,E8,IF(C6=2,E9,IF(C6=3,E10,IF(C6=4,E11,IF(C6=5,E12,E13)))))</f>
        <v>5.0999999999999997E-2</v>
      </c>
      <c r="F43" s="347">
        <f>E43</f>
        <v>5.0999999999999997E-2</v>
      </c>
      <c r="G43" s="335"/>
    </row>
    <row r="44" spans="1:23" ht="15.6" hidden="1" x14ac:dyDescent="0.3">
      <c r="A44" s="321" t="s">
        <v>214</v>
      </c>
      <c r="B44" s="348">
        <f>E4</f>
        <v>15</v>
      </c>
      <c r="C44" s="348">
        <f>B44</f>
        <v>15</v>
      </c>
      <c r="D44" s="332"/>
      <c r="E44" s="348">
        <f>E4</f>
        <v>15</v>
      </c>
      <c r="F44" s="348">
        <f>E44</f>
        <v>15</v>
      </c>
      <c r="G44" s="335"/>
    </row>
    <row r="45" spans="1:23" ht="15.6" hidden="1" x14ac:dyDescent="0.3">
      <c r="A45" s="321" t="s">
        <v>215</v>
      </c>
      <c r="B45" s="349">
        <f>(B43+1)^(B44)</f>
        <v>2.1088259660170428</v>
      </c>
      <c r="C45" s="349">
        <f>(C43+1)^(C44)</f>
        <v>2.1088259660170428</v>
      </c>
      <c r="D45" s="332"/>
      <c r="E45" s="349"/>
      <c r="F45" s="349"/>
      <c r="G45" s="335"/>
    </row>
    <row r="46" spans="1:23" ht="15.6" customHeight="1" x14ac:dyDescent="0.3">
      <c r="A46" s="321" t="s">
        <v>472</v>
      </c>
      <c r="B46" s="323">
        <f>B42*B45+D33</f>
        <v>0</v>
      </c>
      <c r="C46" s="323">
        <f>C42*C45+D33</f>
        <v>0</v>
      </c>
      <c r="D46" s="332"/>
      <c r="E46" s="323">
        <f>K26</f>
        <v>0</v>
      </c>
      <c r="F46" s="323">
        <f>E46</f>
        <v>0</v>
      </c>
      <c r="G46" s="335"/>
      <c r="I46" s="292"/>
    </row>
    <row r="47" spans="1:23" ht="15.6" customHeight="1" x14ac:dyDescent="0.3">
      <c r="A47" s="321" t="s">
        <v>473</v>
      </c>
      <c r="B47" s="323">
        <f>IF(G30&gt;0,'Optimisation retraite'!E20,'Optimisation retraite'!B20)</f>
        <v>437171.80392194708</v>
      </c>
      <c r="C47" s="323">
        <f>IF(G30&gt;0,'Optimisation retraite'!E20,'Optimisation retraite'!D20)</f>
        <v>437171.80392194708</v>
      </c>
      <c r="D47" s="332"/>
      <c r="E47" s="323">
        <f>'Optimisation retraite'!B19-G33</f>
        <v>239792.03562756503</v>
      </c>
      <c r="F47" s="323">
        <f>'Optimisation retraite'!D19-G33</f>
        <v>239792.03562756503</v>
      </c>
      <c r="G47" s="335"/>
      <c r="I47" s="292"/>
      <c r="W47">
        <f>W48*(1-'Optimal #1'!J11)</f>
        <v>301520.10607714363</v>
      </c>
    </row>
    <row r="48" spans="1:23" ht="15.6" customHeight="1" thickBot="1" x14ac:dyDescent="0.35">
      <c r="A48" s="350" t="s">
        <v>263</v>
      </c>
      <c r="B48" s="351">
        <f>IF(E4&lt;1,B47-B46,IF(B46&lt;B47,PMT(B43,B44,,-(B47-B46)),0))</f>
        <v>20107.53958090175</v>
      </c>
      <c r="C48" s="351">
        <f>IF(E4&lt;1,C47-C46,IF(C46&lt;C47,PMT(C43,C44,,-(C47-C46)),0))</f>
        <v>20107.53958090175</v>
      </c>
      <c r="D48" s="352"/>
      <c r="E48" s="351">
        <f>IF(K25&gt;E47,0,IF(AND('Optimal &lt; 65'!J14&gt;'Optimal &lt; 65'!J15,' Épargne nécessaire'!B46&gt;' Épargne nécessaire'!B47),0,IF(AND(E46&lt;E47,PMT(E43,E4,,-(E47-E46-D25-D34))&lt;0),0,IF(AND(E46&lt;E47,PMT(G23,E4,,-(E47-E46-D25-D34))&gt;U23),PMT(J23,E4,,-(E47-E46-D25-D34)),IF(AND(E46&lt;E47,PMT(G23,E4,,-(E47-E46-D25-D34))&gt;U22),PMT(V23,E4,,-(E47-E46-D25-D34)),IF(AND(E46&lt;E47,PMT(G23,E4,,-(E47-E46-D25-D34))&gt;U21),PMT(V22,E4,,-(E47-E46-D25-D34)),IF(AND(E46&lt;E47,PMT(G23,E4,,-(E47-E46-D25-D34))&gt;U20),PMT(V21,E4,,-(E47-E46-D25-D34)),IF(AND(E46&lt;E47,PMT(G23,E4,,-(E47-E46-D25-D34))&gt;U19),PMT(V20,E4,,-(E47-E46-D25-D34)),IF(AND(E46&lt;E47,PMT(G23,E4,,-(E47-E46-D25-D34))&gt;U18),PMT(V19,E4,,-(E47-E46-D25-D34)),IF(AND(E46&lt;E47,PMT(G23,E4,,-(E47-E46-D25-D34))&gt;U17),PMT(V18,E4,,-(E47-E46-D25-D34)),IF(E46&lt;E47,PMT(E43,E4,,-(E47-E46-D25-D34)),"NIL")))))))))))</f>
        <v>11608.87293076692</v>
      </c>
      <c r="F48" s="351">
        <f>IF(AND('Optimal &lt; 65'!J14&gt;'Optimal &lt; 65'!J15,' Épargne nécessaire'!C46&gt;' Épargne nécessaire'!C47),0,IF(AND(F46&lt;F47,PMT(F43,E4,,-(F47-F46-D25-D34))&lt;0),0,IF(AND(F46&lt;F47,PMT(G23,E4,,-(F47-F46-D25-D34))&gt;U23),PMT(J23,E4,,-(F47-F46-D25-D34)),IF(AND(F46&lt;F47,PMT(G23,E4,,-(F47-F46-D25-D34))&gt;U22),PMT(V23,E4,,-(F47-F46-D25-D34)),IF(AND(F46&lt;F47,PMT(G23,E4,,-(F47-F46-D25-D34))&gt;U21),PMT(V22,E4,,-(F47-F46-D25-D34)),IF(AND(F46&lt;F47,PMT(G23,E4,,-(F47-F46-D25-D34))&gt;U20),PMT(V21,E4,,-(F47-F46-D25-D34)),IF(AND(F46&lt;F47,PMT(G23,E4,,-(F47-F46-D25-D34))&gt;U19),PMT(V20,E4,,-(F47-F46-D25-D34)),IF(AND(F46&lt;F47,PMT(G23,E4,,-(F47-F46-D25-D34))&gt;U18),PMT(V19,E4,,-(F47-F46-D25-D34)),IF(AND(F46&lt;F47,PMT(G23,E4,,-(F47-F46-D25-D34))&gt;U17),PMT(V18,E4,,-(F47-F46-D25-D34)),IF(F46&lt;F47,PMT(E43,E4,,-(F47-F46-D25-D34)),0))))))))))</f>
        <v>11608.87293076692</v>
      </c>
      <c r="G48" s="353"/>
      <c r="I48" s="263"/>
      <c r="S48" s="292">
        <f>C48-B48</f>
        <v>0</v>
      </c>
      <c r="T48" s="292">
        <f>F48-E48</f>
        <v>0</v>
      </c>
      <c r="W48">
        <f>'Optimal #1'!B20</f>
        <v>549973.75243900937</v>
      </c>
    </row>
    <row r="49" spans="1:27" ht="25.8" customHeight="1" thickTop="1" thickBot="1" x14ac:dyDescent="0.35">
      <c r="A49" s="526" t="s">
        <v>264</v>
      </c>
      <c r="B49" s="527">
        <f>IF(AND('Optimisation retraite'!J11&lt;'Optimisation retraite'!J10,' Épargne nécessaire'!E46&gt;' Épargne nécessaire'!E47,'Optimal #1'!J11&gt;'Optimal #1'!J10),0,IF(AND('Optimal #1'!D13&gt;0,'Optimal #1'!J11&lt;'Optimal #1'!J10,'Optimisation retraite'!E12&gt;'Optimisation retraite'!F12),PMT(B43,B44,,-('Optimal #1'!B20-B46)),IF(AND('Optimisation retraite'!J11&lt;'Optimisation retraite'!J10,' Épargne nécessaire'!E46&lt;' Épargne nécessaire'!E47),PMT(B43,B44,,-(B47-B46-Z53)),IF('Optimisation retraite'!J10&gt;'Optimisation retraite'!J11,' Épargne nécessaire'!B48,0))))</f>
        <v>0</v>
      </c>
      <c r="C49" s="528">
        <f>IF(AND('Optimal &lt; 65'!J15&lt;'Optimal &lt; 65'!J14,' Épargne nécessaire'!F46&gt;' Épargne nécessaire'!F47),0,IF(AND('Optimal &lt; 65'!J15&lt;'Optimal &lt; 65'!J14,'Optimal &lt; 65'!B19&gt;' Épargne nécessaire'!D24+D33,'Optimisation retraite'!J11&gt;'Optimisation retraite'!J10,PMT(C43,C44,,-('Optimal &lt; 65'!B19-' Épargne nécessaire'!D24-D33-AA53))&lt;0),0,IF(AND('Optimal &lt; 65'!J15&lt;'Optimal &lt; 65'!J14,'Optimisation retraite'!J11&gt;'Optimisation retraite'!J10,'Optimal &lt; 65'!B19&gt;' Épargne nécessaire'!D24+D33,'Optimisation retraite'!J11&gt;'Optimisation retraite'!J10),PMT(C43,C44,,-('Optimal &lt; 65'!B19-' Épargne nécessaire'!D24-D33-AA53)),IF(AND('Optimal &lt; 65'!J14&gt;'Optimal &lt; 65'!J15,'Optimal &lt; 65'!B19&gt;' Épargne nécessaire'!D24+D33),' Épargne nécessaire'!C48-' Épargne nécessaire'!B48,IF(AND('Optimal &lt; 65'!J15&lt;'Optimal &lt; 65'!J14,'Optimisation retraite'!J11&lt;'Optimisation retraite'!J10),PMT(D23,E4,-'Optimal &lt; 65'!B19),0)))))</f>
        <v>0</v>
      </c>
      <c r="D49" s="528">
        <f>B49+C49</f>
        <v>0</v>
      </c>
      <c r="E49" s="527">
        <f>IF(AND('Optimisation retraite'!J10&lt;'Optimisation retraite'!J11,'Optimal #1'!J11&gt;'Optimal #1'!J10),' Épargne nécessaire'!E48,IF(AND('Optimisation retraite'!E12&gt;'Optimisation retraite'!F12,PMT(B43,B44,,-(E47-E46-'Optimal #1'!B19))&lt;0),Y32,IF('Optimisation retraite'!E12&gt;'Optimisation retraite'!F12,PMT(B43,B44,,-(E47-E46-'Optimal #1'!B19)),IF(AND('Optimisation retraite'!J10&gt;'Optimisation retraite'!J11,'Optimisation retraite'!B4=2,' Épargne nécessaire'!B49&gt;0),0,0))))</f>
        <v>11608.87293076692</v>
      </c>
      <c r="F49" s="526">
        <f>IF(F48&lt;E48,0,IF(AND('Optimal &lt; 65'!J15&lt;'Optimal &lt; 65'!J14,'Optimal &lt; 65'!B19&gt;' Épargne nécessaire'!D24,'Optimisation retraite'!J11&gt;'Optimisation retraite'!J10),' Épargne nécessaire'!F48-' Épargne nécessaire'!E48-T50,IF(AND('Optimal &lt; 65'!J14&gt;'Optimal &lt; 65'!J15,'Optimisation retraite'!J11&gt;'Optimisation retraite'!J10,'Optimal &lt; 65'!B19&lt;' Épargne nécessaire'!D24+D33),' Épargne nécessaire'!F48-' Épargne nécessaire'!E48,IF('Optimal &lt; 65'!J14&lt;'Optimal &lt; 65'!J15,' Épargne nécessaire'!F48-' Épargne nécessaire'!E48,0))))</f>
        <v>0</v>
      </c>
      <c r="G49" s="528">
        <f>E49+F49</f>
        <v>11608.87293076692</v>
      </c>
      <c r="S49">
        <f>'Optimal &lt; 65'!B19</f>
        <v>0</v>
      </c>
      <c r="T49">
        <f>'Optimal &lt; 65'!B18</f>
        <v>0</v>
      </c>
      <c r="U49" t="b">
        <f>IF(E47&lt;E46,E46-E47)</f>
        <v>0</v>
      </c>
      <c r="V49" t="b">
        <f>IF(F47&lt;F46,F46-F47)</f>
        <v>0</v>
      </c>
    </row>
    <row r="50" spans="1:27" ht="19.8" hidden="1" customHeight="1" thickTop="1" x14ac:dyDescent="0.3">
      <c r="C50" s="263">
        <f>PMT(C43,C44,,-('Optimal &lt; 65'!B19-' Épargne nécessaire'!D24-D33-AA53))</f>
        <v>0</v>
      </c>
      <c r="S50">
        <f>IF(AND('Optimal &lt; 65'!J15&lt;'Optimal &lt; 65'!J14,'Optimal &lt; 65'!B19&gt;' Épargne nécessaire'!D24),PMT(C43,C44,,-('Optimal &lt; 65'!B19-' Épargne nécessaire'!D24)),0)</f>
        <v>0</v>
      </c>
      <c r="T50">
        <f>IF(S50*('Optimisation retraite'!B19/'Optimisation retraite'!B20)&gt;F48,F48,0)</f>
        <v>0</v>
      </c>
    </row>
    <row r="51" spans="1:27" hidden="1" x14ac:dyDescent="0.3">
      <c r="C51" s="263">
        <f>-PMT(D23,E4,,-('Optimal &lt; 65'!B19-' Épargne nécessaire'!C46-' Épargne nécessaire'!AA53))</f>
        <v>0</v>
      </c>
      <c r="S51" s="292">
        <f>S48-S50</f>
        <v>0</v>
      </c>
      <c r="T51" s="292">
        <f>S51*('Optimisation retraite'!B19/'Optimisation retraite'!B20)</f>
        <v>0</v>
      </c>
      <c r="U51">
        <f>U49/('Optimisation retraite'!B19/'Optimisation retraite'!B20)</f>
        <v>0</v>
      </c>
      <c r="W51">
        <f>IF(B46&lt;B47,PMT(B43,B44,,-(E46-E47)),0)</f>
        <v>-11029.137296391425</v>
      </c>
      <c r="X51" s="264">
        <f>E19</f>
        <v>0</v>
      </c>
      <c r="Y51" s="292">
        <f>E48</f>
        <v>11608.87293076692</v>
      </c>
      <c r="Z51" s="292">
        <f>G25+J25</f>
        <v>0</v>
      </c>
      <c r="AA51" s="292">
        <f>IF(F46&gt;F47,0,IF(AND(E46&gt;E47,C47&gt;C46),E46-E47,0))</f>
        <v>0</v>
      </c>
    </row>
    <row r="52" spans="1:27" hidden="1" x14ac:dyDescent="0.3">
      <c r="C52" s="263">
        <f>PMT(C43,C44,,-('Optimal &lt; 65'!B19-' Épargne nécessaire'!D24-D37-AA53))</f>
        <v>0</v>
      </c>
      <c r="W52">
        <f>'Optimisation retraite'!B19/'Optimisation retraite'!B20</f>
        <v>0.54850755121063943</v>
      </c>
      <c r="X52">
        <f>W52</f>
        <v>0.54850755121063943</v>
      </c>
      <c r="Y52">
        <f>X52</f>
        <v>0.54850755121063943</v>
      </c>
      <c r="Z52">
        <f>Y52</f>
        <v>0.54850755121063943</v>
      </c>
      <c r="AA52">
        <f>IF('Optimisation retraite'!B6&lt;'Optimisation retraite'!B6,'Optimal &lt; 65'!B19/'Optimal &lt; 65'!B18,0)</f>
        <v>0</v>
      </c>
    </row>
    <row r="53" spans="1:27" hidden="1" x14ac:dyDescent="0.3">
      <c r="B53" s="292"/>
      <c r="C53" s="263">
        <f>PMT(D23,E4,-'Optimal &lt; 65'!B19)</f>
        <v>0</v>
      </c>
      <c r="W53">
        <f>W51/W52</f>
        <v>-20107.53958090175</v>
      </c>
      <c r="X53">
        <f>X51/X52</f>
        <v>0</v>
      </c>
      <c r="Y53">
        <f>Y51/Y52</f>
        <v>21164.472403605701</v>
      </c>
      <c r="Z53">
        <f>IF(Z51/Z52&lt;B47-B46,Z51/Z52,B47-B46)</f>
        <v>0</v>
      </c>
      <c r="AA53" s="292">
        <f>AA51*AA52</f>
        <v>0</v>
      </c>
    </row>
    <row r="54" spans="1:27" ht="15" thickTop="1" x14ac:dyDescent="0.3"/>
    <row r="60" spans="1:27" hidden="1" x14ac:dyDescent="0.3">
      <c r="A60" t="s">
        <v>429</v>
      </c>
      <c r="B60" s="263">
        <f>FV(B43,B44,-B49,-B42)*(1-'Optimal #1'!C57)</f>
        <v>0</v>
      </c>
      <c r="E60" s="263">
        <f>FV(E43,E44,-E49,-E42)</f>
        <v>252396.4655260143</v>
      </c>
      <c r="G60" s="263">
        <f>B60+E60</f>
        <v>252396.4655260143</v>
      </c>
      <c r="H60">
        <f>'Optimisation retraite'!D19</f>
        <v>239792.03562756503</v>
      </c>
    </row>
    <row r="61" spans="1:27" hidden="1" x14ac:dyDescent="0.3">
      <c r="B61" t="s">
        <v>468</v>
      </c>
      <c r="E61" t="s">
        <v>469</v>
      </c>
      <c r="G61" t="s">
        <v>470</v>
      </c>
      <c r="H61" t="s">
        <v>471</v>
      </c>
    </row>
  </sheetData>
  <sheetProtection algorithmName="SHA-512" hashValue="1/H49I2LrUBvn1PCycV7pAlcFzvELnDzM0JrlhRT6FTgnFLBQNsTUghRe27wl5s0t17rqTYE+r9bNgN6MAY+5A==" saltValue="gmeDQK2LsroL8j+VQFdtjQ==" spinCount="100000" sheet="1" formatColumns="0"/>
  <mergeCells count="8">
    <mergeCell ref="B16:C16"/>
    <mergeCell ref="E16:F16"/>
    <mergeCell ref="E6:F6"/>
    <mergeCell ref="H16:I16"/>
    <mergeCell ref="E40:G40"/>
    <mergeCell ref="B40:D40"/>
    <mergeCell ref="E29:F29"/>
    <mergeCell ref="B29:D29"/>
  </mergeCells>
  <pageMargins left="0.51181102362204722" right="0.31496062992125984" top="0.35433070866141736" bottom="0.35433070866141736" header="0.31496062992125984" footer="0.31496062992125984"/>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DA23F-DB82-4AD5-B629-17E54417D5BD}">
  <dimension ref="A1:Y75"/>
  <sheetViews>
    <sheetView workbookViewId="0">
      <selection activeCell="B8" sqref="B8"/>
    </sheetView>
  </sheetViews>
  <sheetFormatPr baseColWidth="10" defaultRowHeight="14.4" x14ac:dyDescent="0.3"/>
  <cols>
    <col min="1" max="1" width="17.21875" customWidth="1"/>
    <col min="2" max="2" width="12.88671875" customWidth="1"/>
    <col min="3" max="3" width="9.5546875" customWidth="1"/>
    <col min="4" max="4" width="7.6640625" customWidth="1"/>
    <col min="5" max="5" width="9.5546875" customWidth="1"/>
    <col min="6" max="6" width="3.21875" customWidth="1"/>
    <col min="8" max="8" width="10.6640625" customWidth="1"/>
    <col min="9" max="9" width="9.77734375" customWidth="1"/>
    <col min="10" max="10" width="8.77734375" customWidth="1"/>
    <col min="16" max="16" width="0" hidden="1" customWidth="1"/>
    <col min="17" max="21" width="11.5546875" hidden="1" customWidth="1"/>
    <col min="22" max="26" width="0" hidden="1" customWidth="1"/>
  </cols>
  <sheetData>
    <row r="1" spans="1:25" ht="21" x14ac:dyDescent="0.4">
      <c r="A1" s="6" t="s">
        <v>435</v>
      </c>
    </row>
    <row r="3" spans="1:25" x14ac:dyDescent="0.3">
      <c r="A3" s="551" t="s">
        <v>436</v>
      </c>
    </row>
    <row r="4" spans="1:25" ht="6" customHeight="1" x14ac:dyDescent="0.3">
      <c r="A4" s="551"/>
    </row>
    <row r="5" spans="1:25" ht="16.2" customHeight="1" x14ac:dyDescent="0.3">
      <c r="A5" s="575" t="s">
        <v>490</v>
      </c>
    </row>
    <row r="6" spans="1:25" x14ac:dyDescent="0.3">
      <c r="D6" t="s">
        <v>432</v>
      </c>
    </row>
    <row r="7" spans="1:25" x14ac:dyDescent="0.3">
      <c r="A7" t="s">
        <v>430</v>
      </c>
      <c r="B7" t="s">
        <v>478</v>
      </c>
      <c r="C7" t="s">
        <v>431</v>
      </c>
      <c r="D7" t="s">
        <v>433</v>
      </c>
      <c r="E7" t="s">
        <v>434</v>
      </c>
    </row>
    <row r="8" spans="1:25" x14ac:dyDescent="0.3">
      <c r="A8">
        <v>65</v>
      </c>
      <c r="B8" s="555">
        <v>753</v>
      </c>
      <c r="C8" s="305">
        <f t="shared" ref="C8:C12" si="0">B8*12</f>
        <v>9036</v>
      </c>
      <c r="Q8" t="s">
        <v>443</v>
      </c>
      <c r="R8" t="s">
        <v>442</v>
      </c>
      <c r="S8" t="s">
        <v>434</v>
      </c>
      <c r="V8" t="s">
        <v>457</v>
      </c>
    </row>
    <row r="9" spans="1:25" x14ac:dyDescent="0.3">
      <c r="A9">
        <f>A8+1</f>
        <v>66</v>
      </c>
      <c r="B9" s="555">
        <v>800</v>
      </c>
      <c r="C9" s="305">
        <f t="shared" si="0"/>
        <v>9600</v>
      </c>
      <c r="D9" s="3">
        <f>(C9/$C$8-1)/(A9-$A$8)</f>
        <v>6.2416998671978696E-2</v>
      </c>
      <c r="E9" s="305">
        <f>$C$8*(1+(A9-$A$8)*0.084)</f>
        <v>9795.0240000000013</v>
      </c>
      <c r="R9" s="3">
        <f>D9</f>
        <v>6.2416998671978696E-2</v>
      </c>
      <c r="S9" s="3">
        <v>8.4000000000000005E-2</v>
      </c>
      <c r="V9">
        <f>B9/B8</f>
        <v>1.0624169986719787</v>
      </c>
      <c r="W9">
        <f>V9-1</f>
        <v>6.2416998671978696E-2</v>
      </c>
      <c r="X9" s="3">
        <f>W9/(A9-$A$8)</f>
        <v>6.2416998671978696E-2</v>
      </c>
      <c r="Y9">
        <f>X9*(A9-$A$8)</f>
        <v>6.2416998671978696E-2</v>
      </c>
    </row>
    <row r="10" spans="1:25" x14ac:dyDescent="0.3">
      <c r="A10">
        <f t="shared" ref="A10:A13" si="1">A9+1</f>
        <v>67</v>
      </c>
      <c r="B10" s="555">
        <v>844</v>
      </c>
      <c r="C10" s="305">
        <f t="shared" si="0"/>
        <v>10128</v>
      </c>
      <c r="D10" s="3">
        <f t="shared" ref="D10:D13" si="2">(C10/$C$8-1)/(A10-$A$8)</f>
        <v>6.0424966799468738E-2</v>
      </c>
      <c r="E10" s="305">
        <f t="shared" ref="E10:E13" si="3">$C$8*(1+(A10-$A$8)*0.084)</f>
        <v>10554.047999999999</v>
      </c>
      <c r="R10" s="3">
        <f>R9+D10</f>
        <v>0.12284196547144743</v>
      </c>
      <c r="S10" s="3">
        <f>S9+8.4%</f>
        <v>0.16800000000000001</v>
      </c>
      <c r="V10">
        <f>B10/B8</f>
        <v>1.1208499335989375</v>
      </c>
      <c r="W10">
        <f t="shared" ref="W10:W13" si="4">V10-1</f>
        <v>0.12084993359893748</v>
      </c>
      <c r="X10" s="3">
        <f t="shared" ref="X10:X13" si="5">W10/(A10-$A$8)</f>
        <v>6.0424966799468738E-2</v>
      </c>
      <c r="Y10">
        <f t="shared" ref="Y10:Y13" si="6">X10*(A10-$A$8)</f>
        <v>0.12084993359893748</v>
      </c>
    </row>
    <row r="11" spans="1:25" x14ac:dyDescent="0.3">
      <c r="A11">
        <f t="shared" si="1"/>
        <v>68</v>
      </c>
      <c r="B11" s="555">
        <v>885</v>
      </c>
      <c r="C11" s="305">
        <f t="shared" si="0"/>
        <v>10620</v>
      </c>
      <c r="D11" s="3">
        <f t="shared" si="2"/>
        <v>5.8432934926958856E-2</v>
      </c>
      <c r="E11" s="305">
        <f t="shared" si="3"/>
        <v>11313.072</v>
      </c>
      <c r="R11" s="3">
        <f>R10+D11</f>
        <v>0.1812749003984063</v>
      </c>
      <c r="S11" s="3">
        <f t="shared" ref="S11:S13" si="7">S10+8.4%</f>
        <v>0.252</v>
      </c>
      <c r="V11">
        <f>B11/B8</f>
        <v>1.1752988047808766</v>
      </c>
      <c r="W11">
        <f t="shared" si="4"/>
        <v>0.17529880478087656</v>
      </c>
      <c r="X11" s="3">
        <f t="shared" si="5"/>
        <v>5.8432934926958856E-2</v>
      </c>
      <c r="Y11">
        <f t="shared" si="6"/>
        <v>0.17529880478087656</v>
      </c>
    </row>
    <row r="12" spans="1:25" x14ac:dyDescent="0.3">
      <c r="A12">
        <f t="shared" si="1"/>
        <v>69</v>
      </c>
      <c r="B12" s="555">
        <v>927</v>
      </c>
      <c r="C12" s="305">
        <f t="shared" si="0"/>
        <v>11124</v>
      </c>
      <c r="D12" s="3">
        <f t="shared" si="2"/>
        <v>5.7768924302788849E-2</v>
      </c>
      <c r="E12" s="305">
        <f t="shared" si="3"/>
        <v>12072.096000000001</v>
      </c>
      <c r="R12" s="3">
        <f t="shared" ref="R12:R13" si="8">R11+D12</f>
        <v>0.23904382470119515</v>
      </c>
      <c r="S12" s="3">
        <f t="shared" si="7"/>
        <v>0.33600000000000002</v>
      </c>
      <c r="V12">
        <f>B12/B8</f>
        <v>1.2310756972111554</v>
      </c>
      <c r="W12">
        <f t="shared" si="4"/>
        <v>0.2310756972111554</v>
      </c>
      <c r="X12" s="3">
        <f t="shared" si="5"/>
        <v>5.7768924302788849E-2</v>
      </c>
      <c r="Y12">
        <f t="shared" si="6"/>
        <v>0.2310756972111554</v>
      </c>
    </row>
    <row r="13" spans="1:25" x14ac:dyDescent="0.3">
      <c r="A13">
        <f t="shared" si="1"/>
        <v>70</v>
      </c>
      <c r="B13" s="555">
        <v>966</v>
      </c>
      <c r="C13" s="305">
        <f>B13*12</f>
        <v>11592</v>
      </c>
      <c r="D13" s="3">
        <f t="shared" si="2"/>
        <v>5.6573705179282861E-2</v>
      </c>
      <c r="E13" s="305">
        <f t="shared" si="3"/>
        <v>12831.119999999999</v>
      </c>
      <c r="Q13" s="3">
        <f>AVERAGE(D9:D13)</f>
        <v>5.91235059760956E-2</v>
      </c>
      <c r="R13" s="3">
        <f t="shared" si="8"/>
        <v>0.29561752988047801</v>
      </c>
      <c r="S13" s="3">
        <f t="shared" si="7"/>
        <v>0.42000000000000004</v>
      </c>
      <c r="V13">
        <f>B13/B8</f>
        <v>1.2828685258964143</v>
      </c>
      <c r="W13">
        <f t="shared" si="4"/>
        <v>0.28286852589641431</v>
      </c>
      <c r="X13" s="3">
        <f t="shared" si="5"/>
        <v>5.6573705179282861E-2</v>
      </c>
      <c r="Y13">
        <f t="shared" si="6"/>
        <v>0.28286852589641431</v>
      </c>
    </row>
    <row r="14" spans="1:25" ht="6" customHeight="1" x14ac:dyDescent="0.3"/>
    <row r="15" spans="1:25" x14ac:dyDescent="0.3">
      <c r="A15" s="274" t="s">
        <v>451</v>
      </c>
      <c r="Q15">
        <f>Q13*5</f>
        <v>0.29561752988047801</v>
      </c>
      <c r="R15" s="3">
        <f>IF(C21=70,Y13,IF(C21=69,Y12,IF(C21=68,Y11,IF(C21=67,Y10,Y9))))</f>
        <v>0.17529880478087656</v>
      </c>
      <c r="T15">
        <f>-R15</f>
        <v>-0.17529880478087656</v>
      </c>
      <c r="U15">
        <f>T15/T16</f>
        <v>1.7634521654606827</v>
      </c>
    </row>
    <row r="16" spans="1:25" x14ac:dyDescent="0.3">
      <c r="A16" t="s">
        <v>450</v>
      </c>
      <c r="R16">
        <f>POWER((1+' Épargne nécessaire'!G7),65-RRQ!C21)</f>
        <v>0.93542732052003519</v>
      </c>
      <c r="S16">
        <f>R16*(1+R15)</f>
        <v>1.0994066117665753</v>
      </c>
      <c r="T16">
        <f>1-S16</f>
        <v>-9.9406611766575281E-2</v>
      </c>
    </row>
    <row r="17" spans="1:10" x14ac:dyDescent="0.3">
      <c r="A17" t="s">
        <v>452</v>
      </c>
    </row>
    <row r="18" spans="1:10" ht="6.6" customHeight="1" x14ac:dyDescent="0.3"/>
    <row r="19" spans="1:10" x14ac:dyDescent="0.3">
      <c r="A19" s="274" t="s">
        <v>456</v>
      </c>
    </row>
    <row r="20" spans="1:10" x14ac:dyDescent="0.3">
      <c r="B20" t="s">
        <v>290</v>
      </c>
      <c r="C20" t="s">
        <v>291</v>
      </c>
      <c r="E20" t="s">
        <v>439</v>
      </c>
    </row>
    <row r="21" spans="1:10" ht="15" thickBot="1" x14ac:dyDescent="0.35">
      <c r="A21" t="s">
        <v>438</v>
      </c>
      <c r="B21">
        <v>65</v>
      </c>
      <c r="C21" s="556">
        <v>68</v>
      </c>
      <c r="E21" s="557">
        <v>2.4500000000000001E-2</v>
      </c>
    </row>
    <row r="22" spans="1:10" x14ac:dyDescent="0.3">
      <c r="A22" t="s">
        <v>437</v>
      </c>
      <c r="B22" s="305">
        <f>C8</f>
        <v>9036</v>
      </c>
      <c r="C22">
        <f>IF(C21=70,C13,IF(C21=A12,C12,IF(C21=A11,C11,IF(C21=A10,C10,C9))))</f>
        <v>10620</v>
      </c>
      <c r="D22" t="s">
        <v>441</v>
      </c>
      <c r="G22" s="559" t="s">
        <v>454</v>
      </c>
      <c r="H22" s="340"/>
      <c r="I22" s="340"/>
      <c r="J22" s="504"/>
    </row>
    <row r="23" spans="1:10" x14ac:dyDescent="0.3">
      <c r="A23" t="s">
        <v>453</v>
      </c>
      <c r="C23" s="558">
        <f>LN(U15)/LN(1+' Épargne nécessaire'!G7)+64</f>
        <v>89.494733524535491</v>
      </c>
      <c r="G23" s="505" t="s">
        <v>446</v>
      </c>
      <c r="H23" s="334" t="s">
        <v>449</v>
      </c>
      <c r="I23" s="334" t="s">
        <v>447</v>
      </c>
      <c r="J23" s="335" t="s">
        <v>448</v>
      </c>
    </row>
    <row r="24" spans="1:10" ht="15" thickBot="1" x14ac:dyDescent="0.35">
      <c r="C24" t="s">
        <v>185</v>
      </c>
      <c r="G24" s="505"/>
      <c r="H24" s="334"/>
      <c r="I24" s="560"/>
      <c r="J24" s="335"/>
    </row>
    <row r="25" spans="1:10" x14ac:dyDescent="0.3">
      <c r="A25" s="340">
        <v>65</v>
      </c>
      <c r="B25" s="566">
        <f>B22</f>
        <v>9036</v>
      </c>
      <c r="C25" s="567"/>
      <c r="E25" s="569">
        <f>E24*(1+$E$21)+B25*$E$21</f>
        <v>221.38200000000001</v>
      </c>
      <c r="G25" s="561">
        <f>B25</f>
        <v>9036</v>
      </c>
      <c r="H25" s="560"/>
      <c r="I25" s="560">
        <f>G25*($E$21)</f>
        <v>221.38200000000001</v>
      </c>
      <c r="J25" s="562">
        <f>G25*(1+$E$21)</f>
        <v>9257.3819999999996</v>
      </c>
    </row>
    <row r="26" spans="1:10" x14ac:dyDescent="0.3">
      <c r="A26" s="334">
        <v>66</v>
      </c>
      <c r="B26" s="560">
        <f>B25*(1+' Épargne nécessaire'!$G$7)</f>
        <v>9239.31</v>
      </c>
      <c r="C26" s="562">
        <f>IF(C21&gt;A26,0,IF($C$21=70,$C$22*POWER(1+' Épargne nécessaire'!$G$7,$A$30-$B$21),IF($C$21=69,$C$22*POWER(1+' Épargne nécessaire'!$G$7,$A$29-$B$21),IF($C$21=68,$C$22*POWER(1+' Épargne nécessaire'!$G$7,$A$28-$B$21),IF($C$21=67,$C$22*POWER(1+' Épargne nécessaire'!$G$7,$A$27-$B$21),IF($C$21&lt;$A$9,0,$C$22*POWER(1+' Épargne nécessaire'!$G$7,$A$26-$B$21)))))))</f>
        <v>0</v>
      </c>
      <c r="D26" s="305"/>
      <c r="E26" s="570">
        <f>IF(C21&gt;A26,E25*(1+$E$21)+B26*$E$21,E25*(1+$E$21))</f>
        <v>453.16895399999999</v>
      </c>
      <c r="G26" s="561">
        <f>J25</f>
        <v>9257.3819999999996</v>
      </c>
      <c r="H26" s="560">
        <f>IF(C26=0,B26,0)</f>
        <v>9239.31</v>
      </c>
      <c r="I26" s="560">
        <f>(G26+H26)*($E$21)</f>
        <v>453.16895399999999</v>
      </c>
      <c r="J26" s="562">
        <f>(G26+H26)*(1+$E$21)</f>
        <v>18949.860954</v>
      </c>
    </row>
    <row r="27" spans="1:10" x14ac:dyDescent="0.3">
      <c r="A27" s="334">
        <v>67</v>
      </c>
      <c r="B27" s="560">
        <f>B26*(1+' Épargne nécessaire'!$G$7)</f>
        <v>9447.1944749999984</v>
      </c>
      <c r="C27" s="562">
        <f>IF(C21&gt;A27,0,IF(C26&gt;0,C26*(1+' Épargne nécessaire'!G7),$C$22*POWER(1+' Épargne nécessaire'!$G$7,$A$27-$B$21)))</f>
        <v>0</v>
      </c>
      <c r="D27" s="305"/>
      <c r="E27" s="570">
        <f t="shared" ref="E27" si="9">IF(C22&gt;A27,E26*(1+$E$21)+B27*$E$21,E26*(1+$E$21))</f>
        <v>695.72785801049997</v>
      </c>
      <c r="G27" s="561">
        <f t="shared" ref="G27:G30" si="10">J26</f>
        <v>18949.860954</v>
      </c>
      <c r="H27" s="560">
        <f t="shared" ref="H27:H30" si="11">IF(C27=0,B27,0)</f>
        <v>9447.1944749999984</v>
      </c>
      <c r="I27" s="560">
        <f t="shared" ref="I27:I30" si="12">(G27+H27)*($E$21)</f>
        <v>695.72785801049997</v>
      </c>
      <c r="J27" s="562">
        <f t="shared" ref="J27:J30" si="13">(G27+H27)*(1+$E$21)</f>
        <v>29092.783287010498</v>
      </c>
    </row>
    <row r="28" spans="1:10" x14ac:dyDescent="0.3">
      <c r="A28" s="334">
        <v>68</v>
      </c>
      <c r="B28" s="560">
        <f>B27*(1+' Épargne nécessaire'!$G$7)</f>
        <v>9659.7563506874976</v>
      </c>
      <c r="C28" s="562">
        <f>IF(C21&gt;A28,0,IF(C27&gt;0,C27*(1+' Épargne nécessaire'!G7),IF($C$21=70,$C$22*POWER(1+' Épargne nécessaire'!$G$7,$A$30-$B$21),IF($C$21=69,$C$22*POWER(1+' Épargne nécessaire'!$G$7,$A$29-$B$21),IF($C$21=68,$C$22*POWER(1+' Épargne nécessaire'!$G$7,$A$28-$B$21),IF($C$21=67,$C$22*POWER(1+' Épargne nécessaire'!$G$7,$A$27-$B$21),IF($C$21&lt;$A$9," ",$C$22*POWER(1+' Épargne nécessaire'!$G$7,$A$26-$B$21))))))))</f>
        <v>11353.100093437497</v>
      </c>
      <c r="D28" s="305"/>
      <c r="E28" s="570">
        <f>I28</f>
        <v>712.77319053175722</v>
      </c>
      <c r="G28" s="561">
        <f t="shared" si="10"/>
        <v>29092.783287010498</v>
      </c>
      <c r="H28" s="560">
        <f t="shared" si="11"/>
        <v>0</v>
      </c>
      <c r="I28" s="560">
        <f t="shared" si="12"/>
        <v>712.77319053175722</v>
      </c>
      <c r="J28" s="562">
        <f t="shared" si="13"/>
        <v>29805.556477542254</v>
      </c>
    </row>
    <row r="29" spans="1:10" x14ac:dyDescent="0.3">
      <c r="A29" s="334">
        <v>69</v>
      </c>
      <c r="B29" s="560">
        <f>B28*(1+' Épargne nécessaire'!$G$7)</f>
        <v>9877.1008685779652</v>
      </c>
      <c r="C29" s="562">
        <f>IF(C21&gt;A29,0,IF(C28&gt;0,C28*(1+' Épargne nécessaire'!G7),IF($C$21=70,$C$22*POWER(1+' Épargne nécessaire'!$G$7,$A$30-$B$21),IF($C$21=69,$C$22*POWER(1+' Épargne nécessaire'!$G$7,$A$29-$B$21),IF($C$21=68,$C$22*POWER(1+' Épargne nécessaire'!$G$7,$A$28-$B$21),IF($C$21=67,$C$22*POWER(1+' Épargne nécessaire'!$G$7,$A$27-$B$21),IF($C$21&lt;$A$9," ",$C$22*POWER(1+' Épargne nécessaire'!$G$7,$A$26-$B$21))))))))</f>
        <v>11608.54484553984</v>
      </c>
      <c r="D29" s="305"/>
      <c r="E29" s="570">
        <f>I29</f>
        <v>730.23613369978523</v>
      </c>
      <c r="G29" s="561">
        <f t="shared" si="10"/>
        <v>29805.556477542254</v>
      </c>
      <c r="H29" s="560">
        <f t="shared" si="11"/>
        <v>0</v>
      </c>
      <c r="I29" s="560">
        <f t="shared" si="12"/>
        <v>730.23613369978523</v>
      </c>
      <c r="J29" s="562">
        <f t="shared" si="13"/>
        <v>30535.792611242039</v>
      </c>
    </row>
    <row r="30" spans="1:10" x14ac:dyDescent="0.3">
      <c r="A30" s="334">
        <v>70</v>
      </c>
      <c r="B30" s="560">
        <f>B29*(1+' Épargne nécessaire'!$G$7)</f>
        <v>10099.335638120969</v>
      </c>
      <c r="C30" s="562">
        <f>IF(C29&gt;0,C29*(1+' Épargne nécessaire'!G7),IF($C$21=70,$C$22*POWER(1+' Épargne nécessaire'!$G$7,$A$30-$B$21),IF($C$21=69,$C$22*POWER(1+' Épargne nécessaire'!$G$7,$A$29-$B$21),IF($C$21=68,$C$22*POWER(1+' Épargne nécessaire'!$G$7,$A$28-$B$21),IF($C$21=67,$C$22*POWER(1+' Épargne nécessaire'!$G$7,$A$27-$B$21),IF($C$21&lt;$A$9," ",$C$22*POWER(1+' Épargne nécessaire'!$G$7,$A$26-$B$21)))))))</f>
        <v>11869.737104564487</v>
      </c>
      <c r="D30" s="305"/>
      <c r="E30" s="570">
        <f>I30</f>
        <v>748.12691897543004</v>
      </c>
      <c r="G30" s="561">
        <f t="shared" si="10"/>
        <v>30535.792611242039</v>
      </c>
      <c r="H30" s="560">
        <f t="shared" si="11"/>
        <v>0</v>
      </c>
      <c r="I30" s="560">
        <f t="shared" si="12"/>
        <v>748.12691897543004</v>
      </c>
      <c r="J30" s="562">
        <f t="shared" si="13"/>
        <v>31283.919530217467</v>
      </c>
    </row>
    <row r="31" spans="1:10" ht="15" thickBot="1" x14ac:dyDescent="0.35">
      <c r="A31" s="341"/>
      <c r="B31" s="564">
        <f>B25+B26+B27+B28+B29+B30</f>
        <v>57358.697332386429</v>
      </c>
      <c r="C31" s="565">
        <f>C25+C26+C27+C28+C29+C30</f>
        <v>34831.382043541824</v>
      </c>
      <c r="E31" s="570">
        <f>E25+E26+E27+E28+E29+E30</f>
        <v>3561.4150552174724</v>
      </c>
      <c r="G31" s="561"/>
      <c r="H31" s="560"/>
      <c r="I31" s="560">
        <f>SUM(I25:I30)</f>
        <v>3561.4150552174724</v>
      </c>
      <c r="J31" s="562"/>
    </row>
    <row r="32" spans="1:10" ht="15" thickBot="1" x14ac:dyDescent="0.35">
      <c r="A32" t="s">
        <v>440</v>
      </c>
      <c r="E32" s="570"/>
      <c r="G32" s="561"/>
      <c r="H32" s="560"/>
      <c r="I32" s="560"/>
      <c r="J32" s="562"/>
    </row>
    <row r="33" spans="1:10" x14ac:dyDescent="0.3">
      <c r="A33" s="559">
        <v>71</v>
      </c>
      <c r="B33" s="566">
        <f>$B$22*POWER(1+' Épargne nécessaire'!$G$7,A33-$B$21)+SUM(B25:B30)</f>
        <v>67685.268022365126</v>
      </c>
      <c r="C33" s="567">
        <f>$C$22*POWER(1+' Épargne nécessaire'!$G$7,A33-$C$21)+SUM(C25:C30)</f>
        <v>46184.482136979321</v>
      </c>
      <c r="E33" s="570">
        <f>E31+I33</f>
        <v>4327.8710837078006</v>
      </c>
      <c r="G33" s="561">
        <f>J30</f>
        <v>31283.919530217467</v>
      </c>
      <c r="H33" s="560"/>
      <c r="I33" s="560">
        <f>G33*$E$21</f>
        <v>766.45602849032798</v>
      </c>
      <c r="J33" s="562">
        <f>G33*(1+$E$21)</f>
        <v>32050.375558707794</v>
      </c>
    </row>
    <row r="34" spans="1:10" x14ac:dyDescent="0.3">
      <c r="A34" s="505">
        <f t="shared" ref="A34:A57" si="14">A33+1</f>
        <v>72</v>
      </c>
      <c r="B34" s="560">
        <f>$B$22*POWER(1+' Épargne nécessaire'!$G$7,A34-$B$21)+B33</f>
        <v>78244.186552868341</v>
      </c>
      <c r="C34" s="562">
        <f>$C$22*POWER(1+' Épargne nécessaire'!$G$7,A34-$C$21)+C33</f>
        <v>57793.026982519164</v>
      </c>
      <c r="E34" s="570">
        <f>E33+I34</f>
        <v>5113.1052848961417</v>
      </c>
      <c r="G34" s="561">
        <f>J33</f>
        <v>32050.375558707794</v>
      </c>
      <c r="H34" s="560"/>
      <c r="I34" s="560">
        <f>G34*$E$21</f>
        <v>785.23420118834099</v>
      </c>
      <c r="J34" s="562">
        <f>G34*(1+$E$21)</f>
        <v>32835.609759896135</v>
      </c>
    </row>
    <row r="35" spans="1:10" x14ac:dyDescent="0.3">
      <c r="A35" s="505">
        <f t="shared" si="14"/>
        <v>73</v>
      </c>
      <c r="B35" s="560">
        <f>$B$22*POWER(1+' Épargne nécessaire'!$G$7,A35-$B$21)+B34</f>
        <v>89040.680750307874</v>
      </c>
      <c r="C35" s="562">
        <f>$C$22*POWER(1+' Épargne nécessaire'!$G$7,A35-$C$21)+C34</f>
        <v>69662.764087083648</v>
      </c>
      <c r="E35" s="570">
        <f t="shared" ref="E35:E57" si="15">E34+I35</f>
        <v>5917.5777240135967</v>
      </c>
      <c r="G35" s="561">
        <f t="shared" ref="G35:G57" si="16">J34</f>
        <v>32835.609759896135</v>
      </c>
      <c r="H35" s="560"/>
      <c r="I35" s="560">
        <f t="shared" ref="I35:I57" si="17">G35*$E$21</f>
        <v>804.47243911745534</v>
      </c>
      <c r="J35" s="562">
        <f t="shared" ref="J35:J57" si="18">G35*(1+$E$21)</f>
        <v>33640.082199013588</v>
      </c>
    </row>
    <row r="36" spans="1:10" x14ac:dyDescent="0.3">
      <c r="A36" s="505">
        <f t="shared" si="14"/>
        <v>74</v>
      </c>
      <c r="B36" s="560">
        <f>$B$22*POWER(1+' Épargne nécessaire'!$G$7,A36-$B$21)+B35</f>
        <v>100080.09606718979</v>
      </c>
      <c r="C36" s="562">
        <f>$C$22*POWER(1+' Épargne nécessaire'!$G$7,A36-$C$21)+C35</f>
        <v>81799.570276500832</v>
      </c>
      <c r="E36" s="570">
        <f t="shared" si="15"/>
        <v>6741.7597378894297</v>
      </c>
      <c r="G36" s="561">
        <f t="shared" si="16"/>
        <v>33640.082199013588</v>
      </c>
      <c r="H36" s="560"/>
      <c r="I36" s="560">
        <f t="shared" si="17"/>
        <v>824.18201387583292</v>
      </c>
      <c r="J36" s="562">
        <f t="shared" si="18"/>
        <v>34464.264212889422</v>
      </c>
    </row>
    <row r="37" spans="1:10" x14ac:dyDescent="0.3">
      <c r="A37" s="505">
        <f t="shared" si="14"/>
        <v>75</v>
      </c>
      <c r="B37" s="560">
        <f>$B$22*POWER(1+' Épargne nécessaire'!$G$7,A37-$B$21)+B36</f>
        <v>111367.89822870155</v>
      </c>
      <c r="C37" s="562">
        <f>$C$22*POWER(1+' Épargne nécessaire'!$G$7,A37-$C$21)+C36</f>
        <v>94209.454605179912</v>
      </c>
      <c r="E37" s="570">
        <f t="shared" si="15"/>
        <v>7586.1342111052209</v>
      </c>
      <c r="G37" s="561">
        <f t="shared" si="16"/>
        <v>34464.264212889422</v>
      </c>
      <c r="H37" s="560"/>
      <c r="I37" s="560">
        <f t="shared" si="17"/>
        <v>844.37447321579089</v>
      </c>
      <c r="J37" s="562">
        <f t="shared" si="18"/>
        <v>35308.638686105209</v>
      </c>
    </row>
    <row r="38" spans="1:10" x14ac:dyDescent="0.3">
      <c r="A38" s="505">
        <f t="shared" si="14"/>
        <v>76</v>
      </c>
      <c r="B38" s="560">
        <f>$B$22*POWER(1+' Épargne nécessaire'!$G$7,A38-$B$21)+B37</f>
        <v>122909.67593884733</v>
      </c>
      <c r="C38" s="562">
        <f>$C$22*POWER(1+' Épargne nécessaire'!$G$7,A38-$C$21)+C37</f>
        <v>106898.56133125426</v>
      </c>
      <c r="E38" s="570">
        <f t="shared" si="15"/>
        <v>8451.195858914798</v>
      </c>
      <c r="G38" s="561">
        <f t="shared" si="16"/>
        <v>35308.638686105209</v>
      </c>
      <c r="H38" s="560"/>
      <c r="I38" s="560">
        <f t="shared" si="17"/>
        <v>865.06164780957761</v>
      </c>
      <c r="J38" s="562">
        <f t="shared" si="18"/>
        <v>36173.700333914785</v>
      </c>
    </row>
    <row r="39" spans="1:10" x14ac:dyDescent="0.3">
      <c r="A39" s="505">
        <f t="shared" si="14"/>
        <v>77</v>
      </c>
      <c r="B39" s="560">
        <f>$B$22*POWER(1+' Épargne nécessaire'!$G$7,A39-$B$21)+B38</f>
        <v>134711.14364747138</v>
      </c>
      <c r="C39" s="562">
        <f>$C$22*POWER(1+' Épargne nécessaire'!$G$7,A39-$C$21)+C38</f>
        <v>119873.17295866528</v>
      </c>
      <c r="E39" s="570">
        <f t="shared" si="15"/>
        <v>9337.4515170957111</v>
      </c>
      <c r="G39" s="561">
        <f t="shared" si="16"/>
        <v>36173.700333914785</v>
      </c>
      <c r="H39" s="560"/>
      <c r="I39" s="560">
        <f t="shared" si="17"/>
        <v>886.25565818091229</v>
      </c>
      <c r="J39" s="562">
        <f t="shared" si="18"/>
        <v>37059.955992095696</v>
      </c>
    </row>
    <row r="40" spans="1:10" x14ac:dyDescent="0.3">
      <c r="A40" s="505">
        <f t="shared" si="14"/>
        <v>78</v>
      </c>
      <c r="B40" s="560">
        <f>$B$22*POWER(1+' Épargne nécessaire'!$G$7,A40-$B$21)+B39</f>
        <v>146778.14437953947</v>
      </c>
      <c r="C40" s="562">
        <f>$C$22*POWER(1+' Épargne nécessaire'!$G$7,A40-$C$21)+C39</f>
        <v>133139.71334769306</v>
      </c>
      <c r="E40" s="570">
        <f t="shared" si="15"/>
        <v>10245.420438902056</v>
      </c>
      <c r="G40" s="561">
        <f t="shared" si="16"/>
        <v>37059.955992095696</v>
      </c>
      <c r="H40" s="560"/>
      <c r="I40" s="560">
        <f t="shared" si="17"/>
        <v>907.96892180634461</v>
      </c>
      <c r="J40" s="562">
        <f t="shared" si="18"/>
        <v>37967.924913902039</v>
      </c>
    </row>
    <row r="41" spans="1:10" x14ac:dyDescent="0.3">
      <c r="A41" s="505">
        <f t="shared" si="14"/>
        <v>79</v>
      </c>
      <c r="B41" s="560">
        <f>$B$22*POWER(1+' Épargne nécessaire'!$G$7,A41-$B$21)+B40</f>
        <v>159116.65262807911</v>
      </c>
      <c r="C41" s="562">
        <f>$C$22*POWER(1+' Épargne nécessaire'!$G$7,A41-$C$21)+C40</f>
        <v>146704.75089547396</v>
      </c>
      <c r="E41" s="570">
        <f t="shared" si="15"/>
        <v>11175.634599292656</v>
      </c>
      <c r="G41" s="561">
        <f t="shared" si="16"/>
        <v>37967.924913902039</v>
      </c>
      <c r="H41" s="560"/>
      <c r="I41" s="560">
        <f t="shared" si="17"/>
        <v>930.2141603906</v>
      </c>
      <c r="J41" s="562">
        <f t="shared" si="18"/>
        <v>38898.139074292638</v>
      </c>
    </row>
    <row r="42" spans="1:10" x14ac:dyDescent="0.3">
      <c r="A42" s="505">
        <f t="shared" si="14"/>
        <v>80</v>
      </c>
      <c r="B42" s="560">
        <f>$B$22*POWER(1+' Épargne nécessaire'!$G$7,A42-$B$21)+B41</f>
        <v>171732.77731221088</v>
      </c>
      <c r="C42" s="562">
        <f>$C$22*POWER(1+' Épargne nécessaire'!$G$7,A42-$C$21)+C41</f>
        <v>160575.00178807991</v>
      </c>
      <c r="E42" s="570">
        <f t="shared" si="15"/>
        <v>12128.639006612826</v>
      </c>
      <c r="G42" s="561">
        <f t="shared" si="16"/>
        <v>38898.139074292638</v>
      </c>
      <c r="H42" s="560"/>
      <c r="I42" s="560">
        <f t="shared" si="17"/>
        <v>953.00440732016966</v>
      </c>
      <c r="J42" s="562">
        <f t="shared" si="18"/>
        <v>39851.143481612809</v>
      </c>
    </row>
    <row r="43" spans="1:10" x14ac:dyDescent="0.3">
      <c r="A43" s="505">
        <f t="shared" si="14"/>
        <v>81</v>
      </c>
      <c r="B43" s="560">
        <f>$B$22*POWER(1+' Épargne nécessaire'!$G$7,A43-$B$21)+B42</f>
        <v>184632.76480173561</v>
      </c>
      <c r="C43" s="562">
        <f>$C$22*POWER(1+' Épargne nécessaire'!$G$7,A43-$C$21)+C42</f>
        <v>174757.33332576952</v>
      </c>
      <c r="E43" s="571">
        <f t="shared" si="15"/>
        <v>13104.99202191234</v>
      </c>
      <c r="G43" s="561">
        <f t="shared" si="16"/>
        <v>39851.143481612809</v>
      </c>
      <c r="H43" s="560"/>
      <c r="I43" s="560">
        <f t="shared" si="17"/>
        <v>976.35301529951391</v>
      </c>
      <c r="J43" s="562">
        <f t="shared" si="18"/>
        <v>40827.496496912325</v>
      </c>
    </row>
    <row r="44" spans="1:10" x14ac:dyDescent="0.3">
      <c r="A44" s="505">
        <f t="shared" si="14"/>
        <v>82</v>
      </c>
      <c r="B44" s="560">
        <f>$B$22*POWER(1+' Épargne nécessaire'!$G$7,A44-$B$21)+B43</f>
        <v>197823.00200977465</v>
      </c>
      <c r="C44" s="562">
        <f>$C$22*POWER(1+' Épargne nécessaire'!$G$7,A44-$C$21)+C43</f>
        <v>189258.76732305714</v>
      </c>
      <c r="E44" s="570">
        <f t="shared" si="15"/>
        <v>14105.265686086692</v>
      </c>
      <c r="G44" s="561">
        <f t="shared" si="16"/>
        <v>40827.496496912325</v>
      </c>
      <c r="H44" s="560"/>
      <c r="I44" s="560">
        <f t="shared" si="17"/>
        <v>1000.273664174352</v>
      </c>
      <c r="J44" s="562">
        <f t="shared" si="18"/>
        <v>41827.770161086679</v>
      </c>
    </row>
    <row r="45" spans="1:10" x14ac:dyDescent="0.3">
      <c r="A45" s="505">
        <f t="shared" si="14"/>
        <v>83</v>
      </c>
      <c r="B45" s="560">
        <f>$B$22*POWER(1+' Épargne nécessaire'!$G$7,A45-$B$21)+B44</f>
        <v>211310.01955499456</v>
      </c>
      <c r="C45" s="562">
        <f>$C$22*POWER(1+' Épargne nécessaire'!$G$7,A45-$C$21)+C44</f>
        <v>204086.48358528371</v>
      </c>
      <c r="E45" s="570">
        <f t="shared" si="15"/>
        <v>15130.046055033315</v>
      </c>
      <c r="G45" s="561">
        <f t="shared" si="16"/>
        <v>41827.770161086679</v>
      </c>
      <c r="H45" s="560"/>
      <c r="I45" s="560">
        <f t="shared" si="17"/>
        <v>1024.7803689466236</v>
      </c>
      <c r="J45" s="562">
        <f t="shared" si="18"/>
        <v>42852.550530033302</v>
      </c>
    </row>
    <row r="46" spans="1:10" x14ac:dyDescent="0.3">
      <c r="A46" s="505">
        <f t="shared" si="14"/>
        <v>84</v>
      </c>
      <c r="B46" s="560">
        <f>$B$22*POWER(1+' Épargne nécessaire'!$G$7,A46-$B$21)+B45</f>
        <v>225100.49499498194</v>
      </c>
      <c r="C46" s="562">
        <f>$C$22*POWER(1+' Épargne nécessaire'!$G$7,A46-$C$21)+C45</f>
        <v>219247.8234634104</v>
      </c>
      <c r="E46" s="570">
        <f t="shared" si="15"/>
        <v>16179.933543019131</v>
      </c>
      <c r="G46" s="561">
        <f t="shared" si="16"/>
        <v>42852.550530033302</v>
      </c>
      <c r="H46" s="560"/>
      <c r="I46" s="560">
        <f t="shared" si="17"/>
        <v>1049.8874879858161</v>
      </c>
      <c r="J46" s="562">
        <f t="shared" si="18"/>
        <v>43902.438018019115</v>
      </c>
    </row>
    <row r="47" spans="1:10" x14ac:dyDescent="0.3">
      <c r="A47" s="505">
        <f t="shared" si="14"/>
        <v>85</v>
      </c>
      <c r="B47" s="560">
        <f>$B$22*POWER(1+' Épargne nécessaire'!$G$7,A47-$B$21)+B46</f>
        <v>239201.25613236902</v>
      </c>
      <c r="C47" s="562">
        <f>$C$22*POWER(1+' Épargne nécessaire'!$G$7,A47-$C$21)+C46</f>
        <v>234750.29348879494</v>
      </c>
      <c r="E47" s="570">
        <f t="shared" si="15"/>
        <v>17255.543274460601</v>
      </c>
      <c r="G47" s="561">
        <f t="shared" si="16"/>
        <v>43902.438018019115</v>
      </c>
      <c r="H47" s="560"/>
      <c r="I47" s="560">
        <f t="shared" si="17"/>
        <v>1075.6097314414683</v>
      </c>
      <c r="J47" s="562">
        <f t="shared" si="18"/>
        <v>44978.04774946058</v>
      </c>
    </row>
    <row r="48" spans="1:10" x14ac:dyDescent="0.3">
      <c r="A48" s="505">
        <f t="shared" si="14"/>
        <v>86</v>
      </c>
      <c r="B48" s="560">
        <f>$B$22*POWER(1+' Épargne nécessaire'!$G$7,A48-$B$21)+B47</f>
        <v>253619.28439534732</v>
      </c>
      <c r="C48" s="562">
        <f>$C$22*POWER(1+' Épargne nécessaire'!$G$7,A48-$C$21)+C47</f>
        <v>250601.56908975061</v>
      </c>
      <c r="E48" s="570">
        <f t="shared" si="15"/>
        <v>18357.505444322385</v>
      </c>
      <c r="G48" s="561">
        <f t="shared" si="16"/>
        <v>44978.04774946058</v>
      </c>
      <c r="H48" s="560"/>
      <c r="I48" s="560">
        <f t="shared" si="17"/>
        <v>1101.9621698617843</v>
      </c>
      <c r="J48" s="562">
        <f t="shared" si="18"/>
        <v>46080.009919322365</v>
      </c>
    </row>
    <row r="49" spans="1:10" x14ac:dyDescent="0.3">
      <c r="A49" s="505">
        <f t="shared" si="14"/>
        <v>87</v>
      </c>
      <c r="B49" s="560">
        <f>$B$22*POWER(1+' Épargne nécessaire'!$G$7,A49-$B$21)+B48</f>
        <v>268361.71829424263</v>
      </c>
      <c r="C49" s="562">
        <f>$C$22*POWER(1+' Épargne nécessaire'!$G$7,A49-$C$21)+C48</f>
        <v>266809.4983917278</v>
      </c>
      <c r="E49" s="570">
        <f t="shared" si="15"/>
        <v>19486.465687345782</v>
      </c>
      <c r="G49" s="561">
        <f t="shared" si="16"/>
        <v>46080.009919322365</v>
      </c>
      <c r="H49" s="560"/>
      <c r="I49" s="560">
        <f t="shared" si="17"/>
        <v>1128.9602430233979</v>
      </c>
      <c r="J49" s="562">
        <f t="shared" si="18"/>
        <v>47208.970162345759</v>
      </c>
    </row>
    <row r="50" spans="1:10" x14ac:dyDescent="0.3">
      <c r="A50" s="505">
        <f t="shared" si="14"/>
        <v>88</v>
      </c>
      <c r="B50" s="560">
        <f>$B$22*POWER(1+' Épargne nécessaire'!$G$7,A50-$B$21)+B49</f>
        <v>283435.85695586307</v>
      </c>
      <c r="C50" s="562">
        <f>$C$22*POWER(1+' Épargne nécessaire'!$G$7,A50-$C$21)+C49</f>
        <v>283382.10610299947</v>
      </c>
      <c r="E50" s="570">
        <f t="shared" si="15"/>
        <v>20643.085456323253</v>
      </c>
      <c r="G50" s="561">
        <f t="shared" si="16"/>
        <v>47208.970162345759</v>
      </c>
      <c r="H50" s="560"/>
      <c r="I50" s="560">
        <f t="shared" si="17"/>
        <v>1156.619768977471</v>
      </c>
      <c r="J50" s="562">
        <f t="shared" si="18"/>
        <v>48365.589931323229</v>
      </c>
    </row>
    <row r="51" spans="1:10" x14ac:dyDescent="0.3">
      <c r="A51" s="505">
        <f t="shared" si="14"/>
        <v>89</v>
      </c>
      <c r="B51" s="560">
        <f>$B$22*POWER(1+' Épargne nécessaire'!$G$7,A51-$B$21)+B50</f>
        <v>298849.16373736999</v>
      </c>
      <c r="C51" s="562">
        <f>$C$22*POWER(1+' Épargne nécessaire'!$G$7,A51-$C$21)+C50</f>
        <v>300327.59748777474</v>
      </c>
      <c r="E51" s="570">
        <f t="shared" si="15"/>
        <v>21828.042409640671</v>
      </c>
      <c r="G51" s="561">
        <f t="shared" si="16"/>
        <v>48365.589931323229</v>
      </c>
      <c r="H51" s="560"/>
      <c r="I51" s="560">
        <f t="shared" si="17"/>
        <v>1184.9569533174192</v>
      </c>
      <c r="J51" s="562">
        <f t="shared" si="18"/>
        <v>49550.546884640644</v>
      </c>
    </row>
    <row r="52" spans="1:10" x14ac:dyDescent="0.3">
      <c r="A52" s="505">
        <f t="shared" si="14"/>
        <v>90</v>
      </c>
      <c r="B52" s="560">
        <f>$B$22*POWER(1+' Épargne nécessaire'!$G$7,A52-$B$21)+B51</f>
        <v>314609.26992146077</v>
      </c>
      <c r="C52" s="562">
        <f>$C$22*POWER(1+' Épargne nécessaire'!$G$7,A52-$C$21)+C51</f>
        <v>317654.36242870748</v>
      </c>
      <c r="E52" s="570">
        <f t="shared" si="15"/>
        <v>23042.030808314368</v>
      </c>
      <c r="G52" s="561">
        <f t="shared" si="16"/>
        <v>49550.546884640644</v>
      </c>
      <c r="H52" s="560"/>
      <c r="I52" s="560">
        <f t="shared" si="17"/>
        <v>1213.9883986736959</v>
      </c>
      <c r="J52" s="562">
        <f t="shared" si="18"/>
        <v>50764.535283314341</v>
      </c>
    </row>
    <row r="53" spans="1:10" x14ac:dyDescent="0.3">
      <c r="A53" s="505">
        <f t="shared" si="14"/>
        <v>91</v>
      </c>
      <c r="B53" s="560">
        <f>$B$22*POWER(1+' Épargne nécessaire'!$G$7,A53-$B$21)+B52</f>
        <v>330723.97849469364</v>
      </c>
      <c r="C53" s="562">
        <f>$C$22*POWER(1+' Épargne nécessaire'!$G$7,A53-$C$21)+C52</f>
        <v>335370.97958081117</v>
      </c>
      <c r="E53" s="570">
        <f t="shared" si="15"/>
        <v>24285.76192275557</v>
      </c>
      <c r="G53" s="561">
        <f t="shared" si="16"/>
        <v>50764.535283314341</v>
      </c>
      <c r="H53" s="560"/>
      <c r="I53" s="560">
        <f t="shared" si="17"/>
        <v>1243.7311144412015</v>
      </c>
      <c r="J53" s="562">
        <f t="shared" si="18"/>
        <v>52008.266397755542</v>
      </c>
    </row>
    <row r="54" spans="1:10" x14ac:dyDescent="0.3">
      <c r="A54" s="505">
        <f t="shared" si="14"/>
        <v>92</v>
      </c>
      <c r="B54" s="560">
        <f>$B$22*POWER(1+' Épargne nécessaire'!$G$7,A54-$B$21)+B53</f>
        <v>347201.26801082422</v>
      </c>
      <c r="C54" s="562">
        <f>$C$22*POWER(1+' Épargne nécessaire'!$G$7,A54-$C$21)+C53</f>
        <v>353486.22061883722</v>
      </c>
      <c r="E54" s="570">
        <f t="shared" si="15"/>
        <v>25559.964449500581</v>
      </c>
      <c r="G54" s="561">
        <f t="shared" si="16"/>
        <v>52008.266397755542</v>
      </c>
      <c r="H54" s="560"/>
      <c r="I54" s="560">
        <f t="shared" si="17"/>
        <v>1274.2025267450108</v>
      </c>
      <c r="J54" s="562">
        <f t="shared" si="18"/>
        <v>53282.46892450055</v>
      </c>
    </row>
    <row r="55" spans="1:10" x14ac:dyDescent="0.3">
      <c r="A55" s="505">
        <f t="shared" si="14"/>
        <v>93</v>
      </c>
      <c r="B55" s="560">
        <f>$B$22*POWER(1+' Épargne nécessaire'!$G$7,A55-$B$21)+B54</f>
        <v>364049.29654106777</v>
      </c>
      <c r="C55" s="562">
        <f>$C$22*POWER(1+' Épargne nécessaire'!$G$7,A55-$C$21)+C54</f>
        <v>372009.05458021886</v>
      </c>
      <c r="E55" s="570">
        <f t="shared" si="15"/>
        <v>26865.384938150844</v>
      </c>
      <c r="G55" s="561">
        <f t="shared" si="16"/>
        <v>53282.46892450055</v>
      </c>
      <c r="H55" s="560"/>
      <c r="I55" s="560">
        <f t="shared" si="17"/>
        <v>1305.4204886502635</v>
      </c>
      <c r="J55" s="562">
        <f t="shared" si="18"/>
        <v>54587.889413150813</v>
      </c>
    </row>
    <row r="56" spans="1:10" x14ac:dyDescent="0.3">
      <c r="A56" s="505">
        <f t="shared" si="14"/>
        <v>94</v>
      </c>
      <c r="B56" s="560">
        <f>$B$22*POWER(1+' Épargne nécessaire'!$G$7,A56-$B$21)+B55</f>
        <v>381276.40571324178</v>
      </c>
      <c r="C56" s="562">
        <f>$C$22*POWER(1+' Épargne nécessaire'!$G$7,A56-$C$21)+C55</f>
        <v>390948.65230573155</v>
      </c>
      <c r="E56" s="570">
        <f t="shared" si="15"/>
        <v>28202.788228773039</v>
      </c>
      <c r="G56" s="561">
        <f t="shared" si="16"/>
        <v>54587.889413150813</v>
      </c>
      <c r="H56" s="560"/>
      <c r="I56" s="560">
        <f t="shared" si="17"/>
        <v>1337.4032906221951</v>
      </c>
      <c r="J56" s="562">
        <f t="shared" si="18"/>
        <v>55925.292703773004</v>
      </c>
    </row>
    <row r="57" spans="1:10" ht="15" thickBot="1" x14ac:dyDescent="0.35">
      <c r="A57" s="507">
        <f t="shared" si="14"/>
        <v>95</v>
      </c>
      <c r="B57" s="564">
        <f>$B$22*POWER(1+' Épargne nécessaire'!$G$7,A57-$B$21)+B56</f>
        <v>398891.12484178971</v>
      </c>
      <c r="C57" s="565">
        <f>$C$22*POWER(1+' Épargne nécessaire'!$G$7,A57-$C$21)+C56</f>
        <v>410314.3909800683</v>
      </c>
      <c r="E57" s="572">
        <f t="shared" si="15"/>
        <v>29572.957900015477</v>
      </c>
      <c r="G57" s="563">
        <f t="shared" si="16"/>
        <v>55925.292703773004</v>
      </c>
      <c r="H57" s="564"/>
      <c r="I57" s="564">
        <f t="shared" si="17"/>
        <v>1370.1696712424387</v>
      </c>
      <c r="J57" s="565">
        <f t="shared" si="18"/>
        <v>57295.462375015442</v>
      </c>
    </row>
    <row r="59" spans="1:10" ht="15.6" x14ac:dyDescent="0.3">
      <c r="A59" s="278" t="s">
        <v>461</v>
      </c>
      <c r="E59" s="576">
        <f>C21</f>
        <v>68</v>
      </c>
      <c r="G59" t="s">
        <v>462</v>
      </c>
    </row>
    <row r="60" spans="1:10" x14ac:dyDescent="0.3">
      <c r="A60" t="s">
        <v>455</v>
      </c>
      <c r="B60" s="305">
        <f>B47</f>
        <v>239201.25613236902</v>
      </c>
    </row>
    <row r="61" spans="1:10" ht="15" thickBot="1" x14ac:dyDescent="0.35">
      <c r="A61" t="s">
        <v>444</v>
      </c>
      <c r="B61" s="568">
        <f>E43</f>
        <v>13104.99202191234</v>
      </c>
    </row>
    <row r="62" spans="1:10" ht="15.6" thickTop="1" thickBot="1" x14ac:dyDescent="0.35">
      <c r="A62" s="552" t="s">
        <v>69</v>
      </c>
      <c r="B62" s="553">
        <f>B60+B61</f>
        <v>252306.24815428135</v>
      </c>
      <c r="C62" s="554">
        <f>C47</f>
        <v>234750.29348879494</v>
      </c>
    </row>
    <row r="63" spans="1:10" ht="6" customHeight="1" thickTop="1" x14ac:dyDescent="0.3"/>
    <row r="64" spans="1:10" x14ac:dyDescent="0.3">
      <c r="A64" t="s">
        <v>445</v>
      </c>
      <c r="B64" s="305">
        <f>B53</f>
        <v>330723.97849469364</v>
      </c>
    </row>
    <row r="65" spans="1:10" ht="15" thickBot="1" x14ac:dyDescent="0.35">
      <c r="A65" t="s">
        <v>439</v>
      </c>
      <c r="B65" s="568">
        <f>B61</f>
        <v>13104.99202191234</v>
      </c>
    </row>
    <row r="66" spans="1:10" ht="15.6" thickTop="1" thickBot="1" x14ac:dyDescent="0.35">
      <c r="A66" s="552" t="s">
        <v>69</v>
      </c>
      <c r="B66" s="553">
        <f>B64+B65</f>
        <v>343828.970516606</v>
      </c>
      <c r="C66" s="554">
        <f>C53</f>
        <v>335370.97958081117</v>
      </c>
      <c r="E66" s="573">
        <f>C66-B66</f>
        <v>-8457.9909357948345</v>
      </c>
      <c r="G66" s="274" t="str">
        <f>IF(E66&lt;0,"Le report ne présente aucun avantage", "le report pourrait être avantageux pour vous")</f>
        <v>Le report ne présente aucun avantage</v>
      </c>
    </row>
    <row r="67" spans="1:10" ht="6" customHeight="1" thickTop="1" x14ac:dyDescent="0.3"/>
    <row r="68" spans="1:10" ht="13.8" customHeight="1" x14ac:dyDescent="0.3">
      <c r="A68" s="575" t="s">
        <v>458</v>
      </c>
      <c r="B68" s="574"/>
      <c r="C68" s="574"/>
      <c r="D68" s="574"/>
      <c r="E68" s="574"/>
      <c r="F68" s="574"/>
      <c r="G68" s="574"/>
      <c r="H68" s="574"/>
      <c r="I68" s="574"/>
      <c r="J68" s="574"/>
    </row>
    <row r="69" spans="1:10" ht="13.8" customHeight="1" x14ac:dyDescent="0.3">
      <c r="A69" s="278" t="s">
        <v>460</v>
      </c>
      <c r="B69" s="574"/>
      <c r="C69" s="574"/>
      <c r="D69" s="574"/>
      <c r="E69" s="574"/>
      <c r="F69" s="574"/>
      <c r="G69" s="574"/>
      <c r="H69" s="574"/>
      <c r="I69" s="574"/>
      <c r="J69" s="574"/>
    </row>
    <row r="70" spans="1:10" ht="13.8" customHeight="1" x14ac:dyDescent="0.3">
      <c r="A70" s="278" t="s">
        <v>459</v>
      </c>
      <c r="B70" s="574"/>
      <c r="C70" s="574"/>
      <c r="D70" s="574"/>
      <c r="E70" s="574"/>
      <c r="F70" s="574"/>
      <c r="G70" s="574"/>
      <c r="H70" s="574"/>
      <c r="I70" s="574"/>
      <c r="J70" s="574"/>
    </row>
    <row r="71" spans="1:10" ht="13.8" customHeight="1" x14ac:dyDescent="0.3">
      <c r="A71" s="278" t="s">
        <v>479</v>
      </c>
      <c r="B71" s="574"/>
      <c r="C71" s="574"/>
      <c r="D71" s="574"/>
      <c r="E71" s="574"/>
      <c r="F71" s="574"/>
      <c r="G71" s="574"/>
      <c r="H71" s="574"/>
      <c r="I71" s="574"/>
      <c r="J71" s="574"/>
    </row>
    <row r="72" spans="1:10" ht="15.6" x14ac:dyDescent="0.3">
      <c r="A72" s="278" t="s">
        <v>480</v>
      </c>
    </row>
    <row r="73" spans="1:10" ht="15.6" x14ac:dyDescent="0.3">
      <c r="A73" s="278" t="s">
        <v>481</v>
      </c>
    </row>
    <row r="74" spans="1:10" ht="15.6" x14ac:dyDescent="0.3">
      <c r="A74" s="278" t="s">
        <v>491</v>
      </c>
    </row>
    <row r="75" spans="1:10" ht="15.6" x14ac:dyDescent="0.3">
      <c r="A75" s="278" t="s">
        <v>492</v>
      </c>
    </row>
  </sheetData>
  <sheetProtection algorithmName="SHA-512" hashValue="Vv8xWUPd/sAp5mn4Yt4DPIamzD92GUUaDwu6oHrRXfSsxX5lZuYbb/+/2VwNfhhWYN8Y+3qx61WiiRmz5D/BWg==" saltValue="izU4OO38ER5GTVgIB0YPaA==" spinCount="100000" sheet="1" objects="1" scenarios="1"/>
  <hyperlinks>
    <hyperlink ref="A3" r:id="rId1" xr:uid="{C10F6D05-A83D-4DE9-9832-B4FE4D45603B}"/>
  </hyperlinks>
  <pageMargins left="0.27559055118110237" right="0.27559055118110237" top="0.74803149606299213" bottom="0.55118110236220474" header="0.31496062992125984" footer="0.31496062992125984"/>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8D3BA-0114-4409-8A01-424E83DEE895}">
  <dimension ref="A1:J71"/>
  <sheetViews>
    <sheetView workbookViewId="0">
      <selection activeCell="C19" sqref="C19"/>
    </sheetView>
  </sheetViews>
  <sheetFormatPr baseColWidth="10" defaultRowHeight="14.4" x14ac:dyDescent="0.3"/>
  <cols>
    <col min="1" max="1" width="3.6640625" customWidth="1"/>
    <col min="2" max="2" width="27.44140625" customWidth="1"/>
    <col min="3" max="3" width="18" customWidth="1"/>
    <col min="4" max="4" width="14.6640625" customWidth="1"/>
    <col min="5" max="5" width="14.21875" customWidth="1"/>
    <col min="6" max="6" width="17.33203125" customWidth="1"/>
    <col min="7" max="7" width="5.109375" customWidth="1"/>
  </cols>
  <sheetData>
    <row r="1" spans="1:8" ht="21" x14ac:dyDescent="0.4">
      <c r="A1" s="610" t="s">
        <v>329</v>
      </c>
      <c r="B1" s="611"/>
      <c r="C1" s="611"/>
      <c r="D1" s="611"/>
      <c r="E1" s="611"/>
      <c r="F1" s="611"/>
      <c r="G1" s="611"/>
      <c r="H1" s="1"/>
    </row>
    <row r="2" spans="1:8" ht="15.6" x14ac:dyDescent="0.3">
      <c r="A2" s="1"/>
      <c r="B2" s="1"/>
      <c r="C2" s="1"/>
      <c r="D2" s="1"/>
      <c r="E2" s="1"/>
      <c r="F2" s="1"/>
      <c r="G2" s="1"/>
      <c r="H2" s="1"/>
    </row>
    <row r="3" spans="1:8" ht="15.6" x14ac:dyDescent="0.3">
      <c r="A3" s="1" t="s">
        <v>388</v>
      </c>
      <c r="B3" s="1"/>
      <c r="C3" s="1"/>
      <c r="D3" s="1"/>
      <c r="E3" s="1"/>
      <c r="F3" s="1"/>
      <c r="G3" s="1"/>
      <c r="H3" s="1"/>
    </row>
    <row r="4" spans="1:8" ht="15.6" x14ac:dyDescent="0.3">
      <c r="A4" s="1" t="s">
        <v>330</v>
      </c>
      <c r="B4" s="1"/>
      <c r="C4" s="1"/>
      <c r="D4" s="1"/>
      <c r="E4" s="1"/>
      <c r="F4" s="1"/>
      <c r="G4" s="1"/>
      <c r="H4" s="1"/>
    </row>
    <row r="5" spans="1:8" ht="9" hidden="1" customHeight="1" x14ac:dyDescent="0.3">
      <c r="A5" s="1"/>
      <c r="B5" s="1"/>
      <c r="C5" s="1"/>
      <c r="D5" s="1"/>
      <c r="E5" s="1"/>
      <c r="F5" s="1"/>
      <c r="G5" s="1"/>
      <c r="H5" s="1"/>
    </row>
    <row r="6" spans="1:8" ht="15.6" x14ac:dyDescent="0.3">
      <c r="A6" s="1" t="s">
        <v>323</v>
      </c>
      <c r="B6" s="1"/>
      <c r="C6" s="1"/>
      <c r="D6" s="1"/>
      <c r="E6" s="1"/>
      <c r="F6" s="1"/>
      <c r="G6" s="1"/>
      <c r="H6" s="1"/>
    </row>
    <row r="7" spans="1:8" ht="15.6" x14ac:dyDescent="0.3">
      <c r="A7" s="1" t="s">
        <v>389</v>
      </c>
      <c r="B7" s="1"/>
      <c r="C7" s="1"/>
      <c r="D7" s="1"/>
      <c r="E7" s="1"/>
      <c r="F7" s="1"/>
      <c r="G7" s="1"/>
      <c r="H7" s="1"/>
    </row>
    <row r="8" spans="1:8" ht="15.6" x14ac:dyDescent="0.3">
      <c r="A8" s="1" t="s">
        <v>390</v>
      </c>
      <c r="B8" s="1"/>
      <c r="C8" s="1"/>
      <c r="D8" s="1"/>
      <c r="E8" s="1"/>
      <c r="F8" s="1"/>
      <c r="G8" s="1"/>
      <c r="H8" s="1"/>
    </row>
    <row r="9" spans="1:8" ht="15.6" x14ac:dyDescent="0.3">
      <c r="A9" s="1" t="s">
        <v>332</v>
      </c>
      <c r="B9" s="1"/>
      <c r="C9" s="1"/>
      <c r="D9" s="1"/>
      <c r="E9" s="1"/>
      <c r="F9" s="1"/>
      <c r="G9" s="1"/>
      <c r="H9" s="1"/>
    </row>
    <row r="10" spans="1:8" ht="15.6" x14ac:dyDescent="0.3">
      <c r="A10" s="1" t="s">
        <v>333</v>
      </c>
      <c r="B10" s="1"/>
      <c r="C10" s="1"/>
      <c r="D10" s="1"/>
      <c r="E10" s="1"/>
      <c r="F10" s="1"/>
      <c r="G10" s="1"/>
      <c r="H10" s="1"/>
    </row>
    <row r="11" spans="1:8" ht="9.6" customHeight="1" x14ac:dyDescent="0.3">
      <c r="A11" s="1"/>
      <c r="B11" s="1"/>
      <c r="C11" s="1"/>
      <c r="D11" s="1"/>
      <c r="E11" s="1"/>
      <c r="F11" s="1"/>
      <c r="G11" s="1"/>
      <c r="H11" s="1"/>
    </row>
    <row r="12" spans="1:8" ht="15.6" x14ac:dyDescent="0.3">
      <c r="A12" s="1" t="s">
        <v>331</v>
      </c>
      <c r="B12" s="1"/>
      <c r="C12" s="1"/>
      <c r="D12" s="1"/>
      <c r="E12" s="1"/>
      <c r="F12" s="1"/>
      <c r="G12" s="1"/>
      <c r="H12" s="1"/>
    </row>
    <row r="13" spans="1:8" ht="15.6" x14ac:dyDescent="0.3">
      <c r="A13" s="1" t="s">
        <v>318</v>
      </c>
      <c r="B13" s="1" t="s">
        <v>391</v>
      </c>
      <c r="C13" s="1"/>
      <c r="D13" s="1"/>
      <c r="E13" s="1"/>
      <c r="F13" s="1"/>
      <c r="G13" s="1"/>
      <c r="H13" s="1"/>
    </row>
    <row r="14" spans="1:8" ht="15.6" x14ac:dyDescent="0.3">
      <c r="A14" s="1" t="s">
        <v>319</v>
      </c>
      <c r="B14" s="1" t="s">
        <v>363</v>
      </c>
      <c r="C14" s="1"/>
      <c r="D14" s="1"/>
      <c r="E14" s="1"/>
      <c r="F14" s="1"/>
      <c r="G14" s="1"/>
      <c r="H14" s="1"/>
    </row>
    <row r="15" spans="1:8" ht="15.6" x14ac:dyDescent="0.3">
      <c r="A15" s="1" t="s">
        <v>320</v>
      </c>
      <c r="B15" s="1" t="s">
        <v>322</v>
      </c>
      <c r="C15" s="1"/>
      <c r="D15" s="1"/>
      <c r="E15" s="1"/>
      <c r="F15" s="1"/>
      <c r="G15" s="1"/>
      <c r="H15" s="1"/>
    </row>
    <row r="16" spans="1:8" ht="15.6" x14ac:dyDescent="0.3">
      <c r="A16" s="1" t="s">
        <v>321</v>
      </c>
      <c r="B16" s="277" t="s">
        <v>324</v>
      </c>
      <c r="C16" s="1"/>
      <c r="D16" s="1"/>
      <c r="E16" s="1"/>
      <c r="F16" s="1"/>
      <c r="G16" s="1"/>
      <c r="H16" s="1"/>
    </row>
    <row r="17" spans="1:10" ht="9" customHeight="1" x14ac:dyDescent="0.3">
      <c r="A17" s="1"/>
      <c r="B17" s="1"/>
      <c r="C17" s="1"/>
      <c r="D17" s="1"/>
      <c r="E17" s="1"/>
      <c r="F17" s="1"/>
      <c r="G17" s="1"/>
      <c r="H17" s="1"/>
    </row>
    <row r="18" spans="1:10" ht="15.6" customHeight="1" thickBot="1" x14ac:dyDescent="0.35">
      <c r="A18" s="1" t="s">
        <v>338</v>
      </c>
      <c r="B18" s="1"/>
      <c r="C18" s="1"/>
      <c r="D18" s="1"/>
      <c r="E18" s="1"/>
      <c r="F18" s="1"/>
      <c r="G18" s="1"/>
      <c r="H18" s="1"/>
    </row>
    <row r="19" spans="1:10" ht="14.55" customHeight="1" x14ac:dyDescent="0.3">
      <c r="A19" s="1"/>
      <c r="B19" s="315" t="s">
        <v>297</v>
      </c>
      <c r="C19" s="469">
        <v>360000</v>
      </c>
      <c r="D19" s="1"/>
      <c r="E19" s="1"/>
      <c r="F19" s="1"/>
      <c r="G19" s="1"/>
      <c r="H19" s="1"/>
    </row>
    <row r="20" spans="1:10" ht="14.55" customHeight="1" x14ac:dyDescent="0.3">
      <c r="A20" s="1"/>
      <c r="B20" s="321" t="s">
        <v>292</v>
      </c>
      <c r="C20" s="333"/>
      <c r="D20" s="1"/>
      <c r="E20" s="1"/>
      <c r="F20" s="1"/>
      <c r="G20" s="1"/>
      <c r="H20" s="1"/>
    </row>
    <row r="21" spans="1:10" ht="14.55" customHeight="1" x14ac:dyDescent="0.3">
      <c r="A21" s="1"/>
      <c r="B21" s="321" t="s">
        <v>296</v>
      </c>
      <c r="C21" s="548">
        <f>C19*5%</f>
        <v>18000</v>
      </c>
      <c r="D21" s="1"/>
      <c r="E21" s="1"/>
      <c r="F21" s="1"/>
      <c r="G21" s="1"/>
      <c r="H21" s="1"/>
    </row>
    <row r="22" spans="1:10" ht="14.55" customHeight="1" x14ac:dyDescent="0.3">
      <c r="A22" s="1"/>
      <c r="B22" s="321" t="s">
        <v>293</v>
      </c>
      <c r="C22" s="337">
        <v>600</v>
      </c>
      <c r="D22" s="1"/>
      <c r="E22" s="1"/>
      <c r="F22" s="1"/>
      <c r="G22" s="1"/>
      <c r="H22" s="1"/>
    </row>
    <row r="23" spans="1:10" ht="14.55" customHeight="1" x14ac:dyDescent="0.3">
      <c r="A23" s="1"/>
      <c r="B23" s="321" t="s">
        <v>294</v>
      </c>
      <c r="C23" s="337">
        <v>600</v>
      </c>
      <c r="D23" s="1"/>
      <c r="E23" s="1"/>
      <c r="F23" s="1"/>
      <c r="G23" s="1"/>
      <c r="H23" s="1"/>
    </row>
    <row r="24" spans="1:10" ht="14.55" customHeight="1" x14ac:dyDescent="0.3">
      <c r="A24" s="1"/>
      <c r="B24" s="321" t="s">
        <v>295</v>
      </c>
      <c r="C24" s="337">
        <v>0</v>
      </c>
      <c r="D24" s="1"/>
      <c r="E24" s="1"/>
      <c r="F24" s="1"/>
      <c r="G24" s="1"/>
      <c r="H24" s="1"/>
    </row>
    <row r="25" spans="1:10" ht="14.55" customHeight="1" thickBot="1" x14ac:dyDescent="0.35">
      <c r="A25" s="1"/>
      <c r="B25" s="325" t="s">
        <v>298</v>
      </c>
      <c r="C25" s="327">
        <f>C19-C21-C22-C23-C24</f>
        <v>340800</v>
      </c>
      <c r="D25" s="1"/>
      <c r="E25" s="1"/>
      <c r="F25" s="1"/>
      <c r="G25" s="1"/>
      <c r="H25" s="1"/>
    </row>
    <row r="26" spans="1:10" ht="9.6" customHeight="1" thickBot="1" x14ac:dyDescent="0.35">
      <c r="A26" s="1"/>
      <c r="B26" s="1"/>
      <c r="C26" s="1"/>
      <c r="D26" s="1"/>
      <c r="E26" s="1"/>
      <c r="F26" s="1"/>
      <c r="G26" s="1"/>
      <c r="H26" s="1"/>
    </row>
    <row r="27" spans="1:10" ht="14.55" customHeight="1" thickBot="1" x14ac:dyDescent="0.35">
      <c r="A27" s="1"/>
      <c r="B27" s="1"/>
      <c r="C27" s="1"/>
      <c r="D27" s="315" t="s">
        <v>290</v>
      </c>
      <c r="E27" s="357" t="s">
        <v>291</v>
      </c>
      <c r="F27" s="358" t="s">
        <v>316</v>
      </c>
      <c r="G27" s="1"/>
      <c r="H27" s="1"/>
    </row>
    <row r="28" spans="1:10" ht="14.55" customHeight="1" thickBot="1" x14ac:dyDescent="0.35">
      <c r="A28" s="1"/>
      <c r="B28" s="470" t="s">
        <v>392</v>
      </c>
      <c r="C28" s="479"/>
      <c r="D28" s="481" t="s">
        <v>317</v>
      </c>
      <c r="E28" s="482" t="s">
        <v>311</v>
      </c>
      <c r="F28" s="483" t="s">
        <v>334</v>
      </c>
      <c r="G28" s="1"/>
      <c r="H28" s="1"/>
    </row>
    <row r="29" spans="1:10" ht="14.55" customHeight="1" x14ac:dyDescent="0.3">
      <c r="A29" s="1"/>
      <c r="B29" s="471" t="s">
        <v>304</v>
      </c>
      <c r="C29" s="472"/>
      <c r="D29" s="480">
        <v>240000</v>
      </c>
      <c r="E29" s="1"/>
      <c r="F29" s="1"/>
      <c r="G29" s="1"/>
      <c r="H29" s="1"/>
    </row>
    <row r="30" spans="1:10" ht="14.55" customHeight="1" x14ac:dyDescent="0.3">
      <c r="A30" s="1"/>
      <c r="B30" s="471" t="s">
        <v>393</v>
      </c>
      <c r="C30" s="472"/>
      <c r="D30" s="337">
        <v>500</v>
      </c>
      <c r="E30" s="1"/>
      <c r="F30" s="1"/>
      <c r="G30" s="1"/>
      <c r="H30" s="1"/>
    </row>
    <row r="31" spans="1:10" ht="14.55" customHeight="1" x14ac:dyDescent="0.3">
      <c r="A31" s="1"/>
      <c r="B31" s="471" t="s">
        <v>299</v>
      </c>
      <c r="C31" s="472"/>
      <c r="D31" s="337">
        <v>1500</v>
      </c>
      <c r="E31" s="1"/>
      <c r="F31" s="1"/>
      <c r="G31" s="1"/>
      <c r="H31" s="1"/>
      <c r="J31" s="468"/>
    </row>
    <row r="32" spans="1:10" ht="14.55" customHeight="1" x14ac:dyDescent="0.3">
      <c r="A32" s="1"/>
      <c r="B32" s="471" t="s">
        <v>300</v>
      </c>
      <c r="C32" s="472"/>
      <c r="D32" s="548">
        <f>IF(D29&lt;50000,D29*0.005,IF(D29&lt;250001,(D29-50000)*0.01+(50000*0.005),IF(D29&gt;250000,(D29-250000)*0.015+(250000*0.01)+(50000*0.005),0)))</f>
        <v>2150</v>
      </c>
      <c r="E32" s="1"/>
      <c r="F32" s="1"/>
      <c r="G32" s="1"/>
      <c r="H32" s="1"/>
    </row>
    <row r="33" spans="1:8" ht="14.55" customHeight="1" x14ac:dyDescent="0.3">
      <c r="A33" s="1"/>
      <c r="B33" s="471" t="s">
        <v>302</v>
      </c>
      <c r="C33" s="472"/>
      <c r="D33" s="337">
        <v>1500</v>
      </c>
      <c r="E33" s="1"/>
      <c r="F33" s="1"/>
      <c r="G33" s="1"/>
      <c r="H33" s="1"/>
    </row>
    <row r="34" spans="1:8" ht="14.55" customHeight="1" x14ac:dyDescent="0.3">
      <c r="A34" s="1"/>
      <c r="B34" s="471" t="s">
        <v>301</v>
      </c>
      <c r="C34" s="472"/>
      <c r="D34" s="337">
        <v>10000</v>
      </c>
      <c r="E34" s="1"/>
      <c r="F34" s="1"/>
      <c r="G34" s="1"/>
      <c r="H34" s="1"/>
    </row>
    <row r="35" spans="1:8" ht="14.55" customHeight="1" x14ac:dyDescent="0.3">
      <c r="A35" s="1"/>
      <c r="B35" s="471" t="s">
        <v>303</v>
      </c>
      <c r="C35" s="472"/>
      <c r="D35" s="337">
        <v>2000</v>
      </c>
      <c r="E35" s="1"/>
      <c r="F35" s="1"/>
      <c r="G35" s="1"/>
      <c r="H35" s="1"/>
    </row>
    <row r="36" spans="1:8" ht="14.55" customHeight="1" thickBot="1" x14ac:dyDescent="0.35">
      <c r="A36" s="1"/>
      <c r="B36" s="473" t="s">
        <v>305</v>
      </c>
      <c r="C36" s="474"/>
      <c r="D36" s="327">
        <f>SUM(D29:D35)</f>
        <v>257650</v>
      </c>
      <c r="E36" s="1"/>
      <c r="F36" s="1"/>
      <c r="G36" s="1"/>
      <c r="H36" s="1"/>
    </row>
    <row r="37" spans="1:8" ht="15.6" x14ac:dyDescent="0.3">
      <c r="A37" s="1"/>
      <c r="B37" s="1"/>
      <c r="C37" s="1"/>
      <c r="D37" s="1"/>
      <c r="E37" s="1"/>
      <c r="F37" s="1"/>
      <c r="G37" s="1"/>
      <c r="H37" s="1"/>
    </row>
    <row r="38" spans="1:8" ht="14.55" customHeight="1" x14ac:dyDescent="0.3">
      <c r="A38" s="1"/>
      <c r="B38" s="471" t="s">
        <v>326</v>
      </c>
      <c r="C38" s="472"/>
      <c r="D38" s="323">
        <f>C25-D36</f>
        <v>83150</v>
      </c>
      <c r="E38" s="323">
        <f>C25</f>
        <v>340800</v>
      </c>
      <c r="F38" s="475">
        <f>C25</f>
        <v>340800</v>
      </c>
      <c r="G38" s="1"/>
      <c r="H38" s="1"/>
    </row>
    <row r="39" spans="1:8" ht="14.55" customHeight="1" x14ac:dyDescent="0.3">
      <c r="A39" s="1"/>
      <c r="B39" s="471" t="s">
        <v>327</v>
      </c>
      <c r="C39" s="472"/>
      <c r="D39" s="347">
        <f>' Épargne nécessaire'!J23</f>
        <v>3.7345525026077062E-2</v>
      </c>
      <c r="E39" s="347">
        <f>D39</f>
        <v>3.7345525026077062E-2</v>
      </c>
      <c r="F39" s="476">
        <f>E39</f>
        <v>3.7345525026077062E-2</v>
      </c>
      <c r="G39" s="1"/>
      <c r="H39" s="1"/>
    </row>
    <row r="40" spans="1:8" ht="14.55" customHeight="1" x14ac:dyDescent="0.3">
      <c r="A40" s="1"/>
      <c r="B40" s="471" t="s">
        <v>328</v>
      </c>
      <c r="C40" s="472"/>
      <c r="D40" s="477">
        <v>35</v>
      </c>
      <c r="E40" s="477">
        <v>35</v>
      </c>
      <c r="F40" s="478">
        <v>10</v>
      </c>
      <c r="G40" s="1"/>
      <c r="H40" s="1"/>
    </row>
    <row r="41" spans="1:8" ht="14.55" customHeight="1" x14ac:dyDescent="0.3">
      <c r="A41" s="1"/>
      <c r="B41" s="471" t="s">
        <v>325</v>
      </c>
      <c r="C41" s="472"/>
      <c r="D41" s="546">
        <f>' Épargne nécessaire'!G7</f>
        <v>2.2499999999999999E-2</v>
      </c>
      <c r="E41" s="546">
        <f>D41</f>
        <v>2.2499999999999999E-2</v>
      </c>
      <c r="F41" s="547">
        <f>D41</f>
        <v>2.2499999999999999E-2</v>
      </c>
      <c r="G41" s="1"/>
      <c r="H41" s="1"/>
    </row>
    <row r="42" spans="1:8" ht="14.55" customHeight="1" x14ac:dyDescent="0.3">
      <c r="A42" s="1"/>
      <c r="B42" s="471" t="s">
        <v>306</v>
      </c>
      <c r="C42" s="472"/>
      <c r="D42" s="347">
        <f>((1+D39)/(1+D41))-1</f>
        <v>1.4518850881249046E-2</v>
      </c>
      <c r="E42" s="347">
        <f>((1+E39)/(1+E41))-1</f>
        <v>1.4518850881249046E-2</v>
      </c>
      <c r="F42" s="476">
        <f>((1+F39)/(1+F41))-1</f>
        <v>1.4518850881249046E-2</v>
      </c>
      <c r="G42" s="1"/>
      <c r="H42" s="1"/>
    </row>
    <row r="43" spans="1:8" ht="14.55" hidden="1" customHeight="1" x14ac:dyDescent="0.3">
      <c r="A43" s="1"/>
      <c r="B43" s="471" t="s">
        <v>307</v>
      </c>
      <c r="C43" s="472"/>
      <c r="D43" s="347">
        <f>0.53*D42+1/D40</f>
        <v>3.6266419538490566E-2</v>
      </c>
      <c r="E43" s="347">
        <f>0.53*E42+1/E40</f>
        <v>3.6266419538490566E-2</v>
      </c>
      <c r="F43" s="476">
        <f>0.53*F42+1/F40</f>
        <v>0.107694990967062</v>
      </c>
      <c r="G43" s="1"/>
      <c r="H43" s="1"/>
    </row>
    <row r="44" spans="1:8" ht="14.55" customHeight="1" x14ac:dyDescent="0.3">
      <c r="A44" s="1"/>
      <c r="B44" s="471" t="s">
        <v>308</v>
      </c>
      <c r="C44" s="472"/>
      <c r="D44" s="323">
        <f>D38*D43</f>
        <v>3015.5527846254904</v>
      </c>
      <c r="E44" s="323">
        <f>E38*E43</f>
        <v>12359.595778717585</v>
      </c>
      <c r="F44" s="475">
        <f>F38*F43</f>
        <v>36702.452921574732</v>
      </c>
      <c r="G44" s="1"/>
      <c r="H44" s="1"/>
    </row>
    <row r="45" spans="1:8" ht="14.55" customHeight="1" thickBot="1" x14ac:dyDescent="0.35">
      <c r="A45" s="1"/>
      <c r="B45" s="473" t="s">
        <v>309</v>
      </c>
      <c r="C45" s="474"/>
      <c r="D45" s="489">
        <f>D44/12</f>
        <v>251.29606538545752</v>
      </c>
      <c r="E45" s="489">
        <f>E44/12</f>
        <v>1029.966314893132</v>
      </c>
      <c r="F45" s="490">
        <f>F44/12</f>
        <v>3058.5377434645611</v>
      </c>
      <c r="G45" s="1"/>
      <c r="H45" s="1"/>
    </row>
    <row r="46" spans="1:8" ht="14.55" customHeight="1" thickBot="1" x14ac:dyDescent="0.35">
      <c r="A46" s="1"/>
      <c r="B46" s="484" t="s">
        <v>312</v>
      </c>
      <c r="C46" s="485"/>
      <c r="D46" s="486" t="s">
        <v>310</v>
      </c>
      <c r="E46" s="487" t="s">
        <v>311</v>
      </c>
      <c r="F46" s="488" t="s">
        <v>336</v>
      </c>
      <c r="G46" s="467"/>
      <c r="H46" s="467"/>
    </row>
    <row r="47" spans="1:8" ht="9.6" customHeight="1" x14ac:dyDescent="0.3">
      <c r="A47" s="1"/>
      <c r="B47" s="1"/>
      <c r="C47" s="1"/>
      <c r="D47" s="1"/>
      <c r="E47" s="1"/>
      <c r="F47" s="1"/>
      <c r="G47" s="1"/>
      <c r="H47" s="1"/>
    </row>
    <row r="48" spans="1:8" ht="15.6" x14ac:dyDescent="0.3">
      <c r="A48" s="1" t="s">
        <v>335</v>
      </c>
      <c r="B48" s="1"/>
      <c r="C48" s="1"/>
      <c r="D48" s="1"/>
      <c r="E48" s="1"/>
      <c r="F48" s="1"/>
      <c r="G48" s="1"/>
      <c r="H48" s="1"/>
    </row>
    <row r="49" spans="1:8" ht="15.6" x14ac:dyDescent="0.3">
      <c r="A49" s="1" t="s">
        <v>337</v>
      </c>
      <c r="B49" s="1"/>
      <c r="C49" s="1"/>
      <c r="D49" s="1"/>
      <c r="E49" s="1"/>
      <c r="F49" s="1"/>
      <c r="G49" s="1"/>
      <c r="H49" s="1"/>
    </row>
    <row r="50" spans="1:8" ht="9" customHeight="1" x14ac:dyDescent="0.3">
      <c r="A50" s="1"/>
      <c r="B50" s="1"/>
      <c r="C50" s="1"/>
      <c r="D50" s="1"/>
      <c r="E50" s="1"/>
      <c r="F50" s="1"/>
      <c r="G50" s="1"/>
      <c r="H50" s="1"/>
    </row>
    <row r="51" spans="1:8" ht="15.6" x14ac:dyDescent="0.3">
      <c r="A51" s="277" t="s">
        <v>313</v>
      </c>
      <c r="B51" s="1"/>
      <c r="C51" s="1"/>
      <c r="D51" s="1"/>
      <c r="E51" s="1"/>
      <c r="F51" s="1"/>
      <c r="G51" s="1"/>
      <c r="H51" s="1"/>
    </row>
    <row r="52" spans="1:8" ht="15.6" hidden="1" x14ac:dyDescent="0.3">
      <c r="A52" s="1"/>
      <c r="B52" s="1" t="s">
        <v>314</v>
      </c>
      <c r="C52" s="1"/>
      <c r="D52" s="1"/>
      <c r="E52" s="1"/>
      <c r="F52" s="1"/>
      <c r="G52" s="1"/>
      <c r="H52" s="1"/>
    </row>
    <row r="53" spans="1:8" ht="15.6" hidden="1" x14ac:dyDescent="0.3">
      <c r="A53" s="1"/>
      <c r="B53" s="1" t="s">
        <v>315</v>
      </c>
      <c r="C53" s="1"/>
      <c r="D53" s="1"/>
      <c r="E53" s="1"/>
      <c r="F53" s="1"/>
      <c r="G53" s="1"/>
      <c r="H53" s="1"/>
    </row>
    <row r="54" spans="1:8" ht="15.6" x14ac:dyDescent="0.3">
      <c r="A54" s="1"/>
      <c r="B54" s="1"/>
      <c r="C54" s="1"/>
      <c r="D54" s="1"/>
      <c r="E54" s="1"/>
      <c r="F54" s="1"/>
      <c r="G54" s="1"/>
      <c r="H54" s="1"/>
    </row>
    <row r="55" spans="1:8" ht="15.6" x14ac:dyDescent="0.3">
      <c r="A55" s="1"/>
      <c r="B55" s="1" t="s">
        <v>367</v>
      </c>
      <c r="C55" s="1"/>
      <c r="D55" s="1"/>
      <c r="G55" s="1"/>
      <c r="H55" s="1"/>
    </row>
    <row r="56" spans="1:8" ht="16.2" thickBot="1" x14ac:dyDescent="0.35">
      <c r="A56" s="1"/>
      <c r="B56" s="1"/>
      <c r="C56" s="1"/>
      <c r="D56" s="1"/>
      <c r="E56" s="482" t="s">
        <v>311</v>
      </c>
      <c r="F56" s="483" t="s">
        <v>334</v>
      </c>
      <c r="G56" s="1"/>
      <c r="H56" s="1"/>
    </row>
    <row r="57" spans="1:8" ht="15.6" x14ac:dyDescent="0.3">
      <c r="A57" s="1"/>
      <c r="B57" s="1" t="s">
        <v>364</v>
      </c>
      <c r="C57" s="1"/>
      <c r="D57" s="1"/>
      <c r="E57" s="323">
        <f>C25</f>
        <v>340800</v>
      </c>
      <c r="F57" s="475">
        <f>E57</f>
        <v>340800</v>
      </c>
      <c r="G57" s="1"/>
      <c r="H57" s="1"/>
    </row>
    <row r="58" spans="1:8" ht="15.6" x14ac:dyDescent="0.3">
      <c r="B58" s="1" t="s">
        <v>386</v>
      </c>
      <c r="E58" s="347">
        <f>' Épargne nécessaire'!J23</f>
        <v>3.7345525026077062E-2</v>
      </c>
      <c r="F58" s="476">
        <f>E58</f>
        <v>3.7345525026077062E-2</v>
      </c>
    </row>
    <row r="59" spans="1:8" ht="15.6" x14ac:dyDescent="0.3">
      <c r="B59" s="1" t="s">
        <v>385</v>
      </c>
      <c r="E59" s="531">
        <v>15</v>
      </c>
      <c r="F59" s="532">
        <v>7</v>
      </c>
    </row>
    <row r="60" spans="1:8" ht="15.6" x14ac:dyDescent="0.3">
      <c r="B60" s="1" t="s">
        <v>325</v>
      </c>
      <c r="E60" s="535">
        <f>' Épargne nécessaire'!G7</f>
        <v>2.2499999999999999E-2</v>
      </c>
      <c r="F60" s="536">
        <f>E60</f>
        <v>2.2499999999999999E-2</v>
      </c>
    </row>
    <row r="61" spans="1:8" ht="15.6" x14ac:dyDescent="0.3">
      <c r="B61" s="1" t="s">
        <v>306</v>
      </c>
      <c r="E61" s="347">
        <f>((1+E58)/(1+E60))-1</f>
        <v>1.4518850881249046E-2</v>
      </c>
      <c r="F61" s="476">
        <f>((1+F58)/(1+F60))-1</f>
        <v>1.4518850881249046E-2</v>
      </c>
    </row>
    <row r="62" spans="1:8" ht="15.6" x14ac:dyDescent="0.3">
      <c r="B62" s="1" t="s">
        <v>371</v>
      </c>
      <c r="E62" s="533">
        <v>1200</v>
      </c>
      <c r="F62" s="534">
        <v>3000</v>
      </c>
    </row>
    <row r="63" spans="1:8" ht="15.6" x14ac:dyDescent="0.3">
      <c r="B63" s="1" t="s">
        <v>365</v>
      </c>
      <c r="E63" s="530">
        <f>1/(0.53*E61+1/E59)</f>
        <v>13.447790592909321</v>
      </c>
      <c r="F63" s="530">
        <f>1/(0.53*F61+1/F59)</f>
        <v>6.6422173807756826</v>
      </c>
    </row>
    <row r="64" spans="1:8" ht="15.6" x14ac:dyDescent="0.3">
      <c r="B64" s="1" t="s">
        <v>372</v>
      </c>
      <c r="E64" s="323">
        <f>E62*12*E63</f>
        <v>193648.18453789424</v>
      </c>
      <c r="F64" s="323">
        <f>F62*12*F63</f>
        <v>239119.82570792458</v>
      </c>
    </row>
    <row r="65" spans="2:6" ht="16.2" thickBot="1" x14ac:dyDescent="0.35">
      <c r="B65" s="537" t="s">
        <v>366</v>
      </c>
      <c r="C65" s="538"/>
      <c r="D65" s="538"/>
      <c r="E65" s="489">
        <f>E57-E64</f>
        <v>147151.81546210576</v>
      </c>
      <c r="F65" s="489">
        <f>F57-F64</f>
        <v>101680.17429207542</v>
      </c>
    </row>
    <row r="66" spans="2:6" ht="15.6" x14ac:dyDescent="0.3">
      <c r="B66" s="537" t="s">
        <v>368</v>
      </c>
      <c r="C66" s="538"/>
      <c r="D66" s="538"/>
    </row>
    <row r="68" spans="2:6" ht="15.6" x14ac:dyDescent="0.3">
      <c r="B68" s="277" t="s">
        <v>369</v>
      </c>
    </row>
    <row r="69" spans="2:6" ht="15.6" x14ac:dyDescent="0.3">
      <c r="B69" s="1" t="s">
        <v>370</v>
      </c>
    </row>
    <row r="70" spans="2:6" ht="15.6" x14ac:dyDescent="0.3">
      <c r="B70" s="1" t="s">
        <v>373</v>
      </c>
    </row>
    <row r="71" spans="2:6" ht="15.6" x14ac:dyDescent="0.3">
      <c r="B71" s="1" t="s">
        <v>387</v>
      </c>
    </row>
  </sheetData>
  <sheetProtection algorithmName="SHA-512" hashValue="9YwxXhMZIn5g+LEdM5u+ypgqEn+bm7mGqqmbMr1GOQxTfr6xjBY8cLJR84XFNJSe30XVMhgmkX4Ug3kBuf6kVw==" saltValue="JPXw7oYXA1r6Hco7cNJTKA==" spinCount="100000" sheet="1" objects="1" scenarios="1"/>
  <mergeCells count="1">
    <mergeCell ref="A1:G1"/>
  </mergeCells>
  <pageMargins left="0.31496062992125984" right="0.27559055118110237" top="0.55118110236220474" bottom="0.35433070866141736"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A347"/>
  <sheetViews>
    <sheetView topLeftCell="A2" workbookViewId="0">
      <selection activeCell="C228" sqref="C228"/>
    </sheetView>
  </sheetViews>
  <sheetFormatPr baseColWidth="10" defaultRowHeight="14.4" x14ac:dyDescent="0.3"/>
  <cols>
    <col min="1" max="1" width="27" customWidth="1"/>
    <col min="2" max="2" width="12.33203125" bestFit="1" customWidth="1"/>
    <col min="3" max="3" width="12.109375" bestFit="1" customWidth="1"/>
    <col min="6" max="6" width="15.21875" bestFit="1" customWidth="1"/>
    <col min="7" max="7" width="12.44140625" bestFit="1" customWidth="1"/>
    <col min="9" max="9" width="22.77734375" customWidth="1"/>
    <col min="10" max="10" width="13.6640625" customWidth="1"/>
    <col min="11" max="11" width="13.77734375" customWidth="1"/>
    <col min="12" max="12" width="13.109375" customWidth="1"/>
    <col min="13" max="13" width="11.88671875" customWidth="1"/>
    <col min="14" max="14" width="42" customWidth="1"/>
    <col min="15" max="15" width="12.21875" customWidth="1"/>
    <col min="16" max="16" width="10.109375" customWidth="1"/>
    <col min="17" max="17" width="12.77734375" customWidth="1"/>
    <col min="18" max="18" width="17.5546875" customWidth="1"/>
    <col min="19" max="19" width="13.77734375" customWidth="1"/>
    <col min="20" max="20" width="12.6640625" customWidth="1"/>
  </cols>
  <sheetData>
    <row r="1" spans="1:27" x14ac:dyDescent="0.3">
      <c r="A1" s="101"/>
      <c r="B1" s="101"/>
      <c r="C1" s="101"/>
      <c r="D1" s="101"/>
      <c r="E1" s="101"/>
      <c r="F1" s="101"/>
      <c r="G1" s="101"/>
      <c r="H1" s="101"/>
      <c r="I1" s="101"/>
      <c r="J1" s="101"/>
      <c r="K1" s="101"/>
      <c r="L1" s="101"/>
      <c r="M1" s="101"/>
      <c r="N1" s="101"/>
      <c r="O1" s="101"/>
      <c r="P1" s="101"/>
      <c r="Q1" s="101"/>
      <c r="R1" s="101"/>
      <c r="S1" s="101"/>
      <c r="T1" s="101"/>
    </row>
    <row r="2" spans="1:27" x14ac:dyDescent="0.3">
      <c r="A2" s="101"/>
      <c r="B2" s="101"/>
      <c r="C2" s="101"/>
      <c r="D2" s="101"/>
      <c r="E2" s="101"/>
      <c r="F2" s="101"/>
      <c r="G2" s="101"/>
      <c r="H2" s="101"/>
      <c r="I2" s="101"/>
      <c r="J2" s="101"/>
      <c r="K2" s="101"/>
      <c r="L2" s="101"/>
      <c r="M2" s="101"/>
      <c r="N2" s="101"/>
      <c r="O2" s="101"/>
      <c r="P2" s="101"/>
      <c r="Q2" s="101"/>
      <c r="R2" s="101"/>
      <c r="S2" s="101"/>
      <c r="T2" s="101"/>
    </row>
    <row r="3" spans="1:27" ht="16.2" thickBot="1" x14ac:dyDescent="0.35">
      <c r="A3" s="102" t="s">
        <v>0</v>
      </c>
      <c r="B3" s="102"/>
      <c r="C3" s="103"/>
      <c r="D3" s="103"/>
      <c r="E3" s="103"/>
      <c r="F3" s="103"/>
      <c r="G3" s="104"/>
      <c r="H3" s="104"/>
      <c r="I3" s="102" t="s">
        <v>7</v>
      </c>
      <c r="J3" s="103"/>
      <c r="K3" s="103"/>
      <c r="L3" s="103"/>
      <c r="M3" s="103"/>
      <c r="N3" s="104"/>
      <c r="O3" s="104"/>
      <c r="P3" s="101"/>
      <c r="Q3" s="101"/>
      <c r="R3" s="101"/>
      <c r="S3" s="101"/>
      <c r="T3" s="101"/>
    </row>
    <row r="4" spans="1:27" ht="16.8" thickTop="1" thickBot="1" x14ac:dyDescent="0.35">
      <c r="A4" s="614" t="s">
        <v>171</v>
      </c>
      <c r="B4" s="615"/>
      <c r="C4" s="616" t="s">
        <v>1</v>
      </c>
      <c r="D4" s="617"/>
      <c r="E4" s="614" t="s">
        <v>2</v>
      </c>
      <c r="F4" s="617"/>
      <c r="G4" s="104"/>
      <c r="H4" s="104"/>
      <c r="I4" s="618" t="s">
        <v>171</v>
      </c>
      <c r="J4" s="619"/>
      <c r="K4" s="620" t="s">
        <v>1</v>
      </c>
      <c r="L4" s="621"/>
      <c r="M4" s="297"/>
      <c r="N4" s="104"/>
      <c r="O4" s="104"/>
      <c r="P4" s="101"/>
      <c r="Q4" s="101"/>
      <c r="R4" s="101"/>
      <c r="S4" s="101"/>
      <c r="T4" s="101"/>
    </row>
    <row r="5" spans="1:27" ht="16.8" thickTop="1" thickBot="1" x14ac:dyDescent="0.35">
      <c r="A5" s="105" t="s">
        <v>3</v>
      </c>
      <c r="B5" s="106" t="s">
        <v>4</v>
      </c>
      <c r="C5" s="107" t="s">
        <v>5</v>
      </c>
      <c r="D5" s="106" t="s">
        <v>6</v>
      </c>
      <c r="E5" s="108" t="s">
        <v>5</v>
      </c>
      <c r="F5" s="109" t="s">
        <v>6</v>
      </c>
      <c r="G5" s="104" t="s">
        <v>75</v>
      </c>
      <c r="H5" s="104"/>
      <c r="I5" s="110" t="s">
        <v>3</v>
      </c>
      <c r="J5" s="111" t="s">
        <v>4</v>
      </c>
      <c r="K5" s="112" t="s">
        <v>8</v>
      </c>
      <c r="L5" s="111" t="s">
        <v>6</v>
      </c>
      <c r="M5" s="298"/>
      <c r="N5" s="104"/>
      <c r="O5" s="104"/>
      <c r="P5" s="101"/>
      <c r="Q5" s="101"/>
      <c r="R5" s="101"/>
      <c r="S5" s="101"/>
      <c r="T5" s="101"/>
    </row>
    <row r="6" spans="1:27" ht="15.6" x14ac:dyDescent="0.3">
      <c r="A6" s="113">
        <v>0</v>
      </c>
      <c r="B6" s="114">
        <v>49020</v>
      </c>
      <c r="C6" s="115">
        <v>0.15</v>
      </c>
      <c r="D6" s="116"/>
      <c r="E6" s="117">
        <f>C6*83.5%</f>
        <v>0.12525</v>
      </c>
      <c r="F6" s="118"/>
      <c r="G6" s="104">
        <f>'Optimisation retraite'!B9/25%</f>
        <v>37660</v>
      </c>
      <c r="H6" s="104"/>
      <c r="I6" s="119">
        <v>0</v>
      </c>
      <c r="J6" s="120">
        <v>45105</v>
      </c>
      <c r="K6" s="121">
        <v>0.15</v>
      </c>
      <c r="L6" s="122"/>
      <c r="M6" s="103"/>
      <c r="N6" s="104"/>
      <c r="O6" s="104"/>
      <c r="P6" s="101"/>
      <c r="Q6" s="101"/>
      <c r="R6" s="101"/>
      <c r="S6" s="101"/>
      <c r="T6" s="101"/>
    </row>
    <row r="7" spans="1:27" ht="15.6" x14ac:dyDescent="0.3">
      <c r="A7" s="123">
        <f>+B6</f>
        <v>49020</v>
      </c>
      <c r="B7" s="120">
        <v>98040</v>
      </c>
      <c r="C7" s="124">
        <v>0.20499999999999999</v>
      </c>
      <c r="D7" s="122">
        <f>ROUND(B6*C6,0)</f>
        <v>7353</v>
      </c>
      <c r="E7" s="125">
        <f>C7*83.5%</f>
        <v>0.17117499999999999</v>
      </c>
      <c r="F7" s="126">
        <f>ROUND(B6*E6,0)</f>
        <v>6140</v>
      </c>
      <c r="G7" s="104"/>
      <c r="H7" s="104"/>
      <c r="I7" s="119">
        <f>+J6</f>
        <v>45105</v>
      </c>
      <c r="J7" s="120">
        <v>90200</v>
      </c>
      <c r="K7" s="121">
        <v>0.2</v>
      </c>
      <c r="L7" s="127">
        <f>J6*K6</f>
        <v>6765.75</v>
      </c>
      <c r="M7" s="299"/>
      <c r="N7" s="104"/>
      <c r="O7" s="104"/>
      <c r="P7" s="101"/>
      <c r="Q7" s="101"/>
      <c r="R7" s="101"/>
      <c r="S7" s="101"/>
      <c r="T7" s="101"/>
    </row>
    <row r="8" spans="1:27" ht="15.6" x14ac:dyDescent="0.3">
      <c r="A8" s="123">
        <f>+B7</f>
        <v>98040</v>
      </c>
      <c r="B8" s="120">
        <v>151978</v>
      </c>
      <c r="C8" s="124">
        <v>0.26</v>
      </c>
      <c r="D8" s="122">
        <f>ROUND((B6*C6)+((B7-B6)*C7),0)</f>
        <v>17402</v>
      </c>
      <c r="E8" s="125">
        <f>26%*83.5%</f>
        <v>0.21709999999999999</v>
      </c>
      <c r="F8" s="126">
        <f>ROUND((B6*E6)+((B7-B6)*E7),0)</f>
        <v>14531</v>
      </c>
      <c r="G8" s="104"/>
      <c r="H8" s="104"/>
      <c r="I8" s="128">
        <f>J7</f>
        <v>90200</v>
      </c>
      <c r="J8" s="129">
        <v>109755</v>
      </c>
      <c r="K8" s="130">
        <v>0.24</v>
      </c>
      <c r="L8" s="131">
        <f>(J6*K6)+((J7-J6)*K7)</f>
        <v>15784.75</v>
      </c>
      <c r="M8" s="299"/>
      <c r="N8" s="104"/>
      <c r="O8" s="104"/>
      <c r="P8" s="101"/>
      <c r="Q8" s="101"/>
      <c r="R8" s="101"/>
      <c r="S8" s="101"/>
      <c r="T8" s="101"/>
    </row>
    <row r="9" spans="1:27" ht="16.2" thickBot="1" x14ac:dyDescent="0.35">
      <c r="A9" s="132">
        <f>+B8</f>
        <v>151978</v>
      </c>
      <c r="B9" s="241">
        <v>216511</v>
      </c>
      <c r="C9" s="134">
        <v>0.28999999999999998</v>
      </c>
      <c r="D9" s="133">
        <f>ROUND((B6*C6)+((B7-B6)*C7)+((B8-B7)*C8),0)</f>
        <v>31426</v>
      </c>
      <c r="E9" s="135">
        <f>29%*83.5%</f>
        <v>0.24214999999999998</v>
      </c>
      <c r="F9" s="136">
        <f>ROUND((B6*E6)+((B7-B6)*E7)+((B8-B7)*E8),0)</f>
        <v>26241</v>
      </c>
      <c r="G9" s="104"/>
      <c r="H9" s="104"/>
      <c r="I9" s="137">
        <f>+J8</f>
        <v>109755</v>
      </c>
      <c r="J9" s="138"/>
      <c r="K9" s="139">
        <v>0.25750000000000001</v>
      </c>
      <c r="L9" s="140">
        <f>(J6*K6)+((J7-J6)*K7)+((J8-J7)*K8)</f>
        <v>20477.95</v>
      </c>
      <c r="M9" s="299"/>
      <c r="N9" s="104"/>
      <c r="O9" s="104"/>
      <c r="P9" s="101"/>
      <c r="Q9" s="101"/>
      <c r="R9" s="101"/>
      <c r="S9" s="101"/>
      <c r="T9" s="101"/>
    </row>
    <row r="10" spans="1:27" ht="16.2" thickBot="1" x14ac:dyDescent="0.35">
      <c r="A10" s="256">
        <f>+B9</f>
        <v>216511</v>
      </c>
      <c r="B10" s="257"/>
      <c r="C10" s="258">
        <v>0.33</v>
      </c>
      <c r="D10" s="257">
        <f>ROUND((B6*C6)+((B7-B6)*C7)+((B8-B7)*C8)+(B9-A9)*C9,0)</f>
        <v>50141</v>
      </c>
      <c r="E10" s="258">
        <f>C10*83.5%</f>
        <v>0.27555000000000002</v>
      </c>
      <c r="F10" s="259">
        <f>ROUND((B6*E6)+((B7-B6)*E7)+((B8-B7)*E8)+(B9-A9)*E9,0)</f>
        <v>41867</v>
      </c>
      <c r="G10" s="104"/>
      <c r="H10" s="104"/>
      <c r="I10" s="104"/>
      <c r="J10" s="104"/>
      <c r="K10" s="104"/>
      <c r="L10" s="104"/>
      <c r="M10" s="104"/>
      <c r="N10" s="104"/>
      <c r="O10" s="104"/>
      <c r="P10" s="101"/>
      <c r="Q10" s="101"/>
      <c r="R10" s="101"/>
      <c r="S10" s="101"/>
      <c r="T10" s="101"/>
    </row>
    <row r="11" spans="1:27" ht="15.6" x14ac:dyDescent="0.3">
      <c r="A11" s="104"/>
      <c r="B11" s="104"/>
      <c r="C11" s="104"/>
      <c r="D11" s="104"/>
      <c r="E11" s="104">
        <f>A10</f>
        <v>216511</v>
      </c>
      <c r="F11" s="104"/>
      <c r="G11" s="104"/>
      <c r="H11" s="104"/>
      <c r="I11" s="104"/>
      <c r="J11" s="104"/>
      <c r="K11" s="104"/>
      <c r="L11" s="104"/>
      <c r="M11" s="104"/>
      <c r="N11" s="104"/>
      <c r="O11" s="104"/>
      <c r="P11" s="101"/>
      <c r="Q11" s="101"/>
      <c r="R11" s="101"/>
      <c r="S11" s="101"/>
      <c r="T11" s="101" t="s">
        <v>404</v>
      </c>
    </row>
    <row r="12" spans="1:27" ht="15.6" x14ac:dyDescent="0.3">
      <c r="A12" s="141" t="s">
        <v>14</v>
      </c>
      <c r="B12" s="104"/>
      <c r="C12" s="104"/>
      <c r="D12" s="240">
        <v>13808</v>
      </c>
      <c r="E12" s="148">
        <v>12421</v>
      </c>
      <c r="F12" s="239">
        <f>D12-E12</f>
        <v>1387</v>
      </c>
      <c r="G12" s="104"/>
      <c r="H12" s="104"/>
      <c r="I12" s="104"/>
      <c r="J12" s="240">
        <v>15728</v>
      </c>
      <c r="K12" s="142">
        <v>1205</v>
      </c>
      <c r="L12" s="104"/>
      <c r="M12" s="104"/>
      <c r="N12" s="104"/>
      <c r="O12" s="104"/>
      <c r="P12" s="101" t="s">
        <v>362</v>
      </c>
      <c r="Q12" s="101" t="s">
        <v>380</v>
      </c>
      <c r="R12" s="101" t="s">
        <v>381</v>
      </c>
      <c r="S12" s="101" t="s">
        <v>380</v>
      </c>
      <c r="T12" s="101" t="s">
        <v>381</v>
      </c>
      <c r="U12" s="101" t="s">
        <v>380</v>
      </c>
      <c r="V12" s="101" t="s">
        <v>381</v>
      </c>
      <c r="W12" s="101" t="s">
        <v>380</v>
      </c>
      <c r="X12" s="101" t="s">
        <v>381</v>
      </c>
      <c r="Y12" s="101" t="s">
        <v>485</v>
      </c>
      <c r="Z12" s="101" t="s">
        <v>381</v>
      </c>
      <c r="AA12" s="101" t="s">
        <v>380</v>
      </c>
    </row>
    <row r="13" spans="1:27" ht="15.6" x14ac:dyDescent="0.3">
      <c r="A13" s="104"/>
      <c r="B13" s="104"/>
      <c r="C13" s="104"/>
      <c r="D13" s="238">
        <f>IF(B110&lt;A9,D12,IF(B110&gt;A10,E12,IF((B110-A9)/64533*F12&gt;1387,E12,1387-(B110-A9)/64533*F12+E12)))</f>
        <v>13808</v>
      </c>
      <c r="E13" s="238">
        <f>IF(B101&lt;A9,D12,IF(B101&gt;A10,E12,IF((B101-A9)/64533*1387&gt;1387,E12,1387-(B101-A9)/64533*1387+E12)))</f>
        <v>13808</v>
      </c>
      <c r="F13" s="104"/>
      <c r="G13" s="104"/>
      <c r="H13" s="104"/>
      <c r="I13" s="104"/>
      <c r="J13" s="104"/>
      <c r="K13" s="104"/>
      <c r="L13" s="104"/>
      <c r="M13" s="104"/>
      <c r="N13" s="104"/>
      <c r="O13" s="104"/>
      <c r="P13" s="101" t="s">
        <v>361</v>
      </c>
      <c r="Q13" s="101" t="s">
        <v>361</v>
      </c>
      <c r="R13" s="101" t="s">
        <v>383</v>
      </c>
      <c r="S13" s="101" t="s">
        <v>383</v>
      </c>
      <c r="T13" s="101" t="s">
        <v>405</v>
      </c>
      <c r="U13" s="101" t="s">
        <v>405</v>
      </c>
      <c r="V13" s="101" t="s">
        <v>406</v>
      </c>
      <c r="W13" s="101" t="s">
        <v>406</v>
      </c>
      <c r="X13" s="101" t="s">
        <v>484</v>
      </c>
      <c r="Y13" s="101" t="s">
        <v>486</v>
      </c>
      <c r="Z13" s="101" t="s">
        <v>408</v>
      </c>
      <c r="AA13" s="101" t="s">
        <v>409</v>
      </c>
    </row>
    <row r="14" spans="1:27" ht="15.6" x14ac:dyDescent="0.3">
      <c r="A14" s="141" t="s">
        <v>9</v>
      </c>
      <c r="B14" s="104"/>
      <c r="C14" s="104"/>
      <c r="D14" s="104"/>
      <c r="E14" s="104"/>
      <c r="F14" s="104"/>
      <c r="G14" s="104"/>
      <c r="H14" s="104"/>
      <c r="I14" s="104"/>
      <c r="J14" s="104">
        <f>'Optimisation retraite'!B4</f>
        <v>1</v>
      </c>
      <c r="K14" s="104" t="s">
        <v>57</v>
      </c>
      <c r="L14" s="104"/>
      <c r="M14" s="104" t="s">
        <v>243</v>
      </c>
      <c r="N14" s="104" t="s">
        <v>265</v>
      </c>
      <c r="O14" s="104"/>
      <c r="P14" s="101"/>
      <c r="Q14" s="101"/>
      <c r="R14" s="101"/>
      <c r="S14" s="101"/>
      <c r="T14" s="101"/>
    </row>
    <row r="15" spans="1:27" ht="15.6" x14ac:dyDescent="0.3">
      <c r="A15" s="104" t="s">
        <v>172</v>
      </c>
      <c r="B15" s="104"/>
      <c r="C15" s="104">
        <f>IF('Optimal &lt; 65'!B5&gt;64,D15,0)</f>
        <v>0</v>
      </c>
      <c r="D15" s="143">
        <v>7713</v>
      </c>
      <c r="E15" s="104"/>
      <c r="F15" s="104"/>
      <c r="G15" s="104"/>
      <c r="H15" s="104"/>
      <c r="I15" s="104"/>
      <c r="J15" s="104">
        <f>IF(J14=2,J19*2+J21*2,SUM(J19:J21))</f>
        <v>8049</v>
      </c>
      <c r="K15" s="104">
        <f>IF(AND('Optimisation retraite'!B27=0,'Optimisation retraite'!C27=0,'Optimisation retraite'!B4=2),Seuils!J21*2,IF(J14=2,J19*2+J21*2,IF(AND('Optimisation retraite'!B27=0,'Optimisation retraite'!C27=0,'Optimisation retraite'!B4=1),J20+J21,SUM(J19:J21))))</f>
        <v>5110</v>
      </c>
      <c r="L15" s="104">
        <f>J15*15%/15%</f>
        <v>8049</v>
      </c>
      <c r="M15" s="104">
        <f>M19+M20+M21</f>
        <v>4741</v>
      </c>
      <c r="N15" s="104">
        <f>N19+N20+N21</f>
        <v>1802</v>
      </c>
      <c r="O15" s="104"/>
      <c r="P15" s="101">
        <f>IF(AND('Optimal #1'!B27=0,'Optimal #1'!C27=0,'Optimal #1'!B4=2),Seuils!J21*2,IF(J14=2,J19*2+J21*2,IF(AND('Optimal #1'!B27=0,'Optimal #1'!C27=0,'Optimal #1'!B4=1),J20+J21,SUM(J19:J21))))</f>
        <v>5110</v>
      </c>
      <c r="Q15" s="101">
        <f>IF(AND('Optimal #1'!B27=0,'Optimal #1'!C27=0,'Optimal #1'!B4=2),Seuils!J21*2,IF(J14=2,J19*2+J21*2,IF(AND('Optimal #1'!B27=0,'Optimal #1'!C27=0,'Optimal #1'!B4=1),J20+J21,SUM(J19:J21))))</f>
        <v>5110</v>
      </c>
      <c r="R15" s="101">
        <f>IF(AND('55-60'!B27=0,'55-60'!C27=0,'55-60'!B4=2),Seuils!J21*2,IF(AND(J14=2,'55-60'!D7&gt;=65),J19*2+J21,IF(AND('55-60'!B27=0,'55-60'!C27=0,'55-60'!B4=1),J20+J21,SUM(J19:J21))))</f>
        <v>5110</v>
      </c>
      <c r="S15" s="101">
        <f>R15</f>
        <v>5110</v>
      </c>
      <c r="T15" s="101">
        <f>IF(AND('conj #1 60-65 &amp; # 2 60-65'!B15&gt;Seuils!J19,'conj #1 60-65 &amp; # 2 60-65'!C15&gt;Seuils!J19),J19*2,IF(OR('conj #1 60-65 &amp; # 2 60-65'!B15&gt;Seuils!J19,'conj #1 60-65 &amp; # 2 60-65'!C15&gt;Seuils!J19),Seuils!J19,0))</f>
        <v>0</v>
      </c>
      <c r="U15">
        <f>J19*2</f>
        <v>5878</v>
      </c>
      <c r="V15" s="101">
        <f>IF(AND('conj #1 60-65 &amp; # 2 55-60'!B15&gt;Seuils!J19,'conj #1 60-65 &amp; # 2 55-60'!C15&gt;Seuils!J19),J19*2,IF(OR('conj #1 60-65 &amp; # 2 55-60'!B15&gt;Seuils!J19,'conj #1 60-65 &amp; # 2 55-60'!C15&gt;Seuils!J19),Seuils!J19,0))</f>
        <v>0</v>
      </c>
      <c r="W15">
        <f>$J$19*2</f>
        <v>5878</v>
      </c>
      <c r="X15">
        <f>IF(AND('2 X &lt; 60'!B15&gt;Seuils!J19,'2 X &lt; 60'!C15&gt;Seuils!J19),J19*2,IF(OR('2 X &lt; 60'!B15&gt;Seuils!J19,'2 X &lt; 60'!C15&gt;Seuils!J19),Seuils!J19,0))</f>
        <v>0</v>
      </c>
      <c r="Y15">
        <f>$J$19*2</f>
        <v>5878</v>
      </c>
      <c r="Z15">
        <f>IF(AND('Optimal actuel'!B15&gt;Seuils!J19,'Optimal actuel'!C15&gt;Seuils!J19),J19*2,IF(OR('Optimal actuel'!B15&gt;Seuils!J19,'Optimal actuel'!C15&gt;Seuils!J19),Seuils!J19,0))</f>
        <v>0</v>
      </c>
      <c r="AA15">
        <f>J19*2</f>
        <v>5878</v>
      </c>
    </row>
    <row r="16" spans="1:27" ht="15.6" x14ac:dyDescent="0.3">
      <c r="A16" s="104" t="s">
        <v>173</v>
      </c>
      <c r="B16" s="104"/>
      <c r="C16" s="260">
        <f>IF('Optimisation retraite'!B4=2,C17+D12+D15+D19,Seuils!C17)</f>
        <v>24430.097087378639</v>
      </c>
      <c r="D16" s="143">
        <v>38893</v>
      </c>
      <c r="E16" s="104"/>
      <c r="F16" s="104"/>
      <c r="G16" s="104"/>
      <c r="H16" s="104"/>
      <c r="I16" s="104">
        <f>IF(J14=2,(J12*2+J15+Seuils!J16*18.75%+('Optimisation retraite'!D10+P40)*20%/Seuils!K6)/(1+18.75%+20%/Seuils!K6*3%),(J12+K15+Seuils!J16*18.75%+('Optimisation retraite'!D10+O40)*20%/Seuils!K6/(1+18.75%+20%/Seuils!K6*3%)))</f>
        <v>29346.244653767822</v>
      </c>
      <c r="J16" s="145">
        <v>35650</v>
      </c>
      <c r="K16" s="104">
        <f>IF('Optimisation retraite'!C29+'Optimisation retraite'!B26+'Optimisation retraite'!C26&lt;Seuils!J16,0,'Optimisation retraite'!C29+'Optimisation retraite'!C26+'Optimisation retraite'!B26-Seuils!J16)</f>
        <v>0</v>
      </c>
      <c r="L16" s="101"/>
      <c r="M16" s="101">
        <f>IF('Optimal &lt; 65'!E28+'Optimal &lt; 65'!D25+'Optimal &lt; 65'!E25&lt;Seuils!J16,0,'Optimal &lt; 65'!E28+'Optimal &lt; 65'!D25+'Optimal &lt; 65'!E25-Seuils!J16)</f>
        <v>4019.8399999999965</v>
      </c>
      <c r="N16" s="101">
        <f>IF('Optimal &lt; 65'!C28+'Optimal &lt; 65'!B25+'Optimal &lt; 65'!C25&lt;Seuils!J16,0,'Optimal &lt; 65'!C28+'Optimal &lt; 65'!B25+'Optimal &lt; 65'!C25-Seuils!J16)</f>
        <v>0</v>
      </c>
      <c r="O16" s="104">
        <f>IF('Optimal &lt; 65'!C28+'Optimal &lt; 65'!B25+'Optimal &lt; 65'!C25&lt;Seuils!J16,0,'Optimal &lt; 65'!C28+'Optimal &lt; 65'!B25+'Optimal &lt; 65'!C25-Seuils!J16)</f>
        <v>0</v>
      </c>
      <c r="P16" s="101">
        <f>IF('Optimal #1'!C29+'Optimal #1'!B26+'Optimal #1'!C26&lt;Seuils!J16,0,'Optimal #1'!C29+'Optimal #1'!B26+'Optimal #1'!C26-Seuils!J16)</f>
        <v>0</v>
      </c>
      <c r="Q16" s="101">
        <f>IF('Optimal #1'!E29+'Optimal #1'!D26+'Optimal #1'!E26&lt;Seuils!J16,0,'Optimal #1'!E29+'Optimal #1'!D26+'Optimal #1'!E26-Seuils!J16)</f>
        <v>4019.8399999999965</v>
      </c>
      <c r="R16" s="101">
        <f>IF('55-60'!C29+'55-60'!B26+'55-60'!C26&lt;Seuils!J16,0,'55-60'!C29+'55-60'!B26+'55-60'!C26-Seuils!J16)</f>
        <v>0</v>
      </c>
      <c r="S16" s="101">
        <f>IF('55-60'!E29+'55-60'!D26+'55-60'!E26&lt;Seuils!J16,0,'55-60'!E29+'55-60'!D26+'55-60'!E26-Seuils!J16)</f>
        <v>4019.8399999999965</v>
      </c>
      <c r="T16" s="101">
        <f>IF('conj #1 60-65 &amp; # 2 60-65'!B26+'conj #1 60-65 &amp; # 2 60-65'!C26&lt;Seuils!J16,0,'conj #1 60-65 &amp; # 2 60-65'!B26+'conj #1 60-65 &amp; # 2 60-65'!C26-Seuils!J16)</f>
        <v>0</v>
      </c>
      <c r="U16">
        <f>IF('conj #1 60-65 &amp; # 2 60-65'!D26+'conj #1 60-65 &amp; # 2 60-65'!E26&lt;Seuils!J16,0,'conj #1 60-65 &amp; # 2 60-65'!D26+'conj #1 60-65 &amp; # 2 60-65'!E26-Seuils!J16)</f>
        <v>4019.8399999999965</v>
      </c>
      <c r="V16">
        <f>IF('conj #1 60-65 &amp; # 2 55-60'!B26+'conj #1 60-65 &amp; # 2 55-60'!C26&lt;Seuils!J16,0,'conj #1 60-65 &amp; # 2 55-60'!B26+'conj #1 60-65 &amp; # 2 55-60'!C26-Seuils!J16)</f>
        <v>0</v>
      </c>
      <c r="W16">
        <f>IF('conj #1 60-65 &amp; # 2 55-60'!D26+'conj #1 60-65 &amp; # 2 55-60'!E26&lt;Seuils!J16,0,'conj #1 60-65 &amp; # 2 55-60'!D26+'conj #1 60-65 &amp; # 2 55-60'!E26-Seuils!J16)</f>
        <v>1273.4499999999971</v>
      </c>
      <c r="X16">
        <f>IF('2 X &lt; 60'!B26+'2 X &lt; 60'!C26&lt;Seuils!J16,0,'2 X &lt; 60'!B26+'2 X &lt; 60'!C26-Seuils!J16)</f>
        <v>0</v>
      </c>
      <c r="Y16">
        <f>IF('2 X &lt; 60'!D26+'2 X &lt; 60'!E26&lt;Seuils!J16,0,'2 X &lt; 60'!D26+'2 X &lt; 60'!E26-Seuils!J16)</f>
        <v>1273.4499999999971</v>
      </c>
      <c r="Z16">
        <f>IF('Optimal actuel'!B25+'Optimal actuel'!C25&lt;Seuils!J16,0,'Optimal actuel'!B25+'Optimal actuel'!C25-Seuils!J16)</f>
        <v>0</v>
      </c>
      <c r="AA16">
        <f>IF('Optimal actuel'!D25+'Optimal actuel'!E25&lt;Seuils!J16,0,'Optimal actuel'!D25+'Optimal actuel'!E25-Seuils!J16)</f>
        <v>4019.8399999999965</v>
      </c>
    </row>
    <row r="17" spans="1:27" ht="16.2" thickBot="1" x14ac:dyDescent="0.35">
      <c r="A17" s="104" t="s">
        <v>10</v>
      </c>
      <c r="B17" s="144">
        <f>(D12+C15+C19+C23)/1.03</f>
        <v>15000</v>
      </c>
      <c r="C17" s="260">
        <f>B77</f>
        <v>24430.097087378639</v>
      </c>
      <c r="D17" s="146">
        <f>(D15+(D16*15%))/15%</f>
        <v>90313.000000000015</v>
      </c>
      <c r="E17" s="104"/>
      <c r="F17" s="104"/>
      <c r="G17" s="104"/>
      <c r="H17" s="104"/>
      <c r="I17" s="104"/>
      <c r="J17" s="147">
        <f>(J16*18.75%+J15)/18.75%</f>
        <v>78578</v>
      </c>
      <c r="K17" s="104">
        <f>K16*18.75%</f>
        <v>0</v>
      </c>
      <c r="L17" s="101">
        <f>(J16*18.75%+M15)/18.75%</f>
        <v>60935.333333333336</v>
      </c>
      <c r="M17" s="104">
        <f>M16*18.75%</f>
        <v>753.71999999999935</v>
      </c>
      <c r="N17" s="104">
        <f>N16*18.75%</f>
        <v>0</v>
      </c>
      <c r="O17" s="104"/>
      <c r="P17" s="104">
        <f>P16*18.75%</f>
        <v>0</v>
      </c>
      <c r="Q17" s="101">
        <f>Q16*18.75%</f>
        <v>753.71999999999935</v>
      </c>
      <c r="R17" s="104">
        <f>R16*18.75%</f>
        <v>0</v>
      </c>
      <c r="S17" s="104">
        <f>S16*18.75%</f>
        <v>753.71999999999935</v>
      </c>
      <c r="T17" s="104">
        <f t="shared" ref="T17:AA17" si="0">T16*18.75%</f>
        <v>0</v>
      </c>
      <c r="U17" s="104">
        <f t="shared" si="0"/>
        <v>753.71999999999935</v>
      </c>
      <c r="V17" s="104">
        <f t="shared" si="0"/>
        <v>0</v>
      </c>
      <c r="W17" s="104">
        <f t="shared" si="0"/>
        <v>238.77187499999945</v>
      </c>
      <c r="X17" s="104">
        <f t="shared" ref="X17:Y17" si="1">X16*18.75%</f>
        <v>0</v>
      </c>
      <c r="Y17" s="104">
        <f t="shared" si="1"/>
        <v>238.77187499999945</v>
      </c>
      <c r="Z17" s="104">
        <f t="shared" si="0"/>
        <v>0</v>
      </c>
      <c r="AA17" s="104">
        <f t="shared" si="0"/>
        <v>753.71999999999935</v>
      </c>
    </row>
    <row r="18" spans="1:27" ht="16.2" thickBot="1" x14ac:dyDescent="0.35">
      <c r="A18" s="104"/>
      <c r="B18" s="144">
        <f>(D12+C124+C19+C23)/1.03</f>
        <v>15000</v>
      </c>
      <c r="C18" s="144">
        <f>(D12+C133+C19+C23)/1.03</f>
        <v>15000</v>
      </c>
      <c r="D18" s="104"/>
      <c r="E18" s="516">
        <f>15%*E6</f>
        <v>1.8787499999999999E-2</v>
      </c>
      <c r="F18" s="516">
        <f>E18+I18*(1-G18)</f>
        <v>3.0793788727636974E-2</v>
      </c>
      <c r="G18" s="517">
        <f>IF(A101&lt;J6,K6+E6,IF(A101&lt;B6,E6+K7,IF(A101&lt;J7,E7+K7,IF(A101&lt;B7,E8+K7,IF(A101&lt;J8,E8+K8,IF(A101&lt;B8,E8+K9,IF(A101&gt;A10,E10+K9,E9+K9)))))))</f>
        <v>0.27524999999999999</v>
      </c>
      <c r="H18" s="104"/>
      <c r="I18" s="516">
        <f>18.75%*K6*(M15/L15)</f>
        <v>1.6566110696980992E-2</v>
      </c>
      <c r="J18" s="104"/>
      <c r="K18" s="104">
        <f>IF(K15-K17&lt;0,0,K15-K17)</f>
        <v>5110</v>
      </c>
      <c r="L18" s="515">
        <f>IF('Optimisation retraite'!E29&gt;Seuils!J17,0,J15-('Optimisation retraite'!E29-Seuils!J16)*18.75%)</f>
        <v>8170.875</v>
      </c>
      <c r="M18" s="514">
        <f>IF(M15-M17&lt;0,0,M15-M17)</f>
        <v>3987.2800000000007</v>
      </c>
      <c r="N18" s="104">
        <f>IF(N15-N17&lt;0,0,N15-N17)</f>
        <v>1802</v>
      </c>
      <c r="O18" s="104"/>
      <c r="P18" s="104">
        <f>IF(P15-P17&lt;0,0,P15-P17)</f>
        <v>5110</v>
      </c>
      <c r="Q18" s="104">
        <f>IF(Q15-Q17&lt;0,0,Q15-Q17)</f>
        <v>4356.2800000000007</v>
      </c>
      <c r="R18" s="104">
        <f>IF(R15-R17&lt;0,0,R15-R17)</f>
        <v>5110</v>
      </c>
      <c r="S18" s="104">
        <f>IF(S15-S17&lt;0,0,S15-S17)</f>
        <v>4356.2800000000007</v>
      </c>
      <c r="T18" s="104">
        <f t="shared" ref="T18:AA18" si="2">IF(T15-T17&lt;0,0,T15-T17)</f>
        <v>0</v>
      </c>
      <c r="U18" s="104">
        <f t="shared" si="2"/>
        <v>5124.2800000000007</v>
      </c>
      <c r="V18" s="104">
        <f t="shared" si="2"/>
        <v>0</v>
      </c>
      <c r="W18" s="104">
        <f t="shared" si="2"/>
        <v>5639.2281250000005</v>
      </c>
      <c r="X18" s="104">
        <f t="shared" ref="X18:Y18" si="3">IF(X15-X17&lt;0,0,X15-X17)</f>
        <v>0</v>
      </c>
      <c r="Y18" s="104">
        <f t="shared" si="3"/>
        <v>5639.2281250000005</v>
      </c>
      <c r="Z18" s="104">
        <f t="shared" si="2"/>
        <v>0</v>
      </c>
      <c r="AA18" s="104">
        <f t="shared" si="2"/>
        <v>5124.2800000000007</v>
      </c>
    </row>
    <row r="19" spans="1:27" ht="15.6" x14ac:dyDescent="0.3">
      <c r="A19" s="104" t="s">
        <v>11</v>
      </c>
      <c r="B19" s="144">
        <f>(D12+C19+C23)/1.03</f>
        <v>15000</v>
      </c>
      <c r="C19" s="104">
        <f>IF(AND('Optimal &lt; 65'!B5&lt;65,'Optimal &lt; 65'!B15+'Optimal &lt; 65'!C15=0),0,IF('Optimal &lt; 65'!B15+'Optimal &lt; 65'!C15&gt;4000,2000,0))</f>
        <v>0</v>
      </c>
      <c r="D19" s="104">
        <v>2000</v>
      </c>
      <c r="E19" s="104"/>
      <c r="F19" s="104"/>
      <c r="G19" s="104"/>
      <c r="H19" s="104"/>
      <c r="I19" s="104"/>
      <c r="J19" s="148">
        <v>2939</v>
      </c>
      <c r="K19" s="104"/>
      <c r="L19" s="104"/>
      <c r="M19" s="104">
        <f>IF(AND('Optimal &lt; 65'!D26+'Optimal &lt; 65'!E26&gt;Seuils!J19,'Optimal &lt; 65'!B4=2),Seuils!J19*2,IF('Optimal &lt; 65'!B13&gt;Seuils!J19,Seuils!J19))</f>
        <v>2939</v>
      </c>
      <c r="N19" s="104">
        <f>IF(AND('Optimal &lt; 65'!B26+'Optimal &lt; 65'!C26&gt;Seuils!J19,'Optimal &lt; 65'!B4=2),Seuils!J19*2,IF('Optimal &lt; 65'!B26&gt;Seuils!J19,Seuils!J19,0))</f>
        <v>0</v>
      </c>
      <c r="O19" s="104"/>
      <c r="P19" s="101"/>
      <c r="Q19" s="101"/>
      <c r="R19" s="101"/>
      <c r="S19" s="101"/>
      <c r="T19" s="101"/>
    </row>
    <row r="20" spans="1:27" ht="15.6" x14ac:dyDescent="0.3">
      <c r="A20" s="104" t="s">
        <v>12</v>
      </c>
      <c r="B20" s="104"/>
      <c r="C20" s="104"/>
      <c r="D20" s="104"/>
      <c r="E20" s="104"/>
      <c r="F20" s="104"/>
      <c r="G20" s="104"/>
      <c r="H20" s="104"/>
      <c r="I20" s="104"/>
      <c r="J20" s="145">
        <v>1802</v>
      </c>
      <c r="K20" s="104"/>
      <c r="L20" s="104"/>
      <c r="M20" s="104">
        <f>IF('Optimal &lt; 65'!B4=2,0,Seuils!J20)</f>
        <v>1802</v>
      </c>
      <c r="N20" s="104">
        <f>IF('Optimal &lt; 65'!B4=2,0,Seuils!J20)</f>
        <v>1802</v>
      </c>
      <c r="O20" s="104">
        <f>'Optimisation retraite'!C29+'Optimisation retraite'!B26+'Optimisation retraite'!C26-Seuils!$Q$32</f>
        <v>5026.2099999999991</v>
      </c>
      <c r="P20" s="101"/>
      <c r="Q20" s="101"/>
      <c r="R20" s="101"/>
      <c r="S20" s="101"/>
      <c r="T20" s="101"/>
    </row>
    <row r="21" spans="1:27" ht="15.6" x14ac:dyDescent="0.3">
      <c r="A21" s="104" t="s">
        <v>13</v>
      </c>
      <c r="B21" s="104"/>
      <c r="C21" s="104"/>
      <c r="D21" s="148">
        <v>7713</v>
      </c>
      <c r="E21" s="104"/>
      <c r="F21" s="104"/>
      <c r="G21" s="104"/>
      <c r="H21" s="104"/>
      <c r="I21" s="104"/>
      <c r="J21" s="148">
        <v>3308</v>
      </c>
      <c r="K21" s="104"/>
      <c r="L21" s="104"/>
      <c r="M21" s="238">
        <f>IF(AND('Optimal &lt; 65'!B7&lt;65,'Optimal &lt; 65'!C7&lt;65),0,IF(OR('Optimal &lt; 65'!B7&gt;64,'Optimal &lt; 65'!C7&gt;64),Seuils!J21))</f>
        <v>0</v>
      </c>
      <c r="N21" s="238">
        <f>IF(AND('Optimal &lt; 65'!B7&lt;65,'Optimal &lt; 65'!C7&lt;65),0,IF(OR('Optimal &lt; 65'!B7&gt;64,'Optimal &lt; 65'!C7&gt;64),Seuils!J21))</f>
        <v>0</v>
      </c>
      <c r="O21" s="104"/>
      <c r="P21" s="101"/>
      <c r="Q21" s="101"/>
      <c r="R21" s="101"/>
      <c r="S21" s="101"/>
      <c r="T21" s="101"/>
    </row>
    <row r="22" spans="1:27" ht="15.6" x14ac:dyDescent="0.3">
      <c r="A22" s="104"/>
      <c r="B22" s="104"/>
      <c r="C22" s="1" t="s">
        <v>243</v>
      </c>
      <c r="D22" s="1" t="s">
        <v>244</v>
      </c>
      <c r="E22" s="104"/>
      <c r="F22" s="104"/>
      <c r="G22" s="104"/>
      <c r="H22" s="104"/>
      <c r="I22" s="104"/>
      <c r="J22" s="104" t="s">
        <v>248</v>
      </c>
      <c r="K22" s="104"/>
      <c r="L22" s="104"/>
      <c r="M22" s="104"/>
      <c r="N22" s="104"/>
      <c r="O22" s="104"/>
      <c r="P22" s="101" t="s">
        <v>361</v>
      </c>
      <c r="Q22" s="101"/>
    </row>
    <row r="23" spans="1:27" ht="15.6" x14ac:dyDescent="0.3">
      <c r="A23" s="104" t="s">
        <v>17</v>
      </c>
      <c r="B23" s="104"/>
      <c r="C23" s="104">
        <f>'Optimal &lt; 65'!D11+'Optimal &lt; 65'!D12</f>
        <v>1642</v>
      </c>
      <c r="D23" s="104">
        <f>'Optimisation retraite'!D10+'Optimisation retraite'!D11</f>
        <v>1642</v>
      </c>
      <c r="E23" s="148">
        <v>2421</v>
      </c>
      <c r="F23" s="104"/>
      <c r="G23" s="104"/>
      <c r="H23" s="104"/>
      <c r="I23" s="104"/>
      <c r="J23" s="4">
        <f>'Optimal &lt; 65'!D11+Seuils!J28</f>
        <v>1000</v>
      </c>
      <c r="K23" s="149">
        <f>'Optimisation retraite'!$D$10+Seuils!K28</f>
        <v>1335.118379</v>
      </c>
      <c r="L23" s="149">
        <f>'Optimisation retraite'!$D$10+Seuils!L28</f>
        <v>1679.1</v>
      </c>
      <c r="M23" s="149"/>
      <c r="P23" s="166">
        <f>'Optimal #1'!$D$10+Seuils!P28</f>
        <v>1335.118379</v>
      </c>
      <c r="Q23" s="166">
        <f>'Optimal #1'!$D$10+Seuils!Q28</f>
        <v>1679.1</v>
      </c>
      <c r="R23" s="166">
        <f>P23</f>
        <v>1335.118379</v>
      </c>
      <c r="S23" s="4">
        <f>P23</f>
        <v>1335.118379</v>
      </c>
      <c r="T23" s="4">
        <f>'conj #1 60-65 &amp; # 2 60-65'!D11+Seuils!T28</f>
        <v>1000</v>
      </c>
      <c r="U23" s="2">
        <f>P23</f>
        <v>1335.118379</v>
      </c>
      <c r="V23" s="4">
        <f>'conj #1 60-65 &amp; # 2 55-60'!D11+Seuils!V28</f>
        <v>1000</v>
      </c>
      <c r="W23" s="4">
        <f>P23</f>
        <v>1335.118379</v>
      </c>
      <c r="X23" s="4">
        <f>'2 X &lt; 60'!D11+Seuils!X28</f>
        <v>1000</v>
      </c>
      <c r="Y23" s="4">
        <f>P23</f>
        <v>1335.118379</v>
      </c>
      <c r="Z23" s="4">
        <f>'Optimal actuel'!D11+Seuils!Z28</f>
        <v>1000</v>
      </c>
      <c r="AA23" s="4">
        <f>P23</f>
        <v>1335.118379</v>
      </c>
    </row>
    <row r="24" spans="1:27" ht="15.6" x14ac:dyDescent="0.3">
      <c r="A24" s="104" t="s">
        <v>15</v>
      </c>
      <c r="B24" s="104"/>
      <c r="C24" s="104">
        <f>C125</f>
        <v>451.90480000000025</v>
      </c>
      <c r="D24" s="104">
        <f>C116</f>
        <v>991.41370000000006</v>
      </c>
      <c r="E24" s="104">
        <f>C107</f>
        <v>592</v>
      </c>
      <c r="F24" s="104"/>
      <c r="G24" s="104"/>
      <c r="H24" s="104"/>
      <c r="I24" s="104"/>
      <c r="J24" s="104">
        <f>IF(K23&lt;('Optimal &lt; 65'!C28+'Optimal &lt; 65'!C25+'Optimal &lt; 65'!B25)*3%,0,K23-('Optimal &lt; 65'!C28+'Optimal &lt; 65'!B25+'Optimal &lt; 65'!C25)*3%)</f>
        <v>1335.118379</v>
      </c>
      <c r="K24" s="104">
        <f>IF(K23&lt;('Optimisation retraite'!C29+'Optimisation retraite'!C26+'Optimisation retraite'!B26-'Optimisation retraite'!B47)*3%,0,K23-('Optimisation retraite'!C29+'Optimisation retraite'!C26+'Optimisation retraite'!B26-'Optimisation retraite'!B47)*3%)</f>
        <v>684.53207900000007</v>
      </c>
      <c r="L24" s="104">
        <f>IF(('Optimisation retraite'!E29+'Optimisation retraite'!E26+'Optimisation retraite'!D26-'Optimisation retraite'!D47)*3%&gt;L23,0,L23-('Optimisation retraite'!E29+'Optimisation retraite'!E26+'Optimisation retraite'!D26-'Optimisation retraite'!D47)*3%)</f>
        <v>629.09999999999991</v>
      </c>
      <c r="M24" s="104"/>
      <c r="P24" s="101">
        <f>IF(P23&lt;('Optimal #1'!C29+'Optimal #1'!B26+'Optimal #1'!C26-'Optimal #1'!B47)*3%,0,P23-('Optimal #1'!C29+'Optimal #1'!B26+'Optimal #1'!C26-'Optimal #1'!B47)*3%)</f>
        <v>684.53207900000007</v>
      </c>
      <c r="Q24" s="150">
        <f>IF(Q23&lt;('Optimal #1'!E29+'Optimal #1'!D26+'Optimal #1'!E26-'Optimal #1'!D47)*3%,0,Q23-('Optimal #1'!E29+'Optimal #1'!D26+'Optimal #1'!E26-'Optimal #1'!B47)*3%)</f>
        <v>489.00480000000016</v>
      </c>
      <c r="R24" s="101">
        <f>IF(P23&lt;('55-60'!C29+'55-60'!B26+'55-60'!C26-'55-60'!B47)*3%,0,P23-('55-60'!C29+'55-60'!B26+'55-60'!C26)*3%)</f>
        <v>1335.118379</v>
      </c>
      <c r="S24">
        <f>IF(Q23&lt;('55-60'!E29+'55-60'!D26+'55-60'!E26-'55-60'!D47)*3%,0,Q23-('55-60'!E29+'55-60'!D26+'55-60'!E26-'55-60'!D47)*3%)</f>
        <v>489.00480000000016</v>
      </c>
      <c r="T24">
        <f>IF(T23&lt;('conj #1 60-65 &amp; # 2 60-65'!C28+'conj #1 60-65 &amp; # 2 60-65'!B25+'conj #1 60-65 &amp; # 2 60-65'!C25)*3%,0,T23-('conj #1 60-65 &amp; # 2 60-65'!C28+'conj #1 60-65 &amp; # 2 60-65'!B25+'conj #1 60-65 &amp; # 2 60-65'!C25)*3%)</f>
        <v>1000</v>
      </c>
      <c r="U24" s="2">
        <f>IF(Q23&lt;('conj #1 60-65 &amp; # 2 60-65'!E28+'conj #1 60-65 &amp; # 2 60-65'!D25+'conj #1 60-65 &amp; # 2 60-65'!E25)*3%,0,Q23-('conj #1 60-65 &amp; # 2 60-65'!E28+'conj #1 60-65 &amp; # 2 60-65'!D25+'conj #1 60-65 &amp; # 2 60-65'!E25)*3%)</f>
        <v>489.00480000000016</v>
      </c>
      <c r="V24">
        <f>IF(V23&lt;('conj #1 60-65 &amp; # 2 55-60'!C28+'conj #1 60-65 &amp; # 2 55-60'!B25+'conj #1 60-65 &amp; # 2 55-60'!C25)*3%,0,V23-('conj #1 60-65 &amp; # 2 55-60'!C28+'conj #1 60-65 &amp; # 2 55-60'!B25+'conj #1 60-65 &amp; # 2 55-60'!C25)*3%)</f>
        <v>1000</v>
      </c>
      <c r="W24">
        <f>IF(W23&lt;('conj #1 60-65 &amp; # 2 55-60'!E28+'conj #1 60-65 &amp; # 2 55-60'!D25+'conj #1 60-65 &amp; # 2 55-60'!E25)*3%,0,W23-('conj #1 60-65 &amp; # 2 55-60'!E28+'conj #1 60-65 &amp; # 2 55-60'!D25+'conj #1 60-65 &amp; # 2 55-60'!E25)*3%)</f>
        <v>227.41487900000016</v>
      </c>
      <c r="X24">
        <f>IF(X23&lt;('2 X &lt; 60'!C28+'2 X &lt; 60'!B25+'2 X &lt; 60'!C25)*3%,0,X23-('2 X &lt; 60'!C28+'2 X &lt; 60'!B25+'2 X &lt; 60'!C25)*3%)</f>
        <v>669.77559999999994</v>
      </c>
      <c r="Y24">
        <f>IF(Q23&lt;('conj #1 60-65 &amp; # 2 55-60'!E28+'conj #1 60-65 &amp; # 2 55-60'!D25+'conj #1 60-65 &amp; # 2 55-60'!E25)*3%,0,Q23-('conj #1 60-65 &amp; # 2 55-60'!E28+'conj #1 60-65 &amp; # 2 55-60'!D25+'conj #1 60-65 &amp; # 2 55-60'!E25)*3%)</f>
        <v>571.39650000000006</v>
      </c>
      <c r="Z24">
        <f>IF(P23&lt;('Optimal actuel'!C27+'Optimal actuel'!B24+'Optimal actuel'!C24)*3%,0,P23-('Optimal actuel'!C27+'Optimal actuel'!B24+'Optimal actuel'!C24)*3%)</f>
        <v>1335.118379</v>
      </c>
      <c r="AA24">
        <f>IF(Q23&lt;('Optimal actuel'!E27+'Optimal actuel'!D24+'Optimal actuel'!E24)*3%,0,Q23-('Optimal actuel'!E27+'Optimal actuel'!D24+'Optimal actuel'!E24)*3%)</f>
        <v>489.00480000000016</v>
      </c>
    </row>
    <row r="25" spans="1:27" ht="15.6" x14ac:dyDescent="0.3">
      <c r="A25" s="104" t="s">
        <v>16</v>
      </c>
      <c r="B25" s="104"/>
      <c r="C25" s="104"/>
      <c r="D25" s="104">
        <f>IF(J14=1,0,C110)</f>
        <v>0</v>
      </c>
      <c r="E25" s="104">
        <f>IF(J14=1,0,C101)</f>
        <v>0</v>
      </c>
      <c r="F25" s="104"/>
      <c r="G25" s="104">
        <f>(Seuils!D12+Seuils!D23)/1.03</f>
        <v>15000</v>
      </c>
      <c r="H25" s="104"/>
      <c r="I25" s="104"/>
      <c r="J25" s="104">
        <f>IF(K23&lt;('Optimal &lt; 65'!E28+'Optimal &lt; 65'!D25+'Optimal &lt; 65'!E25)*3%,0,K23-('Optimal &lt; 65'!E28+'Optimal &lt; 65'!D25+'Optimal &lt; 65'!E25)*3%)</f>
        <v>145.02317900000025</v>
      </c>
      <c r="K25" s="104">
        <f>K24*16%/16%</f>
        <v>684.53207900000007</v>
      </c>
      <c r="L25" s="104"/>
      <c r="M25" s="104"/>
      <c r="P25" s="101"/>
      <c r="Q25" s="150"/>
      <c r="R25" s="101"/>
      <c r="U25" s="2"/>
    </row>
    <row r="26" spans="1:27" ht="15.6" x14ac:dyDescent="0.3">
      <c r="A26" s="104"/>
      <c r="B26" s="104"/>
      <c r="C26" s="104"/>
      <c r="D26" s="104">
        <f>IF($J$14=2,F26,E26)</f>
        <v>9987.48</v>
      </c>
      <c r="E26" s="148">
        <v>9987.48</v>
      </c>
      <c r="F26" s="148">
        <v>11176.32</v>
      </c>
      <c r="G26" s="104"/>
      <c r="H26" s="104"/>
      <c r="I26" s="104"/>
      <c r="J26" s="104"/>
      <c r="K26" s="104" t="s">
        <v>57</v>
      </c>
      <c r="L26" s="104" t="s">
        <v>42</v>
      </c>
      <c r="M26" s="104"/>
      <c r="P26" s="101"/>
      <c r="Q26" s="150"/>
      <c r="R26" s="101"/>
      <c r="U26" s="2"/>
    </row>
    <row r="27" spans="1:27" ht="15.6" x14ac:dyDescent="0.3">
      <c r="A27" s="141" t="s">
        <v>31</v>
      </c>
      <c r="B27" s="104"/>
      <c r="C27" s="104">
        <v>11007</v>
      </c>
      <c r="D27" s="104">
        <f>IF($J$14=2,F27,E27)</f>
        <v>11007.48</v>
      </c>
      <c r="E27" s="148">
        <v>11007.48</v>
      </c>
      <c r="F27" s="148">
        <v>13252.32</v>
      </c>
      <c r="G27" s="104"/>
      <c r="H27" s="104"/>
      <c r="I27" s="104"/>
      <c r="J27" s="104">
        <f>IF('Optimal &lt; 65'!C28+'Optimal &lt; 65'!B25+'Optimal &lt; 65'!C25&lt;Seuils!$Q$32,0,'Optimal &lt; 65'!C28+'Optimal &lt; 65'!B25+'Optimal &lt; 65'!C25-Seuils!$Q$32)</f>
        <v>0</v>
      </c>
      <c r="K27" s="104">
        <f>IF('Optimisation retraite'!C29+'Optimisation retraite'!B26&lt;Seuils!$Q$32,0,'Optimisation retraite'!C29+'Optimisation retraite'!B26+'Optimisation retraite'!C26-Seuils!$Q$32)</f>
        <v>5026.2099999999991</v>
      </c>
      <c r="L27" s="104">
        <f>IF('Optimisation retraite'!E29+'Optimisation retraite'!D26+'Optimisation retraite'!E26&lt;Seuils!$Q$32,0,'Optimisation retraite'!E29+'Optimisation retraite'!D26+'Optimisation retraite'!E26-Seuils!$Q$32)</f>
        <v>18340</v>
      </c>
      <c r="M27" s="104"/>
      <c r="N27">
        <f>IF('Optimal &lt; 65'!C28+'Optimal &lt; 65'!B25+'Optimal &lt; 65'!C25&lt;Seuils!$Q$32,0,'Optimal &lt; 65'!C28+'Optimal &lt; 65'!B25+'Optimal &lt; 65'!C25-Seuils!$Q$32)</f>
        <v>0</v>
      </c>
      <c r="P27" s="101">
        <f>IF('Optimal #1'!C29+'Optimal #1'!B26&lt;Seuils!$Q$32,0,'Optimal #1'!C29+'Optimisation retraite'!B26+'Optimal #1'!C26-Seuils!$Q$32)</f>
        <v>5026.2099999999991</v>
      </c>
      <c r="Q27" s="150">
        <f>IF('Optimal #1'!E29+'Optimal #1'!D26&lt;Seuils!$Q$32,0,'Optimal #1'!E29+'Optimal #1'!D26+'Optimal #1'!E26-Seuils!$Q$32)</f>
        <v>23009.839999999997</v>
      </c>
      <c r="R27">
        <f>IF('55-60'!C29+'55-60'!B26+'55-60'!C26&lt;Seuils!$Q$32,0,'55-60'!C29+'55-60'!B26+'55-60'!C26-Seuils!$Q$32)</f>
        <v>0</v>
      </c>
      <c r="T27">
        <f>IF('conj #1 60-65 &amp; # 2 60-65'!C28+'conj #1 60-65 &amp; # 2 60-65'!B25+'conj #1 60-65 &amp; # 2 60-65'!C25&lt;Seuils!$Q$32,0,'conj #1 60-65 &amp; # 2 60-65'!C28+'conj #1 60-65 &amp; # 2 60-65'!B25+'conj #1 60-65 &amp; # 2 60-65'!C25-Seuils!$Q$32)</f>
        <v>0</v>
      </c>
      <c r="U27" s="2"/>
      <c r="V27">
        <f>IF('conj #1 60-65 &amp; # 2 55-60'!C28+'conj #1 60-65 &amp; # 2 55-60'!B25+'conj #1 60-65 &amp; # 2 55-60'!C25&lt;Seuils!Q$32,0,'conj #1 60-65 &amp; # 2 55-60'!C28+'conj #1 60-65 &amp; # 2 55-60'!B25+'conj #1 60-65 &amp; # 2 55-60'!C25-Seuils!Q$32)</f>
        <v>0</v>
      </c>
      <c r="X27">
        <f>IF('2 X &lt; 60'!C28+'2 X &lt; 60'!B25+'2 X &lt; 60'!C25&lt;Seuils!Q$32,0,'2 X &lt; 60'!C28+'2 X &lt; 60'!B25+'2 X &lt; 60'!C25-Seuils!Q$32)</f>
        <v>0</v>
      </c>
      <c r="Z27">
        <f>IF('Optimal actuel'!C27+'Optimal actuel'!B24+'Optimal actuel'!C24&lt;Seuils!$Q$32,0,'Optimal actuel'!C27+'Optimal actuel'!B24+'Optimal actuel'!C24-Seuils!$Q$32)</f>
        <v>0</v>
      </c>
    </row>
    <row r="28" spans="1:27" ht="15.6" x14ac:dyDescent="0.3">
      <c r="A28" s="104" t="s">
        <v>32</v>
      </c>
      <c r="B28" s="104"/>
      <c r="C28" s="104">
        <v>6729.48</v>
      </c>
      <c r="D28" s="153">
        <f>IF($J$14=2,F28,E28)</f>
        <v>9492</v>
      </c>
      <c r="E28" s="154">
        <v>9492</v>
      </c>
      <c r="F28" s="148">
        <v>12552</v>
      </c>
      <c r="G28" s="104"/>
      <c r="H28" s="147">
        <f>(O31-P37+(5000*Q36))/Q36+Q32</f>
        <v>26786.126126126124</v>
      </c>
      <c r="I28" s="104"/>
      <c r="J28" s="104">
        <f>IF((J27-5000)*$Q$35+$Q$37&gt;$Q$31/$J$14,$Q$31,IF(J27+$Q$32&gt;$H$28,$Q$31,IF(J27&gt;5000,$J$14*((J27-5000)*$Q$36+$Q$37),J27*Q35)))</f>
        <v>0</v>
      </c>
      <c r="K28" s="149">
        <f>IF((K27-5000)*$Q$35+$Q$37&gt;$Q$31/$J$14,$Q$31,IF(K27+$Q$32&gt;$H$28,$Q$31,IF(K27&gt;5000,$J$14*((K27-5000)*$Q$36+$Q$37),K27*Q35)))</f>
        <v>335.11837899999989</v>
      </c>
      <c r="L28" s="149">
        <f>IF((L27-5000)*$Q$35+$Q$37&gt;$Q$31/$J$14,$Q$31,IF(L27+$Q$32&gt;$H$28,$Q$31,IF($J$14*((L27-5000)*$Q$36+$Q$37)&gt;Q40,Q40,IF(L27&gt;5000,$J$14*((L27-5000)*$Q$36+$Q$37),L27*Q35))))</f>
        <v>679.1</v>
      </c>
      <c r="M28" s="149"/>
      <c r="N28">
        <f>IF((N27-5000)*$Q$35+$Q$37&gt;$Q$31/$J$14,$Q$31,IF(N27+$Q$32&gt;$H$28,$Q$31,IF(N27&gt;5000,$J$14*((N27-5000)*$Q$36+$Q$37),N27*Q35)))</f>
        <v>0</v>
      </c>
      <c r="P28" s="149">
        <f>IF((P27-5000)*$Q$35+$Q$37&gt;$Q$31/$J$14,$Q$31,IF(P27+$Q$32&gt;$H$28,$Q$31,IF(P27&gt;5000,$J$14*((P27-5000)*$Q$36+$Q$37),P27*Q35)))</f>
        <v>335.11837899999989</v>
      </c>
      <c r="Q28" s="149">
        <f>IF((Q27-5000)*$Q$35+$Q$37&gt;$Q$31/$J$14,$Q$31,IF(Q27+$Q$32&gt;$H$28,$Q$31,IF(Q27&gt;5000,$J$14*((Q27-5000)*$Q$36+$Q$37),Q27*Q35)))</f>
        <v>679.1</v>
      </c>
      <c r="R28">
        <f>IF((R27-5000)*$Q$35+$Q$37&gt;$Q$31/$J$14,$Q$31,IF(R27+$Q$32&gt;$H$28,$Q$31,IF(R27&gt;5000,$J$14*((R27-5000)*$Q$36+$Q$37),R27*Q35)))</f>
        <v>0</v>
      </c>
      <c r="T28">
        <f>IF((T27-5000)*$Q$35+$Q$37&gt;$Q$31/$J$14,$Q$31,IF(T27+$Q$32&gt;$H$28,$Q$31,IF(T27&gt;5000,$J$14*((T27-5000)*$Q$36+$Q$37),T27*Q35)))</f>
        <v>0</v>
      </c>
      <c r="U28" s="2"/>
      <c r="V28">
        <f>IF((V27-5000)*$Q$35+$Q$37&gt;$Q$31/$J$14,$Q$31,IF(V27+$Q$32&gt;$H$28,$Q$31,IF(V27&gt;5000,$J$14*((V27-5000)*$Q$36+$Q$37),V27*$Q$35)))</f>
        <v>0</v>
      </c>
      <c r="X28">
        <f>IF((X27-5000)*$Q$35+$Q$37&gt;$Q$31/$J$14,$Q$31,IF(X27+$Q$32&gt;$H$28,$Q$31,IF(X27&gt;5000,$J$14*((X27-5000)*$Q$36+$Q$37),X27*$Q$35)))</f>
        <v>0</v>
      </c>
      <c r="Z28">
        <f>IF((Z27-5000)*$Q$35+$Q$37&gt;$Q$31/$J$14,$Q$31,IF(Z27+$Q$32&gt;$H$28,$Q$31,IF(Z27&gt;5000,$J$14*((Z27-5000)*$Q$36+$Q$37),Z27*Q35)))</f>
        <v>0</v>
      </c>
    </row>
    <row r="29" spans="1:27" ht="15.6" x14ac:dyDescent="0.3">
      <c r="A29" s="104" t="s">
        <v>33</v>
      </c>
      <c r="B29" s="104"/>
      <c r="C29" s="104">
        <v>44640</v>
      </c>
      <c r="D29" s="153">
        <f t="shared" ref="D29" si="4">IF($J$14=2,F29,E29)</f>
        <v>18984</v>
      </c>
      <c r="E29" s="157">
        <v>18984</v>
      </c>
      <c r="F29" s="148">
        <v>25104</v>
      </c>
      <c r="G29" s="104"/>
      <c r="H29" s="104"/>
      <c r="I29" s="104"/>
      <c r="J29" s="104"/>
      <c r="K29" s="104"/>
      <c r="L29" s="104" t="s">
        <v>104</v>
      </c>
      <c r="M29" s="104"/>
      <c r="R29" s="156"/>
      <c r="S29" s="156"/>
      <c r="T29" s="150"/>
      <c r="U29" s="3"/>
    </row>
    <row r="30" spans="1:27" ht="15.6" x14ac:dyDescent="0.3">
      <c r="A30" s="104" t="s">
        <v>130</v>
      </c>
      <c r="B30" s="101"/>
      <c r="C30" s="101">
        <v>17664</v>
      </c>
      <c r="D30" s="153">
        <f t="shared" ref="D30:D31" si="5">IF($J$14=2,F30,E30)</f>
        <v>2064</v>
      </c>
      <c r="E30" s="157">
        <v>2064</v>
      </c>
      <c r="F30" s="148">
        <v>4080</v>
      </c>
      <c r="G30" s="104"/>
      <c r="H30" s="104"/>
      <c r="I30" s="104"/>
      <c r="J30" s="104" t="s">
        <v>72</v>
      </c>
      <c r="K30" s="104">
        <f>J110</f>
        <v>16901.71</v>
      </c>
      <c r="L30" s="158">
        <f>IF(J14=1,'Optimisation retraite'!E29,IF('Optimisation retraite'!E29&lt;J46,I46,IF('Optimisation retraite'!E29&gt;Seuils!J7,'Optimisation retraite'!E29-J6,IF('Optimisation retraite'!E29&gt;I7+Seuils!I46,I7,'Optimisation retraite'!E29-Seuils!I46-'Optimisation retraite'!D24))))</f>
        <v>35000</v>
      </c>
      <c r="M30" s="158"/>
      <c r="N30" s="101"/>
      <c r="O30" s="101" t="s">
        <v>19</v>
      </c>
      <c r="P30" s="101" t="s">
        <v>20</v>
      </c>
      <c r="Q30" s="101"/>
      <c r="R30" s="101"/>
      <c r="S30" s="101"/>
      <c r="T30" s="150"/>
      <c r="U30" s="4"/>
    </row>
    <row r="31" spans="1:27" ht="15.6" x14ac:dyDescent="0.3">
      <c r="A31" s="104" t="s">
        <v>131</v>
      </c>
      <c r="B31" s="101"/>
      <c r="C31" s="101"/>
      <c r="D31" s="153">
        <f t="shared" si="5"/>
        <v>8832</v>
      </c>
      <c r="E31" s="157">
        <v>8832</v>
      </c>
      <c r="F31" s="148">
        <v>7968</v>
      </c>
      <c r="G31" s="104"/>
      <c r="H31" s="104"/>
      <c r="I31" s="104"/>
      <c r="J31" s="104" t="s">
        <v>73</v>
      </c>
      <c r="K31" s="104">
        <f>IF(J14=1,0,K110)</f>
        <v>0</v>
      </c>
      <c r="L31" s="158">
        <f>IF(J14=1,0,'Optimisation retraite'!E29-Seuils!L30)</f>
        <v>0</v>
      </c>
      <c r="M31" s="158"/>
      <c r="N31" s="150" t="s">
        <v>21</v>
      </c>
      <c r="O31" s="151">
        <f>O40</f>
        <v>679.1</v>
      </c>
      <c r="P31" s="151">
        <f>O31*2</f>
        <v>1358.2</v>
      </c>
      <c r="Q31" s="101">
        <f>IF(Seuils!$J$14=2,Seuils!P31,Seuils!O31)</f>
        <v>679.1</v>
      </c>
      <c r="R31" s="101"/>
      <c r="S31" s="101"/>
      <c r="T31" s="150"/>
      <c r="U31" s="3"/>
    </row>
    <row r="32" spans="1:27" ht="15.6" x14ac:dyDescent="0.3">
      <c r="A32" s="104" t="s">
        <v>39</v>
      </c>
      <c r="B32" s="104"/>
      <c r="C32" s="104"/>
      <c r="D32" s="153">
        <f>IF($J$14=2,E32*2,E32)</f>
        <v>7486.71</v>
      </c>
      <c r="E32" s="160">
        <v>7486.71</v>
      </c>
      <c r="F32" s="104"/>
      <c r="G32" s="104"/>
      <c r="H32" s="104"/>
      <c r="I32" s="104"/>
      <c r="J32" s="104" t="s">
        <v>71</v>
      </c>
      <c r="K32" s="149">
        <f>K12+L15+K25</f>
        <v>9938.5320790000005</v>
      </c>
      <c r="L32" s="104"/>
      <c r="M32" s="104"/>
      <c r="N32" s="150" t="s">
        <v>22</v>
      </c>
      <c r="O32" s="152">
        <v>16660</v>
      </c>
      <c r="P32" s="152">
        <v>27010</v>
      </c>
      <c r="Q32" s="101">
        <f>IF(Seuils!$J$14=2,Seuils!P32,Seuils!O32)</f>
        <v>16660</v>
      </c>
      <c r="R32" s="101"/>
      <c r="S32" s="101"/>
      <c r="T32" s="150"/>
      <c r="U32" s="4"/>
    </row>
    <row r="33" spans="1:21" ht="15.6" x14ac:dyDescent="0.3">
      <c r="A33" s="104" t="s">
        <v>38</v>
      </c>
      <c r="B33" s="101"/>
      <c r="C33" s="101"/>
      <c r="D33" s="101"/>
      <c r="E33" s="160">
        <v>79845</v>
      </c>
      <c r="F33" s="101"/>
      <c r="G33" s="101"/>
      <c r="H33" s="101"/>
      <c r="I33" s="101"/>
      <c r="J33" s="101"/>
      <c r="K33" s="101">
        <f>K30+K31</f>
        <v>16901.71</v>
      </c>
      <c r="L33" s="158">
        <f>L30+L31</f>
        <v>35000</v>
      </c>
      <c r="M33" s="158"/>
      <c r="N33" s="150" t="s">
        <v>23</v>
      </c>
      <c r="O33" s="152">
        <v>10350</v>
      </c>
      <c r="P33" s="152">
        <v>3530</v>
      </c>
      <c r="Q33" s="101">
        <f>IF(Seuils!$J$14=2,Seuils!P33,Seuils!O33)</f>
        <v>10350</v>
      </c>
      <c r="R33" s="101"/>
      <c r="S33" s="101"/>
      <c r="T33" s="150"/>
      <c r="U33" s="2"/>
    </row>
    <row r="34" spans="1:21" ht="15.6" x14ac:dyDescent="0.3">
      <c r="A34" s="104" t="s">
        <v>132</v>
      </c>
      <c r="B34" s="101"/>
      <c r="C34" s="101"/>
      <c r="D34" s="101"/>
      <c r="E34" s="162">
        <f>ROUNDUP((E32)/15%+E33,0)</f>
        <v>129757</v>
      </c>
      <c r="F34" s="101"/>
      <c r="G34" s="101"/>
      <c r="H34" s="101"/>
      <c r="I34" s="101"/>
      <c r="J34" s="101"/>
      <c r="K34" s="101"/>
      <c r="L34" s="101"/>
      <c r="M34" s="101"/>
      <c r="N34" s="150" t="s">
        <v>24</v>
      </c>
      <c r="O34" s="152">
        <v>13880</v>
      </c>
      <c r="P34" s="152">
        <v>6790</v>
      </c>
      <c r="Q34" s="101">
        <f>IF(Seuils!$J$14=2,Seuils!P34,Seuils!O34)</f>
        <v>13880</v>
      </c>
      <c r="R34" s="101"/>
      <c r="S34" s="101"/>
      <c r="T34" s="150"/>
      <c r="U34" s="2"/>
    </row>
    <row r="35" spans="1:21" ht="15.6" x14ac:dyDescent="0.3">
      <c r="A35" s="104"/>
      <c r="B35" s="101"/>
      <c r="C35" s="101"/>
      <c r="D35" s="101"/>
      <c r="E35" s="162"/>
      <c r="F35" s="101"/>
      <c r="G35" s="101"/>
      <c r="H35" s="101"/>
      <c r="I35" s="101"/>
      <c r="J35" s="101"/>
      <c r="K35" s="101"/>
      <c r="L35" s="101"/>
      <c r="M35" s="101"/>
      <c r="N35" s="150" t="s">
        <v>25</v>
      </c>
      <c r="O35" s="155">
        <v>6.6500000000000004E-2</v>
      </c>
      <c r="P35" s="155">
        <v>3.3399999999999999E-2</v>
      </c>
      <c r="Q35" s="156">
        <f>IF(Seuils!$J$14=2,Seuils!P35,Seuils!O35)</f>
        <v>6.6500000000000004E-2</v>
      </c>
      <c r="R35" s="101"/>
      <c r="S35" s="101"/>
      <c r="T35" s="150"/>
      <c r="U35" s="2"/>
    </row>
    <row r="36" spans="1:21" ht="15.6" x14ac:dyDescent="0.3">
      <c r="A36" s="104"/>
      <c r="B36" s="101"/>
      <c r="C36" s="101"/>
      <c r="D36" s="101"/>
      <c r="E36" s="162"/>
      <c r="F36" s="101"/>
      <c r="G36" s="101"/>
      <c r="H36" s="101"/>
      <c r="I36" s="101"/>
      <c r="J36" s="101"/>
      <c r="K36" s="101"/>
      <c r="L36" s="101"/>
      <c r="M36" s="101"/>
      <c r="N36" s="150" t="s">
        <v>26</v>
      </c>
      <c r="O36" s="155">
        <v>9.9900000000000003E-2</v>
      </c>
      <c r="P36" s="155">
        <v>5.0099999999999999E-2</v>
      </c>
      <c r="Q36" s="156">
        <f>IF(Seuils!$J$14=2,Seuils!P36,Seuils!O36)</f>
        <v>9.9900000000000003E-2</v>
      </c>
      <c r="R36" s="101"/>
      <c r="S36" s="101"/>
      <c r="T36" s="150"/>
      <c r="U36" s="2"/>
    </row>
    <row r="37" spans="1:21" ht="15.6" x14ac:dyDescent="0.3">
      <c r="A37" s="104"/>
      <c r="B37" s="101"/>
      <c r="C37" s="101"/>
      <c r="D37" s="101"/>
      <c r="E37" s="162"/>
      <c r="F37" s="101"/>
      <c r="G37" s="101"/>
      <c r="H37" s="101"/>
      <c r="I37" s="101"/>
      <c r="J37" s="101"/>
      <c r="K37" s="101"/>
      <c r="L37" s="101"/>
      <c r="M37" s="101"/>
      <c r="N37" s="150" t="s">
        <v>27</v>
      </c>
      <c r="O37" s="159">
        <v>332.5</v>
      </c>
      <c r="P37" s="159">
        <v>167</v>
      </c>
      <c r="Q37" s="101">
        <f>IF(Seuils!$J$14=2,Seuils!P37,Seuils!O37)</f>
        <v>332.5</v>
      </c>
      <c r="R37" s="101"/>
      <c r="S37" s="101"/>
      <c r="T37" s="150"/>
      <c r="U37" s="2"/>
    </row>
    <row r="38" spans="1:21" ht="15.6" x14ac:dyDescent="0.3">
      <c r="A38" s="104"/>
      <c r="B38" s="101"/>
      <c r="C38" s="101"/>
      <c r="D38" s="101"/>
      <c r="E38" s="162"/>
      <c r="F38" s="101"/>
      <c r="G38" s="101"/>
      <c r="H38" s="101"/>
      <c r="I38" s="101"/>
      <c r="J38" s="101"/>
      <c r="K38" s="101"/>
      <c r="L38" s="101"/>
      <c r="M38" s="101"/>
      <c r="N38" s="150" t="s">
        <v>28</v>
      </c>
      <c r="O38" s="152">
        <v>54</v>
      </c>
      <c r="P38" s="152">
        <f>O38*2</f>
        <v>108</v>
      </c>
      <c r="Q38" s="101">
        <f>IF(Seuils!$J$14=2,Seuils!P38,Seuils!O38)</f>
        <v>54</v>
      </c>
      <c r="R38" s="101"/>
      <c r="S38" s="101"/>
      <c r="T38" s="150"/>
      <c r="U38" s="2"/>
    </row>
    <row r="39" spans="1:21" ht="15.6" x14ac:dyDescent="0.3">
      <c r="A39" s="104"/>
      <c r="B39" s="101"/>
      <c r="C39" s="101"/>
      <c r="D39" s="101" t="s">
        <v>74</v>
      </c>
      <c r="E39" s="101" t="s">
        <v>42</v>
      </c>
      <c r="F39" s="101"/>
      <c r="G39" s="101"/>
      <c r="H39" s="101"/>
      <c r="I39" s="101"/>
      <c r="J39" s="101"/>
      <c r="K39" s="101"/>
      <c r="L39" s="101"/>
      <c r="M39" s="101"/>
      <c r="N39" s="150" t="s">
        <v>29</v>
      </c>
      <c r="O39" s="152">
        <v>59.17</v>
      </c>
      <c r="P39" s="152">
        <f>O39*2</f>
        <v>118.34</v>
      </c>
      <c r="Q39" s="101">
        <f>IF(Seuils!$J$14=2,Seuils!P39,Seuils!O39)</f>
        <v>59.17</v>
      </c>
      <c r="R39" s="101"/>
      <c r="S39" s="101"/>
      <c r="T39" s="150"/>
      <c r="U39" s="2"/>
    </row>
    <row r="40" spans="1:21" ht="15.6" x14ac:dyDescent="0.3">
      <c r="A40" s="104"/>
      <c r="B40" s="101"/>
      <c r="C40" s="101" t="s">
        <v>40</v>
      </c>
      <c r="D40" s="101">
        <f>IF(K30&gt;$C$49,$F$47+$F$49,IF(K30&gt;$C$48,(K30-$C$48)*$E$48+$F$47,IF(K30&gt;$C$47,$F$47,IF(K30&lt;$D$45,0,(K30-$C$46)*$E$46))))</f>
        <v>0</v>
      </c>
      <c r="E40" s="101">
        <f>IF(L30&gt;$C$49,$F$47+$F$49,IF(L30&gt;$C$48,(L30-$C$48)*$E$48+$F$47,IF(L30&gt;$C$47,$F$47,IF(L30&lt;$D$45,0,(L30-$C$46)*$E$46))))</f>
        <v>0</v>
      </c>
      <c r="F40" s="101"/>
      <c r="G40" s="101"/>
      <c r="H40" s="101"/>
      <c r="I40" s="101"/>
      <c r="J40" s="101" t="s">
        <v>40</v>
      </c>
      <c r="K40" s="101">
        <f>IF((K30-$E$32-'Optimisation retraite'!B26-$I$48)*$K$48+$L$48&gt;$L$49,$L$49,IF(K30-$E$32-'Optimisation retraite'!B26&gt;$I$48,(K30-$E$32-'Optimisation retraite'!B26-$I$48)*$K$48+$L$47,IF(K30-$E$32-'Optimisation retraite'!B26&gt;$I$47,$L$47,IF(K30-$E$32-'Optimisation retraite'!B26&lt;$J$45,0,(K30-$E$32-'Optimisation retraite'!B26-$I$46)*$K$46))))</f>
        <v>0</v>
      </c>
      <c r="L40" s="165">
        <f>IF((L30-$E$32-$I$48)*$K$48+$L$48&gt;$L$49,$L$49,IF(L30-$E$32&gt;$I$48,(L30-$E$32-$I$48)*$K$48+$L$47,IF(L30-$E$32&gt;$I$47,$L$47,IF(L30-$E$32&lt;$J$45,0,(L30-$E$32-$I$46)*$K$46))))</f>
        <v>121.53290000000001</v>
      </c>
      <c r="M40" s="165"/>
      <c r="N40" s="150" t="s">
        <v>30</v>
      </c>
      <c r="O40" s="161">
        <f>ROUNDUP(O38*6+O39*6,1)</f>
        <v>679.1</v>
      </c>
      <c r="P40" s="161">
        <f>ROUNDUP(P38*6+P39*6,1)</f>
        <v>1358.1</v>
      </c>
      <c r="Q40" s="101">
        <f>IF(Seuils!$J$14=2,Seuils!P40,Seuils!O40)</f>
        <v>679.1</v>
      </c>
      <c r="R40" s="101"/>
      <c r="S40" s="101"/>
      <c r="T40" s="150"/>
      <c r="U40" s="2"/>
    </row>
    <row r="41" spans="1:21" ht="15.6" x14ac:dyDescent="0.3">
      <c r="A41" s="104"/>
      <c r="B41" s="101"/>
      <c r="C41" s="101" t="s">
        <v>41</v>
      </c>
      <c r="D41" s="101">
        <f>IF(K31&gt;$C$49,$F$47+$F$49,IF(K31&gt;$C$48,(K31-$C$48)*$E$48+$F$47,IF(K31&gt;$C$47,$F$47,IF(K31&lt;$D$45,0,(K31-$C$46)*$E$46))))</f>
        <v>0</v>
      </c>
      <c r="E41" s="101">
        <f>IF(L31&gt;$C$49,$F$47+$F$49,IF(L31&gt;$C$48,(L31-$C$48)*$E$48+$F$47,IF(L31&gt;$C$47,$F$47,IF(L31&lt;$D$45,0,(L31-$C$46)*$E$46))))</f>
        <v>0</v>
      </c>
      <c r="F41" s="101"/>
      <c r="G41" s="101"/>
      <c r="H41" s="242" t="s">
        <v>35</v>
      </c>
      <c r="I41" s="166"/>
      <c r="J41" s="166" t="s">
        <v>41</v>
      </c>
      <c r="K41" s="101">
        <f>IF((K31-$E$32-'Optimisation retraite'!C26-$I$48)*$K$48+$L$48&gt;$L$49,$L$49,IF(K31-$E$32-'Optimisation retraite'!C26&gt;$I$48,(K31-$E$32-'Optimisation retraite'!C26-$I$48)*$K$48+$L$47,IF(K31-$E$32-'Optimisation retraite'!C26&gt;$I$47,$L$47,IF(K31-$E$32-'Optimisation retraite'!C26&lt;$J$45,0,(K31-$E$32-'Optimisation retraite'!C26-$I$46)*$K$46))))</f>
        <v>0</v>
      </c>
      <c r="L41" s="165">
        <f>IF((L31-$E$32-$I$48)*$K$48+$L$48&gt;$L$49,$L$49,IF(L31-$E$32&gt;$I$48,(L31-$E$32-$I$48)*$K$48+$L$47,IF(L31-$E$32&gt;$I$47,$L$47,IF(L31-$E$32&lt;$J$45,0,(L31-$E$32-$I$46)*$K$46))))</f>
        <v>0</v>
      </c>
      <c r="M41" s="165"/>
      <c r="N41" s="150" t="s">
        <v>121</v>
      </c>
      <c r="O41" s="163">
        <v>24561</v>
      </c>
      <c r="P41" s="163">
        <v>41491</v>
      </c>
      <c r="Q41" s="101">
        <f>IF(Seuils!$J$14=2,Seuils!P41,Seuils!O41)</f>
        <v>24561</v>
      </c>
      <c r="R41" s="101"/>
      <c r="S41" s="101"/>
      <c r="T41" s="150"/>
      <c r="U41" s="2"/>
    </row>
    <row r="42" spans="1:21" ht="16.2" thickBot="1" x14ac:dyDescent="0.35">
      <c r="A42" s="104"/>
      <c r="B42" s="101"/>
      <c r="C42" s="101"/>
      <c r="D42" s="101">
        <f>SUM(D40:D41)</f>
        <v>0</v>
      </c>
      <c r="E42" s="101">
        <f>SUM(E40:E41)</f>
        <v>0</v>
      </c>
      <c r="F42" s="101"/>
      <c r="G42" s="101"/>
      <c r="H42" s="101"/>
      <c r="I42" s="166"/>
      <c r="J42" s="166"/>
      <c r="K42" s="101">
        <f>SUM(K40:K41)</f>
        <v>0</v>
      </c>
      <c r="L42" s="165">
        <f>SUM(L40:L41)</f>
        <v>121.53290000000001</v>
      </c>
      <c r="M42" s="165"/>
      <c r="N42" s="150"/>
      <c r="O42" s="164"/>
      <c r="P42" s="164"/>
      <c r="Q42" s="101"/>
      <c r="R42" s="101"/>
      <c r="S42" s="101"/>
      <c r="T42" s="150"/>
      <c r="U42" s="2"/>
    </row>
    <row r="43" spans="1:21" x14ac:dyDescent="0.3">
      <c r="A43" s="101"/>
      <c r="B43" s="101"/>
      <c r="C43" s="612" t="s">
        <v>34</v>
      </c>
      <c r="D43" s="613"/>
      <c r="E43" s="612" t="s">
        <v>1</v>
      </c>
      <c r="F43" s="613"/>
      <c r="G43" s="101"/>
      <c r="H43" s="101"/>
      <c r="I43" s="612" t="s">
        <v>34</v>
      </c>
      <c r="J43" s="613"/>
      <c r="K43" s="612" t="s">
        <v>1</v>
      </c>
      <c r="L43" s="613"/>
      <c r="M43" s="300"/>
      <c r="N43" s="101"/>
      <c r="O43" s="101"/>
      <c r="P43" s="101"/>
      <c r="Q43" s="101"/>
      <c r="R43" s="101"/>
      <c r="S43" s="101"/>
      <c r="T43" s="101"/>
    </row>
    <row r="44" spans="1:21" ht="15" thickBot="1" x14ac:dyDescent="0.35">
      <c r="A44" s="101"/>
      <c r="B44" s="101"/>
      <c r="C44" s="167" t="s">
        <v>3</v>
      </c>
      <c r="D44" s="167" t="s">
        <v>4</v>
      </c>
      <c r="E44" s="168" t="s">
        <v>5</v>
      </c>
      <c r="F44" s="167" t="s">
        <v>6</v>
      </c>
      <c r="G44" s="101"/>
      <c r="H44" s="101"/>
      <c r="I44" s="167" t="s">
        <v>3</v>
      </c>
      <c r="J44" s="167" t="s">
        <v>4</v>
      </c>
      <c r="K44" s="168" t="s">
        <v>5</v>
      </c>
      <c r="L44" s="167" t="s">
        <v>6</v>
      </c>
      <c r="M44" s="301"/>
      <c r="N44" s="101"/>
      <c r="O44" s="101"/>
      <c r="P44" s="101"/>
      <c r="Q44" s="101"/>
      <c r="R44" s="101"/>
      <c r="S44" s="101"/>
      <c r="T44" s="101"/>
    </row>
    <row r="45" spans="1:21" x14ac:dyDescent="0.3">
      <c r="A45" s="101"/>
      <c r="B45" s="101"/>
      <c r="C45" s="169">
        <v>0</v>
      </c>
      <c r="D45" s="170">
        <v>0</v>
      </c>
      <c r="E45" s="171"/>
      <c r="F45" s="169"/>
      <c r="G45" s="101"/>
      <c r="H45" s="101"/>
      <c r="I45" s="169">
        <v>0</v>
      </c>
      <c r="J45" s="170">
        <v>15360</v>
      </c>
      <c r="K45" s="171"/>
      <c r="L45" s="169"/>
      <c r="M45" s="302"/>
      <c r="N45" s="101"/>
      <c r="O45" s="101"/>
      <c r="P45" s="101"/>
      <c r="Q45" s="101"/>
      <c r="R45" s="101"/>
      <c r="S45" s="101"/>
      <c r="T45" s="101"/>
    </row>
    <row r="46" spans="1:21" ht="15.6" x14ac:dyDescent="0.3">
      <c r="A46" s="101"/>
      <c r="B46" s="101"/>
      <c r="C46" s="172">
        <f t="shared" ref="C46:C51" si="6">+D45</f>
        <v>0</v>
      </c>
      <c r="D46" s="172">
        <f>F47/E46+C46</f>
        <v>0</v>
      </c>
      <c r="E46" s="173">
        <v>0.05</v>
      </c>
      <c r="F46" s="174">
        <v>0</v>
      </c>
      <c r="G46" s="101"/>
      <c r="H46" s="101"/>
      <c r="I46" s="175">
        <f>+J45</f>
        <v>15360</v>
      </c>
      <c r="J46" s="175">
        <f>(L47+J45*K46)*100</f>
        <v>30360.000000000004</v>
      </c>
      <c r="K46" s="176">
        <v>0.01</v>
      </c>
      <c r="L46" s="174">
        <v>0</v>
      </c>
      <c r="M46" s="302"/>
      <c r="N46" s="101"/>
      <c r="O46" s="101"/>
      <c r="P46" s="101"/>
      <c r="Q46" s="101"/>
      <c r="R46" s="101"/>
      <c r="S46" s="101"/>
      <c r="T46" s="101"/>
    </row>
    <row r="47" spans="1:21" x14ac:dyDescent="0.3">
      <c r="A47" s="101"/>
      <c r="B47" s="101"/>
      <c r="C47" s="175">
        <f t="shared" si="6"/>
        <v>0</v>
      </c>
      <c r="D47" s="177">
        <v>0</v>
      </c>
      <c r="E47" s="176"/>
      <c r="F47" s="174">
        <v>0</v>
      </c>
      <c r="G47" s="101"/>
      <c r="H47" s="101"/>
      <c r="I47" s="175">
        <f>+J46</f>
        <v>30360.000000000004</v>
      </c>
      <c r="J47" s="177">
        <v>53410</v>
      </c>
      <c r="K47" s="176"/>
      <c r="L47" s="174">
        <v>150</v>
      </c>
      <c r="M47" s="302"/>
      <c r="N47" s="101"/>
      <c r="O47" s="101"/>
      <c r="P47" s="101"/>
      <c r="Q47" s="101"/>
      <c r="R47" s="101"/>
      <c r="S47" s="101"/>
      <c r="T47" s="101"/>
    </row>
    <row r="48" spans="1:21" ht="15.6" x14ac:dyDescent="0.3">
      <c r="A48" s="101"/>
      <c r="B48" s="101"/>
      <c r="C48" s="172">
        <f t="shared" si="6"/>
        <v>0</v>
      </c>
      <c r="D48" s="172">
        <f>F49/E48+C48</f>
        <v>0</v>
      </c>
      <c r="E48" s="173">
        <v>0.05</v>
      </c>
      <c r="F48" s="174"/>
      <c r="G48" s="101"/>
      <c r="H48" s="101"/>
      <c r="I48" s="175">
        <f>J47</f>
        <v>53410</v>
      </c>
      <c r="J48" s="175">
        <f>(L49-L47+J47*K48)*100</f>
        <v>138410</v>
      </c>
      <c r="K48" s="176">
        <v>0.01</v>
      </c>
      <c r="L48" s="174">
        <v>150</v>
      </c>
      <c r="M48" s="302"/>
      <c r="N48" s="101"/>
      <c r="O48" s="101"/>
      <c r="P48" s="101"/>
      <c r="Q48" s="101"/>
      <c r="R48" s="101"/>
      <c r="S48" s="101"/>
      <c r="T48" s="101"/>
    </row>
    <row r="49" spans="1:20" ht="15" thickBot="1" x14ac:dyDescent="0.35">
      <c r="A49" s="101"/>
      <c r="B49" s="101"/>
      <c r="C49" s="175">
        <f t="shared" si="6"/>
        <v>0</v>
      </c>
      <c r="D49" s="177">
        <v>0</v>
      </c>
      <c r="E49" s="176"/>
      <c r="F49" s="174">
        <v>0</v>
      </c>
      <c r="G49" s="101"/>
      <c r="H49" s="101"/>
      <c r="I49" s="178">
        <f>J48</f>
        <v>138410</v>
      </c>
      <c r="J49" s="168"/>
      <c r="K49" s="168"/>
      <c r="L49" s="179">
        <v>1000</v>
      </c>
      <c r="M49" s="303"/>
      <c r="N49" s="101"/>
      <c r="O49" s="101"/>
      <c r="P49" s="101"/>
      <c r="Q49" s="101"/>
      <c r="R49" s="101"/>
      <c r="S49" s="101"/>
      <c r="T49" s="101"/>
    </row>
    <row r="50" spans="1:20" ht="15.6" x14ac:dyDescent="0.3">
      <c r="A50" s="101"/>
      <c r="B50" s="101"/>
      <c r="C50" s="172">
        <f t="shared" si="6"/>
        <v>0</v>
      </c>
      <c r="D50" s="172">
        <f>F50/E50+C50</f>
        <v>0</v>
      </c>
      <c r="E50" s="173">
        <v>0.04</v>
      </c>
      <c r="F50" s="174">
        <v>0</v>
      </c>
      <c r="G50" s="101"/>
      <c r="H50" s="101"/>
      <c r="I50" s="101"/>
      <c r="J50" s="101"/>
      <c r="K50" s="101"/>
      <c r="L50" s="101"/>
      <c r="M50" s="101"/>
      <c r="N50" s="101"/>
      <c r="O50" s="101"/>
      <c r="P50" s="101"/>
      <c r="Q50" s="101"/>
      <c r="R50" s="101"/>
      <c r="S50" s="101"/>
      <c r="T50" s="101"/>
    </row>
    <row r="51" spans="1:20" ht="15.6" x14ac:dyDescent="0.3">
      <c r="A51" s="101"/>
      <c r="B51" s="101"/>
      <c r="C51" s="175">
        <f t="shared" si="6"/>
        <v>0</v>
      </c>
      <c r="D51" s="175"/>
      <c r="E51" s="176"/>
      <c r="F51" s="172">
        <f>SUM(F46:F50)</f>
        <v>0</v>
      </c>
      <c r="G51" s="101"/>
      <c r="H51" s="101"/>
      <c r="I51" s="101"/>
      <c r="J51" s="101"/>
      <c r="K51" s="101"/>
      <c r="L51" s="101"/>
      <c r="M51" s="101"/>
      <c r="N51" s="101"/>
      <c r="O51" s="101"/>
      <c r="P51" s="101"/>
      <c r="Q51" s="101"/>
      <c r="R51" s="101"/>
      <c r="S51" s="101"/>
      <c r="T51" s="101"/>
    </row>
    <row r="52" spans="1:20" x14ac:dyDescent="0.3">
      <c r="A52" s="101"/>
      <c r="B52" s="101"/>
      <c r="C52" s="101"/>
      <c r="D52" s="101"/>
      <c r="E52" s="101"/>
      <c r="F52" s="101"/>
      <c r="G52" s="101"/>
      <c r="H52" s="101"/>
      <c r="I52" s="101"/>
      <c r="J52" s="101"/>
      <c r="K52" s="101"/>
      <c r="L52" s="101"/>
      <c r="M52" s="101"/>
      <c r="N52" s="101"/>
      <c r="O52" s="101"/>
      <c r="P52" s="101"/>
      <c r="Q52" s="101"/>
      <c r="R52" s="101"/>
      <c r="S52" s="101"/>
      <c r="T52" s="101"/>
    </row>
    <row r="53" spans="1:20" x14ac:dyDescent="0.3">
      <c r="A53" s="101" t="s">
        <v>36</v>
      </c>
      <c r="B53" s="101"/>
      <c r="C53" s="101"/>
      <c r="D53" s="101"/>
      <c r="F53" s="101"/>
      <c r="G53" s="101"/>
      <c r="H53" s="101"/>
      <c r="I53" s="101" t="s">
        <v>37</v>
      </c>
      <c r="J53" s="101"/>
      <c r="L53" s="101"/>
      <c r="M53" s="101"/>
      <c r="N53" s="101"/>
      <c r="O53" s="101"/>
      <c r="P53" s="101"/>
      <c r="Q53" s="101"/>
      <c r="R53" s="101"/>
      <c r="S53" s="101"/>
      <c r="T53" s="101"/>
    </row>
    <row r="54" spans="1:20" x14ac:dyDescent="0.3">
      <c r="A54" s="101" t="s">
        <v>32</v>
      </c>
      <c r="B54" s="101"/>
      <c r="C54" s="101"/>
      <c r="D54" s="180">
        <f>IF('Optimisation retraite'!B4=1,462.58,305.58*2)</f>
        <v>462.58</v>
      </c>
      <c r="E54" s="101"/>
      <c r="F54" s="101"/>
      <c r="G54" s="101"/>
      <c r="H54" s="101"/>
      <c r="I54" s="101"/>
      <c r="J54" s="180">
        <f>IF('Optimisation retraite'!B4=1,1050.62,307.62*2+723.58)</f>
        <v>1050.6199999999999</v>
      </c>
      <c r="K54" s="101"/>
      <c r="L54" s="101"/>
      <c r="M54" s="101"/>
      <c r="N54" s="101"/>
      <c r="O54" s="101"/>
      <c r="P54" s="101"/>
      <c r="Q54" s="101"/>
      <c r="R54" s="101"/>
      <c r="S54" s="101"/>
      <c r="T54" s="101"/>
    </row>
    <row r="55" spans="1:20" ht="15.6" x14ac:dyDescent="0.3">
      <c r="A55" s="101" t="s">
        <v>173</v>
      </c>
      <c r="B55" s="101"/>
      <c r="C55" s="101"/>
      <c r="D55" s="180">
        <v>39669.839999999997</v>
      </c>
      <c r="E55" s="101"/>
      <c r="F55" s="101"/>
      <c r="G55" s="101"/>
      <c r="H55" s="101"/>
      <c r="I55" s="101"/>
      <c r="J55" s="181">
        <v>36561.9</v>
      </c>
      <c r="K55" s="101"/>
      <c r="L55" s="101"/>
      <c r="M55" s="101"/>
      <c r="N55" s="101"/>
      <c r="O55" s="101"/>
      <c r="P55" s="101"/>
      <c r="Q55" s="101"/>
      <c r="R55" s="101"/>
      <c r="S55" s="101"/>
      <c r="T55" s="101"/>
    </row>
    <row r="56" spans="1:20" x14ac:dyDescent="0.3">
      <c r="A56" s="101" t="s">
        <v>10</v>
      </c>
      <c r="B56" s="101"/>
      <c r="C56" s="101"/>
      <c r="D56" s="101">
        <f>(D54+(D55*5%))/5%</f>
        <v>48921.440000000002</v>
      </c>
      <c r="E56" s="101"/>
      <c r="F56" s="101"/>
      <c r="G56" s="101"/>
      <c r="H56" s="101"/>
      <c r="I56" s="101"/>
      <c r="J56" s="101">
        <f>(J54+(J55*6%))/6%</f>
        <v>54072.23333333333</v>
      </c>
      <c r="K56" s="101"/>
      <c r="L56" s="101"/>
      <c r="M56" s="101"/>
      <c r="N56" s="101"/>
      <c r="O56" s="101"/>
      <c r="P56" s="101"/>
      <c r="Q56" s="101"/>
      <c r="R56" s="101"/>
      <c r="S56" s="101"/>
      <c r="T56" s="101"/>
    </row>
    <row r="57" spans="1:20" x14ac:dyDescent="0.3">
      <c r="A57" s="101"/>
      <c r="B57" s="101"/>
      <c r="C57" s="101"/>
      <c r="D57" s="101"/>
      <c r="E57" s="101"/>
      <c r="F57" s="101"/>
      <c r="G57" s="101"/>
      <c r="H57" s="101"/>
      <c r="I57" s="101"/>
      <c r="J57" s="101"/>
      <c r="K57" s="101"/>
      <c r="L57" s="101"/>
      <c r="M57" s="101"/>
      <c r="N57" s="101"/>
      <c r="O57" s="101"/>
      <c r="P57" s="101"/>
      <c r="Q57" s="101"/>
      <c r="R57" s="101"/>
      <c r="S57" s="101"/>
      <c r="T57" s="101"/>
    </row>
    <row r="58" spans="1:20" x14ac:dyDescent="0.3">
      <c r="A58" s="101"/>
      <c r="B58" s="101"/>
      <c r="C58" s="101"/>
      <c r="D58" s="101" t="s">
        <v>57</v>
      </c>
      <c r="E58" s="101" t="s">
        <v>42</v>
      </c>
      <c r="F58" s="101" t="s">
        <v>361</v>
      </c>
      <c r="G58" s="101"/>
      <c r="H58" s="101"/>
      <c r="I58" s="101"/>
      <c r="J58" s="101" t="s">
        <v>74</v>
      </c>
      <c r="K58" s="101" t="s">
        <v>42</v>
      </c>
      <c r="L58" s="101" t="s">
        <v>361</v>
      </c>
      <c r="M58" s="101"/>
      <c r="N58" s="101"/>
      <c r="O58" s="101"/>
      <c r="P58" s="101"/>
      <c r="Q58" s="101"/>
      <c r="R58" s="101"/>
      <c r="S58" s="101"/>
      <c r="T58" s="101"/>
    </row>
    <row r="59" spans="1:20" x14ac:dyDescent="0.3">
      <c r="A59" s="101"/>
      <c r="B59" s="101"/>
      <c r="C59" s="101"/>
      <c r="D59" s="101">
        <f>IF('Optimisation retraite'!C29&lt;Seuils!D55,Seuils!D54,IF('Optimisation retraite'!C29&gt;Seuils!D56,0,D54-('Optimisation retraite'!C29-Seuils!D55)*5%))</f>
        <v>462.58</v>
      </c>
      <c r="E59" s="101">
        <f>IF('Optimisation retraite'!$E$29&lt;Seuils!D55,Seuils!D54,IF('Optimisation retraite'!$E$29&gt;Seuils!D56,0,D54-('Optimisation retraite'!$E$29-Seuils!D55)*5%))</f>
        <v>462.58</v>
      </c>
      <c r="F59" s="101">
        <f>IF(E29&lt;Seuils!$D$55,Seuils!$D$54,IF(E29&gt;Seuils!$D$56,0,$D$54-(E29-Seuils!$D$55)*5%))</f>
        <v>462.58</v>
      </c>
      <c r="G59" s="101"/>
      <c r="H59" s="101"/>
      <c r="I59" s="101" t="s">
        <v>37</v>
      </c>
      <c r="J59" s="101">
        <f>IF('Optimisation retraite'!C29&lt;Seuils!J55,Seuils!J54,IF('Optimisation retraite'!C29&gt;Seuils!J56,0,J54-('Optimisation retraite'!C29-Seuils!J55)*6%))</f>
        <v>1050.6199999999999</v>
      </c>
      <c r="K59" s="101">
        <f>IF('Optimisation retraite'!$E$29&lt;Seuils!J55,Seuils!J54,IF('Optimisation retraite'!$E$29&gt;Seuils!J56,0,J54-('Optimisation retraite'!$E$29-Seuils!J55)*6%))</f>
        <v>1050.6199999999999</v>
      </c>
      <c r="L59">
        <f>IF('Optimal #1'!E29&lt;Seuils!J55,Seuils!J54,IF('Optimal #1'!E29&gt;Seuils!J56,0,J54-('Optimal #1'!E29-Seuils!J55)*6%))</f>
        <v>864.14360000000022</v>
      </c>
      <c r="M59" s="101"/>
      <c r="N59" s="101"/>
      <c r="O59" s="101"/>
      <c r="P59" s="101"/>
      <c r="Q59" s="101"/>
      <c r="R59" s="101"/>
      <c r="S59" s="101"/>
      <c r="T59" s="101"/>
    </row>
    <row r="60" spans="1:20" x14ac:dyDescent="0.3">
      <c r="A60" s="101"/>
      <c r="B60" s="101"/>
      <c r="C60" s="101"/>
      <c r="D60" s="101">
        <f>IF('Optimal &lt; 65'!C28&lt;Seuils!D55,Seuils!D54,IF('Optimal &lt; 65'!C28&gt;Seuils!D56,0,D54-('Optimal &lt; 65'!C28-Seuils!D55)*5%))</f>
        <v>462.58</v>
      </c>
      <c r="E60" s="101">
        <f>IF('Optimal &lt; 65'!E28&lt;Seuils!D55,Seuils!D54,IF('Optimal &lt; 65'!E28&gt;Seuils!D56,0,D54-('Optimal &lt; 65'!E28-Seuils!D55)*5%))</f>
        <v>462.58</v>
      </c>
      <c r="F60" s="101"/>
      <c r="G60" s="101"/>
      <c r="H60" s="101"/>
      <c r="J60">
        <f>IF('Optimal &lt; 65'!C28&lt;Seuils!J55,Seuils!J54,IF('Optimal &lt; 65'!C28&gt;Seuils!J56,0,J54-('Optimal &lt; 65'!C28-Seuils!J55)*6%))</f>
        <v>1050.6199999999999</v>
      </c>
      <c r="K60">
        <f>IF('Optimal &lt; 65'!E28&lt;Seuils!J55,Seuils!J54,IF('Optimal &lt; 65'!E28&gt;Seuils!J56,0,J54-('Optimal &lt; 65'!E28-Seuils!J55)*6%))</f>
        <v>864.14360000000022</v>
      </c>
      <c r="M60" s="101"/>
      <c r="N60" s="101"/>
      <c r="O60" s="101"/>
      <c r="P60" s="101"/>
      <c r="Q60" s="101"/>
      <c r="R60" s="101"/>
      <c r="S60" s="101"/>
      <c r="T60" s="101"/>
    </row>
    <row r="61" spans="1:20" x14ac:dyDescent="0.3">
      <c r="A61" s="101"/>
      <c r="B61" s="101"/>
      <c r="C61" s="101"/>
      <c r="D61" s="101"/>
      <c r="E61" s="101"/>
      <c r="F61" s="101"/>
      <c r="G61" s="101"/>
      <c r="H61" s="101"/>
      <c r="I61" s="101" t="s">
        <v>122</v>
      </c>
      <c r="J61" s="101">
        <f>IF('Optimisation retraite'!C29&lt;Seuils!$L$64,Seuils!$L$63,IF('Optimisation retraite'!C29&gt;Seuils!$L$65,0,Seuils!$L$63-('Optimisation retraite'!C29+'Optimisation retraite'!B26+'Optimisation retraite'!C26-Seuils!$L$64)*5%))</f>
        <v>209</v>
      </c>
      <c r="K61" s="101">
        <f>IF('Optimisation retraite'!E29&lt;Seuils!$L$64,Seuils!$L$63,IF('Optimisation retraite'!E29&gt;Seuils!$L$65,0,Seuils!$L$63-('Optimisation retraite'!E29-Seuils!$L$64)*5%))</f>
        <v>0</v>
      </c>
      <c r="L61" s="101"/>
      <c r="M61" s="101"/>
      <c r="N61" s="101"/>
      <c r="O61" s="101"/>
      <c r="P61" s="101"/>
      <c r="Q61" s="101"/>
      <c r="R61" s="101"/>
      <c r="S61" s="101"/>
      <c r="T61" s="101"/>
    </row>
    <row r="62" spans="1:20" x14ac:dyDescent="0.3">
      <c r="A62" s="101"/>
      <c r="B62" s="101"/>
      <c r="C62" s="101"/>
      <c r="D62" s="101"/>
      <c r="E62" s="101"/>
      <c r="F62" s="101"/>
      <c r="G62" s="101"/>
      <c r="H62" s="101"/>
      <c r="I62" s="101"/>
      <c r="J62" s="101">
        <f>IF('Optimal &lt; 65'!H8&lt;70,0,IF('Optimal &lt; 65'!C28&lt;Seuils!$L$64,Seuils!$L$63,IF('Optimal &lt; 65'!C28&gt;Seuils!$L$65,0,Seuils!$L$63-('Optimal &lt; 65'!C28+'Optimal &lt; 65'!B25+'Optimal &lt; 65'!C25-Seuils!$L$64)*5%)))</f>
        <v>0</v>
      </c>
      <c r="K62" s="101">
        <f>IF('Optimal &lt; 65'!H8&lt;70,0,IF('Optimal &lt; 65'!E28&lt;Seuils!$L$64,Seuils!$L$63,IF('Optimal &lt; 65'!E28&gt;Seuils!$L$65,0,Seuils!$L$63-('Optimal &lt; 65'!E28-Seuils!$L$64)*5%)))</f>
        <v>0</v>
      </c>
      <c r="L62" s="101"/>
      <c r="M62" s="101"/>
      <c r="N62" s="101"/>
      <c r="O62" s="101"/>
      <c r="P62" s="101"/>
      <c r="Q62" s="101"/>
      <c r="R62" s="101"/>
      <c r="S62" s="101"/>
      <c r="T62" s="101"/>
    </row>
    <row r="63" spans="1:20" x14ac:dyDescent="0.3">
      <c r="A63" s="101"/>
      <c r="B63" s="101"/>
      <c r="C63" s="101"/>
      <c r="D63" s="101"/>
      <c r="E63" s="101"/>
      <c r="F63" s="101"/>
      <c r="G63" s="101"/>
      <c r="H63" s="101"/>
      <c r="I63" s="101" t="s">
        <v>123</v>
      </c>
      <c r="J63" s="180">
        <v>209</v>
      </c>
      <c r="K63" s="180">
        <f>J63*2</f>
        <v>418</v>
      </c>
      <c r="L63" s="101">
        <f>IF('Optimisation retraite'!$B$4=1,Seuils!J63,Seuils!K63)</f>
        <v>209</v>
      </c>
      <c r="M63" s="101"/>
      <c r="N63" s="101"/>
      <c r="O63" s="101"/>
      <c r="P63" s="101"/>
      <c r="Q63" s="101"/>
      <c r="R63" s="101"/>
      <c r="S63" s="101"/>
      <c r="T63" s="101"/>
    </row>
    <row r="64" spans="1:20" x14ac:dyDescent="0.3">
      <c r="A64" s="101"/>
      <c r="B64" s="101"/>
      <c r="C64" s="101"/>
      <c r="D64" s="101"/>
      <c r="E64" s="101"/>
      <c r="F64" s="101"/>
      <c r="G64" s="101"/>
      <c r="H64" s="101"/>
      <c r="I64" s="101" t="s">
        <v>38</v>
      </c>
      <c r="J64" s="180">
        <v>23575</v>
      </c>
      <c r="K64" s="180">
        <v>38340</v>
      </c>
      <c r="L64" s="101">
        <f>IF('Optimisation retraite'!$B$4=1,Seuils!J64,Seuils!K64)</f>
        <v>23575</v>
      </c>
      <c r="M64" s="101"/>
      <c r="N64" s="101"/>
      <c r="O64" s="101"/>
      <c r="P64" s="101"/>
      <c r="Q64" s="101"/>
      <c r="R64" s="101"/>
      <c r="S64" s="101"/>
      <c r="T64" s="101"/>
    </row>
    <row r="65" spans="1:20" x14ac:dyDescent="0.3">
      <c r="A65" s="101"/>
      <c r="B65" s="101"/>
      <c r="C65" s="101"/>
      <c r="D65" s="101"/>
      <c r="E65" s="101"/>
      <c r="F65" s="101"/>
      <c r="G65" s="101"/>
      <c r="H65" s="101"/>
      <c r="I65" s="101" t="s">
        <v>10</v>
      </c>
      <c r="J65" s="180">
        <v>27755</v>
      </c>
      <c r="K65" s="180">
        <v>46700</v>
      </c>
      <c r="L65" s="101">
        <f>IF('Optimisation retraite'!$B$4=1,Seuils!J65,Seuils!K65)</f>
        <v>27755</v>
      </c>
      <c r="M65" s="101"/>
      <c r="N65" s="101"/>
      <c r="O65" s="101"/>
      <c r="P65" s="101"/>
      <c r="Q65" s="101"/>
      <c r="R65" s="101"/>
      <c r="S65" s="101"/>
      <c r="T65" s="101"/>
    </row>
    <row r="66" spans="1:20" x14ac:dyDescent="0.3">
      <c r="A66" s="101"/>
      <c r="B66" s="101"/>
      <c r="C66" s="101"/>
      <c r="D66" s="101"/>
      <c r="E66" s="101"/>
      <c r="F66" s="101"/>
      <c r="G66" s="101"/>
      <c r="H66" s="101"/>
      <c r="I66" s="101"/>
      <c r="J66" s="101"/>
      <c r="K66" s="101"/>
      <c r="L66" s="101"/>
      <c r="M66" s="101"/>
      <c r="N66" s="101"/>
      <c r="O66" s="101"/>
      <c r="P66" s="101"/>
      <c r="Q66" s="101"/>
      <c r="R66" s="101"/>
      <c r="S66" s="101"/>
      <c r="T66" s="101"/>
    </row>
    <row r="67" spans="1:20" x14ac:dyDescent="0.3">
      <c r="A67" s="101"/>
      <c r="B67" s="101"/>
      <c r="C67" s="101"/>
      <c r="D67" s="101"/>
      <c r="E67" s="101"/>
      <c r="F67" s="101"/>
      <c r="G67" s="101"/>
      <c r="H67" s="101"/>
      <c r="I67" s="101"/>
      <c r="J67" s="101"/>
      <c r="K67" s="101"/>
      <c r="L67" s="101"/>
      <c r="M67" s="101"/>
      <c r="N67" s="101"/>
      <c r="O67" s="101"/>
      <c r="P67" s="101"/>
      <c r="Q67" s="101"/>
      <c r="R67" s="101"/>
      <c r="S67" s="101"/>
      <c r="T67" s="101"/>
    </row>
    <row r="68" spans="1:20" x14ac:dyDescent="0.3">
      <c r="A68" s="101"/>
      <c r="B68" s="101"/>
      <c r="C68" s="101"/>
      <c r="D68" s="101"/>
      <c r="E68" s="101"/>
      <c r="F68" s="101"/>
      <c r="G68" s="101"/>
      <c r="H68" s="101"/>
      <c r="I68" s="101"/>
      <c r="J68" s="101"/>
      <c r="K68" s="101"/>
      <c r="L68" s="101"/>
      <c r="M68" s="101"/>
      <c r="N68" s="101"/>
      <c r="O68" s="101"/>
      <c r="P68" s="101"/>
      <c r="Q68" s="101"/>
      <c r="R68" s="101"/>
      <c r="S68" s="101"/>
      <c r="T68" s="101"/>
    </row>
    <row r="69" spans="1:20" ht="21" x14ac:dyDescent="0.4">
      <c r="A69" s="182" t="s">
        <v>174</v>
      </c>
      <c r="B69" s="101"/>
      <c r="C69" s="101"/>
      <c r="D69" s="101"/>
      <c r="E69" s="101"/>
      <c r="F69" s="101"/>
      <c r="G69" s="101"/>
      <c r="H69" s="101"/>
      <c r="I69" s="101"/>
      <c r="J69" s="101"/>
      <c r="K69" s="101"/>
      <c r="L69" s="101"/>
      <c r="M69" s="101"/>
      <c r="N69" s="101"/>
      <c r="O69" s="101"/>
      <c r="P69" s="101"/>
      <c r="Q69" s="101"/>
      <c r="R69" s="101"/>
      <c r="S69" s="101"/>
      <c r="T69" s="101"/>
    </row>
    <row r="70" spans="1:20" ht="18.600000000000001" thickBot="1" x14ac:dyDescent="0.4">
      <c r="A70" s="183" t="s">
        <v>140</v>
      </c>
      <c r="B70" s="101"/>
      <c r="C70" s="101"/>
      <c r="E70" s="101"/>
      <c r="F70" s="101"/>
      <c r="G70" s="101"/>
      <c r="H70" s="101"/>
      <c r="I70" s="101"/>
      <c r="J70" s="101"/>
      <c r="K70" s="101"/>
      <c r="L70" s="101" t="s">
        <v>467</v>
      </c>
      <c r="M70" s="101"/>
      <c r="N70" s="101"/>
      <c r="O70" s="101"/>
      <c r="P70" s="101"/>
      <c r="Q70" s="101"/>
      <c r="R70" s="101"/>
      <c r="S70" s="101"/>
      <c r="T70" s="101"/>
    </row>
    <row r="71" spans="1:20" ht="15.6" x14ac:dyDescent="0.3">
      <c r="A71" s="184" t="s">
        <v>46</v>
      </c>
      <c r="B71" s="185" t="s">
        <v>244</v>
      </c>
      <c r="C71" s="186" t="s">
        <v>416</v>
      </c>
      <c r="D71" s="101" t="s">
        <v>417</v>
      </c>
      <c r="E71" s="101"/>
      <c r="F71" s="101"/>
      <c r="G71" s="101"/>
      <c r="H71" s="101"/>
      <c r="I71" s="187" t="s">
        <v>47</v>
      </c>
      <c r="J71" s="188"/>
      <c r="K71" s="101"/>
      <c r="L71" s="101"/>
      <c r="M71" s="101"/>
      <c r="N71" s="101"/>
      <c r="O71" s="101"/>
      <c r="P71" s="101"/>
      <c r="Q71" s="101"/>
      <c r="R71" s="101"/>
      <c r="S71" s="101"/>
      <c r="T71" s="101"/>
    </row>
    <row r="72" spans="1:20" ht="15.6" x14ac:dyDescent="0.3">
      <c r="A72" s="189" t="s">
        <v>141</v>
      </c>
      <c r="B72" s="190">
        <f>A9</f>
        <v>151978</v>
      </c>
      <c r="C72" s="190">
        <f>B72</f>
        <v>151978</v>
      </c>
      <c r="D72" s="190">
        <f>C72</f>
        <v>151978</v>
      </c>
      <c r="E72" s="101"/>
      <c r="F72" s="101"/>
      <c r="G72" s="101"/>
      <c r="H72" s="101"/>
      <c r="I72" s="191" t="s">
        <v>148</v>
      </c>
      <c r="J72" s="192">
        <f>I49</f>
        <v>138410</v>
      </c>
      <c r="K72" s="101"/>
      <c r="L72" s="101"/>
      <c r="M72" s="101"/>
      <c r="N72" s="101"/>
      <c r="O72" s="101"/>
      <c r="P72" s="101"/>
      <c r="Q72" s="101"/>
      <c r="R72" s="101"/>
      <c r="S72" s="101"/>
      <c r="T72" s="101"/>
    </row>
    <row r="73" spans="1:20" ht="15.6" x14ac:dyDescent="0.3">
      <c r="A73" s="189" t="s">
        <v>142</v>
      </c>
      <c r="B73" s="190">
        <f>A8</f>
        <v>98040</v>
      </c>
      <c r="C73" s="190">
        <f>B73</f>
        <v>98040</v>
      </c>
      <c r="D73" s="190">
        <f>C73</f>
        <v>98040</v>
      </c>
      <c r="E73" s="101"/>
      <c r="F73" s="101"/>
      <c r="G73" s="101"/>
      <c r="H73" s="101"/>
      <c r="I73" s="191" t="s">
        <v>149</v>
      </c>
      <c r="J73" s="192">
        <f>I9</f>
        <v>109755</v>
      </c>
      <c r="K73" s="101"/>
      <c r="L73" s="101"/>
      <c r="M73" s="101"/>
      <c r="N73" s="101"/>
      <c r="O73" s="101"/>
      <c r="P73" s="101"/>
      <c r="Q73" s="101"/>
      <c r="R73" s="101"/>
      <c r="S73" s="101"/>
      <c r="T73" s="101"/>
    </row>
    <row r="74" spans="1:20" ht="15.6" x14ac:dyDescent="0.3">
      <c r="A74" s="189" t="s">
        <v>143</v>
      </c>
      <c r="B74" s="193">
        <v>79845</v>
      </c>
      <c r="C74" s="190"/>
      <c r="D74" s="190"/>
      <c r="E74" s="101"/>
      <c r="F74" s="101"/>
      <c r="G74" s="101"/>
      <c r="H74" s="101"/>
      <c r="I74" s="191" t="s">
        <v>150</v>
      </c>
      <c r="J74" s="192">
        <f>I8</f>
        <v>90200</v>
      </c>
      <c r="K74" s="101"/>
      <c r="L74" s="101"/>
      <c r="M74" s="101"/>
      <c r="N74" s="101"/>
      <c r="O74" s="101"/>
      <c r="P74" s="101"/>
      <c r="Q74" s="101"/>
      <c r="R74" s="101"/>
      <c r="S74" s="101"/>
      <c r="T74" s="101"/>
    </row>
    <row r="75" spans="1:20" ht="15.6" x14ac:dyDescent="0.3">
      <c r="A75" s="189" t="s">
        <v>144</v>
      </c>
      <c r="B75" s="190">
        <f>A7</f>
        <v>49020</v>
      </c>
      <c r="C75" s="190">
        <f>B75</f>
        <v>49020</v>
      </c>
      <c r="D75" s="190"/>
      <c r="E75" s="101"/>
      <c r="F75" s="101"/>
      <c r="G75" s="101"/>
      <c r="H75" s="101"/>
      <c r="I75" s="191" t="s">
        <v>151</v>
      </c>
      <c r="J75" s="192">
        <f>J47</f>
        <v>53410</v>
      </c>
      <c r="K75" s="165">
        <f>J75-$J$79</f>
        <v>45923.29</v>
      </c>
      <c r="L75" s="101"/>
      <c r="M75" s="101"/>
      <c r="N75" s="101"/>
      <c r="O75" s="101"/>
      <c r="P75" s="101"/>
      <c r="Q75" s="101"/>
      <c r="R75" s="101"/>
      <c r="S75" s="101"/>
      <c r="T75" s="101"/>
    </row>
    <row r="76" spans="1:20" ht="15.6" x14ac:dyDescent="0.3">
      <c r="A76" s="189" t="s">
        <v>145</v>
      </c>
      <c r="B76" s="190">
        <f>D16</f>
        <v>38893</v>
      </c>
      <c r="C76" s="190"/>
      <c r="E76" s="511">
        <f>B76+B77</f>
        <v>63323.097087378643</v>
      </c>
      <c r="F76" s="101"/>
      <c r="G76" s="101"/>
      <c r="H76" s="101"/>
      <c r="I76" s="191" t="s">
        <v>152</v>
      </c>
      <c r="J76" s="192">
        <f>J6</f>
        <v>45105</v>
      </c>
      <c r="K76" s="101"/>
      <c r="L76" s="101"/>
      <c r="M76" s="101"/>
      <c r="N76" s="101"/>
      <c r="O76" s="101"/>
      <c r="P76" s="101"/>
      <c r="Q76" s="101"/>
      <c r="R76" s="101"/>
      <c r="S76" s="101"/>
      <c r="T76" s="101"/>
    </row>
    <row r="77" spans="1:20" ht="15.6" x14ac:dyDescent="0.3">
      <c r="A77" s="189" t="s">
        <v>146</v>
      </c>
      <c r="B77" s="194">
        <f>(D12+D15+D19+D23)/1.03</f>
        <v>24430.097087378639</v>
      </c>
      <c r="C77" s="550">
        <f>(D12+D19+D23)/1.03</f>
        <v>16941.747572815533</v>
      </c>
      <c r="D77" s="190"/>
      <c r="E77" s="101"/>
      <c r="F77" s="101"/>
      <c r="G77" s="101"/>
      <c r="H77" s="101"/>
      <c r="I77" s="191" t="s">
        <v>35</v>
      </c>
      <c r="J77" s="192">
        <f>J45</f>
        <v>15360</v>
      </c>
      <c r="K77" s="165">
        <f>J77-$J$79</f>
        <v>7873.29</v>
      </c>
      <c r="L77" s="101"/>
      <c r="M77" s="101"/>
      <c r="N77" s="101"/>
      <c r="O77" s="101"/>
      <c r="P77" s="101"/>
      <c r="Q77" s="101"/>
      <c r="R77" s="101"/>
      <c r="S77" s="101"/>
      <c r="T77" s="101"/>
    </row>
    <row r="78" spans="1:20" ht="16.2" thickBot="1" x14ac:dyDescent="0.35">
      <c r="A78" s="195" t="s">
        <v>147</v>
      </c>
      <c r="B78" s="196">
        <f>IF('Optimisation retraite'!B4=2,B77+D12+D15+D19,B77)</f>
        <v>24430.097087378639</v>
      </c>
      <c r="C78" s="197">
        <f>IF('Optimisation retraite'!B4=2,C77+D12+D19,C77)</f>
        <v>16941.747572815533</v>
      </c>
      <c r="D78" s="197"/>
      <c r="E78" s="101"/>
      <c r="F78" s="101"/>
      <c r="G78" s="101"/>
      <c r="H78" s="101"/>
      <c r="I78" s="198" t="s">
        <v>153</v>
      </c>
      <c r="J78" s="199">
        <v>42654</v>
      </c>
      <c r="K78" s="101"/>
      <c r="L78" s="200">
        <f>'Optimal &lt; 65'!C39/Seuils!K6</f>
        <v>19310.15783866667</v>
      </c>
      <c r="M78" s="101"/>
      <c r="N78" s="101"/>
      <c r="O78" s="101"/>
      <c r="P78" s="101"/>
      <c r="Q78" s="101"/>
      <c r="R78" s="101"/>
      <c r="S78" s="101"/>
      <c r="T78" s="101"/>
    </row>
    <row r="79" spans="1:20" ht="15.6" x14ac:dyDescent="0.3">
      <c r="A79" s="101"/>
      <c r="B79" s="200">
        <f>D12+D15+D19</f>
        <v>23521</v>
      </c>
      <c r="C79" s="101"/>
      <c r="D79" s="101"/>
      <c r="E79" s="101"/>
      <c r="F79" s="101"/>
      <c r="G79" s="101"/>
      <c r="H79" s="101"/>
      <c r="I79" s="201" t="s">
        <v>43</v>
      </c>
      <c r="J79" s="165">
        <f>'Optimisation retraite'!B8</f>
        <v>7486.71</v>
      </c>
      <c r="K79" s="101">
        <f>'Optimisation retraite'!C8</f>
        <v>0</v>
      </c>
      <c r="L79" s="101"/>
      <c r="M79" s="101"/>
      <c r="N79" s="101"/>
      <c r="O79" s="101"/>
      <c r="P79" s="101"/>
      <c r="Q79" s="101"/>
      <c r="R79" s="101"/>
      <c r="S79" s="101"/>
      <c r="T79" s="101"/>
    </row>
    <row r="80" spans="1:20" ht="15" thickBot="1" x14ac:dyDescent="0.35">
      <c r="A80" s="101"/>
      <c r="B80" s="101"/>
      <c r="C80" s="101"/>
      <c r="D80" s="101"/>
      <c r="E80" s="101"/>
      <c r="F80" s="101"/>
      <c r="G80" s="101"/>
      <c r="H80" s="101"/>
      <c r="I80" s="101"/>
      <c r="J80" s="101"/>
      <c r="K80" s="101"/>
      <c r="L80" s="101"/>
      <c r="M80" s="101"/>
      <c r="N80" s="101"/>
      <c r="O80" s="101"/>
      <c r="P80" s="101"/>
      <c r="Q80" s="101"/>
      <c r="R80" s="101"/>
      <c r="S80" s="101"/>
      <c r="T80" s="101"/>
    </row>
    <row r="81" spans="1:20" ht="15.6" x14ac:dyDescent="0.3">
      <c r="A81" s="492" t="s">
        <v>356</v>
      </c>
      <c r="B81" s="493" t="s">
        <v>40</v>
      </c>
      <c r="C81" s="494" t="s">
        <v>41</v>
      </c>
      <c r="D81" s="495" t="s">
        <v>69</v>
      </c>
      <c r="E81" s="101"/>
      <c r="F81" s="101"/>
      <c r="G81" s="101"/>
      <c r="H81" s="101"/>
      <c r="I81" s="492" t="s">
        <v>359</v>
      </c>
      <c r="J81" s="493" t="s">
        <v>40</v>
      </c>
      <c r="K81" s="494" t="s">
        <v>41</v>
      </c>
      <c r="L81" s="495">
        <f>'Optimisation retraite'!$B$16/2</f>
        <v>9049.1450000000004</v>
      </c>
      <c r="M81" s="101"/>
      <c r="N81" s="101"/>
      <c r="O81" s="101"/>
      <c r="P81" s="101"/>
      <c r="Q81" s="101"/>
      <c r="R81" s="101"/>
      <c r="S81" s="101"/>
      <c r="T81" s="101"/>
    </row>
    <row r="82" spans="1:20" x14ac:dyDescent="0.3">
      <c r="A82" s="496">
        <f>'Optimal #1'!E29</f>
        <v>39669.839999999997</v>
      </c>
      <c r="B82" s="497">
        <f>A82-C82</f>
        <v>39669.839999999997</v>
      </c>
      <c r="C82" s="497">
        <f>IF('Optimisation retraite'!$B$4=1,0,IF(A82&gt;=$B$74*2,$B$74,IF(A82&gt;=$B$74+$B$75,A82-$B$74,IF(A82&gt;=$B$75*2,$B$75,IF(A82&gt;=$B$75+$B$76,A82-$B$75,IF(A82&gt;=$B$76*2,$B$76,IF(A82&gt;=$B$76+$B$77,A82-$B$76,IF(A82&gt;$B$77*2,($D$12+$D$15+$D$19+$D$23)/1.03,IF(A82&lt;$B$79*2,A82-$B$79,($D$12+$D$15+$D$19))))))))))</f>
        <v>0</v>
      </c>
      <c r="D82" s="498"/>
      <c r="E82" s="101"/>
      <c r="F82" s="101"/>
      <c r="G82" s="101"/>
      <c r="H82" s="101"/>
      <c r="I82" s="496">
        <f>A82</f>
        <v>39669.839999999997</v>
      </c>
      <c r="J82" s="497">
        <f>I82-K82</f>
        <v>39669.839999999997</v>
      </c>
      <c r="K82" s="497">
        <f>IF('Optimisation retraite'!$B$4=1,0,IF(I82&gt;=$J$72*2,$J$72,IF(I82&gt;=$J$72+$J$73,$J$73,IF(I82&gt;=$J$72+$J$74,I82-$J$72,IF(I82&gt;=$J$74+$J$73,$J$74,IF(I82&gt;=$J$74*2,$J$74,IF(I82&gt;$J$74+$J$76,I82-$J$74,IF(I82-$J$79-$K$79&gt;=$J$75*2,$J$76,IF(I82&gt;$J$76*2,$J$76,IF(AND(I82&gt;$J$74,I82&gt;$J$76+$K$75),I82-($J$75+K83),IF(AND(I82&gt;$J$74,I82-$J$79-$K$79&lt;$J$75*2),I82-$J$76,IF(I82&gt;=$J$76+$J$77*2,I82-$J$76,IF(I82&gt;=$J$76+$J$77,I82-$J$76,IF(I82&gt;=$J$77*2,$J$77+$K$79,I82-($J$77+$K$79)))))))))))))))</f>
        <v>0</v>
      </c>
      <c r="L82" s="498">
        <f>I82-'Optimisation retraite'!$C$9-Seuils!K83-Seuils!J82</f>
        <v>0</v>
      </c>
      <c r="M82" s="101"/>
      <c r="N82" s="101"/>
      <c r="O82" s="101"/>
      <c r="P82" s="101"/>
      <c r="Q82" s="101"/>
      <c r="R82" s="101"/>
      <c r="S82" s="101"/>
      <c r="T82" s="101"/>
    </row>
    <row r="83" spans="1:20" x14ac:dyDescent="0.3">
      <c r="A83" s="496" t="s">
        <v>43</v>
      </c>
      <c r="B83" s="499">
        <f>$J$79</f>
        <v>7486.71</v>
      </c>
      <c r="C83" s="497">
        <f>IF('Optimisation retraite'!$B$4=1,0,$K$79)</f>
        <v>0</v>
      </c>
      <c r="D83" s="498"/>
      <c r="E83" s="101"/>
      <c r="F83" s="101"/>
      <c r="G83" s="101"/>
      <c r="H83" s="101"/>
      <c r="I83" s="496" t="s">
        <v>43</v>
      </c>
      <c r="J83" s="499">
        <f>$J$79</f>
        <v>7486.71</v>
      </c>
      <c r="K83" s="497">
        <f>IF('Optimisation retraite'!$B$4=1,0,$K$79)</f>
        <v>0</v>
      </c>
      <c r="L83" s="498"/>
      <c r="M83" s="101"/>
      <c r="N83" s="101"/>
      <c r="O83" s="101"/>
      <c r="P83" s="101"/>
      <c r="Q83" s="101"/>
      <c r="R83" s="101"/>
      <c r="S83" s="101"/>
      <c r="T83" s="101"/>
    </row>
    <row r="84" spans="1:20" ht="15.6" x14ac:dyDescent="0.3">
      <c r="A84" s="189" t="s">
        <v>133</v>
      </c>
      <c r="B84" s="497">
        <f>'Optimal #1'!D47</f>
        <v>0</v>
      </c>
      <c r="C84" s="497"/>
      <c r="D84" s="498"/>
      <c r="E84" s="101"/>
      <c r="F84" s="101"/>
      <c r="G84" s="101"/>
      <c r="H84" s="101"/>
      <c r="I84" s="496"/>
      <c r="J84" s="497">
        <f>B84</f>
        <v>0</v>
      </c>
      <c r="K84" s="497"/>
      <c r="L84" s="498"/>
      <c r="M84" s="101"/>
      <c r="N84" s="101"/>
      <c r="O84" s="101"/>
      <c r="P84" s="101"/>
      <c r="Q84" s="101"/>
      <c r="R84" s="101"/>
      <c r="S84" s="101"/>
      <c r="T84" s="101"/>
    </row>
    <row r="85" spans="1:20" x14ac:dyDescent="0.3">
      <c r="A85" s="496" t="s">
        <v>157</v>
      </c>
      <c r="B85" s="497">
        <f>IF(B82-B84&gt;$A$10,(B82-B84-$A$10)*$C$10+$D$8,IF(B82-B84&gt;$A$9,(B82-B84-$A$9)*$C$9+$D$9,IF(B82-B84&gt;$A$8,(B82-B84-$A$8)*$C$8+$D$8,IF(B82-B84&gt;$A$7,(B82-B84-$A$7)*$C$7+$D$7,B82*$C$6))))</f>
        <v>5950.4759999999997</v>
      </c>
      <c r="C85" s="497">
        <f>IF('Optimisation retraite'!$B$4=1,0,IF(C82&gt;$A$8,(C82-$A$8)*$C$8+$D$8,IF(C82&gt;$A$7,(C82-$A$7)*$C$7+$D$7,C82*$C$6)))</f>
        <v>0</v>
      </c>
      <c r="D85" s="498">
        <f>B85+C85</f>
        <v>5950.4759999999997</v>
      </c>
      <c r="E85" s="101"/>
      <c r="F85" s="101"/>
      <c r="G85" s="101"/>
      <c r="H85" s="101"/>
      <c r="I85" s="496" t="s">
        <v>157</v>
      </c>
      <c r="J85" s="497">
        <f>IF(J82-J84&gt;$I$9,(J82-J84-$I$9)*$K$9+$L$9,IF(J82-J84&gt;$I$8,(J82-J84-$I$8)*$K$8+$L$8,IF(J82-J84&gt;$I$7,(J82-J84-$I$7)*$K$7+$L$7,J82*$K$6)))</f>
        <v>5950.4759999999997</v>
      </c>
      <c r="K85" s="497">
        <f>IF('Optimisation retraite'!$B$4=1,0,IF(K82&gt;$I$8,(K82-$I$8)*$K$8+$L$8,IF(K82&gt;$I$7,(K82-$I$7)*$K$7+$L$7,IF(K82&lt;$K$12+$J$15+$J$24,0,K82*$C$6))))</f>
        <v>0</v>
      </c>
      <c r="L85" s="498">
        <f>J85+K85</f>
        <v>5950.4759999999997</v>
      </c>
      <c r="M85" s="101"/>
      <c r="N85" s="101"/>
      <c r="O85" s="101"/>
      <c r="P85" s="101"/>
      <c r="Q85" s="101"/>
      <c r="R85" s="101"/>
      <c r="S85" s="101"/>
      <c r="T85" s="101"/>
    </row>
    <row r="86" spans="1:20" x14ac:dyDescent="0.3">
      <c r="A86" s="496"/>
      <c r="B86" s="497"/>
      <c r="C86" s="497"/>
      <c r="D86" s="498"/>
      <c r="E86" s="101"/>
      <c r="F86" s="101"/>
      <c r="G86" s="101"/>
      <c r="H86" s="101"/>
      <c r="I86" s="496"/>
      <c r="J86" s="497"/>
      <c r="K86" s="497"/>
      <c r="L86" s="498"/>
      <c r="M86" s="101"/>
      <c r="N86" s="101"/>
      <c r="O86" s="101"/>
      <c r="P86" s="101"/>
      <c r="Q86" s="101"/>
      <c r="R86" s="101"/>
      <c r="S86" s="101"/>
      <c r="T86" s="101"/>
    </row>
    <row r="87" spans="1:20" ht="15" thickBot="1" x14ac:dyDescent="0.35">
      <c r="A87" s="496" t="s">
        <v>158</v>
      </c>
      <c r="B87" s="497">
        <f>IF(B82&gt;$D$17,0,IF(B82&lt;$D$16,$D$15,$D$15-(B82-B84-$D$16)*15%))</f>
        <v>7596.4740000000002</v>
      </c>
      <c r="C87" s="497">
        <f>IF('Optimisation retraite'!$B$4=1,0,IF(C82&gt;$D$17,0,IF(C82&lt;$D$16,$D$15,$D$15-(C82-$D$16)*15%)))</f>
        <v>0</v>
      </c>
      <c r="D87" s="498">
        <f>B87+C87</f>
        <v>7596.4740000000002</v>
      </c>
      <c r="E87" s="101">
        <f>D87</f>
        <v>7596.4740000000002</v>
      </c>
      <c r="F87" s="101"/>
      <c r="G87" s="101"/>
      <c r="H87" s="101" t="str">
        <f>'Optimisation retraite'!E15</f>
        <v>Si &gt; 65 ans</v>
      </c>
      <c r="I87" s="500" t="s">
        <v>35</v>
      </c>
      <c r="J87" s="341">
        <f>IF(J82-J83&gt;$I$49,$L$49,IF(J82-J83&gt;$I$48,(J82-J83-$I$48)*$K$48+$L$48,IF(J82-J83&lt;$I$46,0,IF(J82-J83&lt;$I$47,(J82-J83-$I$46)*$K$46,150))))</f>
        <v>150</v>
      </c>
      <c r="K87" s="501">
        <f>IF('Optimisation retraite'!$B$4=1,0,IF(K82-K83&gt;$I$49,$L$49,IF(K82-K83&gt;$I$48,(K82-K83-$I$48)*$K$48+$L$48,IF(K82-K83&lt;$I$46,0,IF(K82-K83&lt;$I$47,(K82-K83-$I$46)*$K$46,150)))))</f>
        <v>0</v>
      </c>
      <c r="L87" s="502">
        <f>J87+K87</f>
        <v>150</v>
      </c>
      <c r="M87" s="101"/>
      <c r="N87" s="101"/>
      <c r="O87" s="101"/>
      <c r="P87" s="101"/>
      <c r="Q87" s="101"/>
      <c r="R87" s="101"/>
      <c r="S87" s="101"/>
      <c r="T87" s="101"/>
    </row>
    <row r="88" spans="1:20" ht="15" thickBot="1" x14ac:dyDescent="0.35">
      <c r="A88" s="500" t="s">
        <v>159</v>
      </c>
      <c r="B88" s="501"/>
      <c r="C88" s="501">
        <f>IF(AND($J$14=2,$D$23&lt;C82*3%),0,IF(AND($J$14=2,C82*3%&gt;$E$23),$D$23-$E$23,IF(AND($J$14=2,C82&lt;$C$17),$D$23-(B82*3%),IF($J$14=2,$D$23-(C82*3%),IF(AND($J$14=1,('Optimal #1'!E29+'Optimal #1'!D26)*3%&gt;$E$23,$D$23&gt;$E$23),$D$23-$E$23,IF(AND($J$14=1,$D$23&lt;('Optimal #1'!E29+'Optimal #1'!D26)*3%),0,IF(('Optimal #1'!E29+'Optimal #1'!D273)*3%&gt;Seuils!$D$23,0,Seuils!$D$23-('Optimal #1'!E29+'Optimal #1'!D26)*3%)))))))</f>
        <v>451.90480000000025</v>
      </c>
      <c r="D88" s="502"/>
      <c r="E88" s="101">
        <f>E87*15%</f>
        <v>1139.4711</v>
      </c>
      <c r="F88">
        <f>E88/(1-$G$18)</f>
        <v>1572.2264229044497</v>
      </c>
      <c r="G88" s="101"/>
      <c r="H88" s="101" t="e">
        <f>H87*15%</f>
        <v>#VALUE!</v>
      </c>
      <c r="I88" s="243"/>
      <c r="J88" s="243"/>
      <c r="K88" s="243"/>
      <c r="L88" s="243"/>
      <c r="M88" s="101"/>
      <c r="N88" s="101"/>
      <c r="O88" s="101"/>
      <c r="P88" s="101"/>
      <c r="Q88" s="101"/>
      <c r="R88" s="101"/>
      <c r="S88" s="101"/>
      <c r="T88" s="101"/>
    </row>
    <row r="89" spans="1:20" ht="15" thickBot="1" x14ac:dyDescent="0.35">
      <c r="A89" s="243" t="s">
        <v>357</v>
      </c>
      <c r="B89" s="243"/>
      <c r="C89" s="243"/>
      <c r="D89" s="243"/>
      <c r="E89" s="101" t="e">
        <f>E88+H88</f>
        <v>#VALUE!</v>
      </c>
      <c r="F89" t="e">
        <f>E89/(1-$G$18)</f>
        <v>#VALUE!</v>
      </c>
      <c r="G89" s="101"/>
      <c r="H89" s="101"/>
      <c r="I89" s="243"/>
      <c r="J89" s="243"/>
      <c r="K89" s="243"/>
      <c r="L89" s="243"/>
      <c r="M89" s="101"/>
      <c r="N89" s="101"/>
      <c r="O89" s="101"/>
      <c r="P89" s="101"/>
      <c r="Q89" s="101"/>
      <c r="R89" s="101"/>
      <c r="S89" s="101"/>
      <c r="T89" s="101"/>
    </row>
    <row r="90" spans="1:20" ht="15.6" x14ac:dyDescent="0.3">
      <c r="A90" s="492" t="s">
        <v>358</v>
      </c>
      <c r="B90" s="493" t="s">
        <v>40</v>
      </c>
      <c r="C90" s="494" t="s">
        <v>41</v>
      </c>
      <c r="D90" s="495"/>
      <c r="E90" s="101"/>
      <c r="F90" s="101"/>
      <c r="G90" s="101"/>
      <c r="H90" s="101"/>
      <c r="I90" s="513" t="s">
        <v>360</v>
      </c>
      <c r="J90" s="493" t="s">
        <v>40</v>
      </c>
      <c r="K90" s="494" t="s">
        <v>41</v>
      </c>
      <c r="L90" s="495"/>
      <c r="M90" s="101"/>
      <c r="N90" s="101"/>
      <c r="O90" s="101"/>
      <c r="P90" s="101"/>
      <c r="Q90" s="101"/>
      <c r="R90" s="101"/>
      <c r="S90" s="101"/>
      <c r="T90" s="101"/>
    </row>
    <row r="91" spans="1:20" x14ac:dyDescent="0.3">
      <c r="A91" s="496">
        <f>'Optimisation retraite'!$C$29</f>
        <v>16901.71</v>
      </c>
      <c r="B91" s="497">
        <f>A91-C91</f>
        <v>16901.71</v>
      </c>
      <c r="C91" s="497">
        <f>IF('Optimisation retraite'!$B$4=1,0,IF(A91&gt;=$B$74*2,$B$74,IF(A91&gt;=$B$74+$B$75,A91-$B$74,IF(A91&gt;=$B$75*2,$B$75,IF(A91&gt;=$B$75+$B$76,A91-$B$75,IF(A91&gt;=$B$76*2,$B$76,IF(A91&gt;=$B$76+$B$77,A91-$B$76,IF(A91&gt;$B$77*2,($D$12+$D$15+$D$19+$D$23)/1.03,IF(A91&lt;$B$79*2,A91-$B$79,($D$12+$D$15+$D$19))))))))))</f>
        <v>0</v>
      </c>
      <c r="D91" s="498"/>
      <c r="E91" s="101"/>
      <c r="F91" s="101"/>
      <c r="G91" s="101"/>
      <c r="H91" s="101"/>
      <c r="I91" s="496">
        <f>A91</f>
        <v>16901.71</v>
      </c>
      <c r="J91" s="497">
        <f>I91-K91</f>
        <v>16901.71</v>
      </c>
      <c r="K91" s="497">
        <f>IF('Optimisation retraite'!$B$4=1,0,IF(I91&gt;=$J$72*2,$J$72,IF(I91&gt;=$J$72+$J$73,$J$73,IF(I91&gt;=$J$72+$J$74,I91-$J$72,IF(I91&gt;=$J$74+$J$73,$J$74,IF(I91&gt;=$J$74*2,$J$74,IF(I91&gt;$J$74+$J$76,I91-$J$74,IF(I91-$J$79-$K$79&gt;=$J$75*2,$J$76,IF(I91&gt;$J$76*2,$J$76,IF(AND(I91&gt;$J$74,I91-$J$79-$K$79&lt;$J$75*2),I91-($J$75+$K$120),IF(I91&gt;=$J$76+$J$77*2,I91-$J$76,IF(I91&gt;=$J$76+$J$77,I91-$J$76,IF(I91&gt;=$J$77*2+$K$79,$J$77+K92,I91-($J$77+$J$79))))))))))))))</f>
        <v>0</v>
      </c>
      <c r="L91" s="498"/>
      <c r="M91" s="101"/>
      <c r="N91" s="101"/>
      <c r="O91" s="101"/>
      <c r="P91" s="101"/>
      <c r="Q91" s="101"/>
      <c r="R91" s="101"/>
      <c r="S91" s="101"/>
      <c r="T91" s="101"/>
    </row>
    <row r="92" spans="1:20" x14ac:dyDescent="0.3">
      <c r="A92" s="496" t="s">
        <v>43</v>
      </c>
      <c r="B92" s="499">
        <f>J59</f>
        <v>1050.6199999999999</v>
      </c>
      <c r="C92" s="497">
        <f>IF('Optimisation retraite'!$B$4=1,0,$K$79)</f>
        <v>0</v>
      </c>
      <c r="D92" s="498"/>
      <c r="E92" s="101"/>
      <c r="F92" s="101"/>
      <c r="G92" s="101"/>
      <c r="H92" s="101"/>
      <c r="I92" s="496" t="s">
        <v>43</v>
      </c>
      <c r="J92" s="499">
        <f>J83</f>
        <v>7486.71</v>
      </c>
      <c r="K92" s="497">
        <f>IF('Optimisation retraite'!$B$4=1,0,K83)</f>
        <v>0</v>
      </c>
      <c r="L92" s="498"/>
      <c r="M92" s="101"/>
      <c r="N92" s="101"/>
      <c r="O92" s="101"/>
      <c r="P92" s="101"/>
      <c r="Q92" s="101"/>
      <c r="R92" s="101"/>
      <c r="S92" s="101"/>
      <c r="T92" s="101"/>
    </row>
    <row r="93" spans="1:20" ht="15.6" x14ac:dyDescent="0.3">
      <c r="A93" s="189" t="s">
        <v>133</v>
      </c>
      <c r="B93" s="497">
        <f>'Optimal #1'!B47</f>
        <v>0</v>
      </c>
      <c r="C93" s="497"/>
      <c r="D93" s="498"/>
      <c r="E93" s="101"/>
      <c r="F93" s="101"/>
      <c r="G93" s="101"/>
      <c r="H93" s="101"/>
      <c r="I93" s="496"/>
      <c r="J93" s="497">
        <f>B93</f>
        <v>0</v>
      </c>
      <c r="K93" s="497"/>
      <c r="L93" s="498"/>
      <c r="M93" s="101"/>
      <c r="N93" s="101"/>
      <c r="O93" s="101"/>
      <c r="P93" s="101"/>
      <c r="Q93" s="101"/>
      <c r="R93" s="101"/>
      <c r="S93" s="101"/>
      <c r="T93" s="101"/>
    </row>
    <row r="94" spans="1:20" x14ac:dyDescent="0.3">
      <c r="A94" s="496" t="s">
        <v>157</v>
      </c>
      <c r="B94" s="497">
        <f>IF(B91-B93&gt;$A$9,(B91-B93-$A$9)*$C$9+$D$9,IF(B91-B93&gt;$A$8,(B91-B93-$A$8)*$C$8+$D$8,IF(B91-B93&gt;$A$7,(B91-B93-$A$7)*$C$7+$D$7,B91*$C$6)))</f>
        <v>2535.2565</v>
      </c>
      <c r="C94" s="497">
        <f>IF('Optimisation retraite'!$B$4=1,0,IF(C91&gt;$A$8,(C91-$A$8)*$C$8+$D$8,IF(C91&gt;$A$7,(C91-$A$7)*$C$7+$D$7,C91*$C$6)))</f>
        <v>0</v>
      </c>
      <c r="D94" s="498">
        <f>B94+C94</f>
        <v>2535.2565</v>
      </c>
      <c r="E94" s="101"/>
      <c r="F94" s="101"/>
      <c r="G94" s="101"/>
      <c r="H94" s="101"/>
      <c r="I94" s="496" t="s">
        <v>157</v>
      </c>
      <c r="J94" s="497">
        <f>IF(J91-J93&gt;$I$9,(J91-J93-$I$9)*$K$9+$L$9,IF(J91-J93&gt;$I$8,(J91-J93-$I$8)*$K$8+$L$8,IF(J91-J93&gt;$I$7,(J91-J93-$I$7)*$K$7+$L$7,J91*$K$6)))</f>
        <v>2535.2565</v>
      </c>
      <c r="K94" s="497">
        <f>IF('Optimisation retraite'!$B$4=1,0,IF(K91&gt;$I$8,(K91-$I$8)*$K$8+$L$8,IF(K91&gt;$I$7,(K91-$I$7)*$K$7+$L$7,K91*$C$6)))</f>
        <v>0</v>
      </c>
      <c r="L94" s="498">
        <f>J94+K94</f>
        <v>2535.2565</v>
      </c>
      <c r="M94" s="101"/>
      <c r="N94" s="101"/>
      <c r="O94" s="101"/>
      <c r="P94" s="101"/>
      <c r="Q94" s="101"/>
      <c r="R94" s="101"/>
      <c r="S94" s="101"/>
      <c r="T94" s="101"/>
    </row>
    <row r="95" spans="1:20" x14ac:dyDescent="0.3">
      <c r="A95" s="496"/>
      <c r="B95" s="497"/>
      <c r="C95" s="497"/>
      <c r="D95" s="498"/>
      <c r="E95" s="101"/>
      <c r="F95" s="101"/>
      <c r="G95" s="101"/>
      <c r="H95" s="101"/>
      <c r="I95" s="496"/>
      <c r="J95" s="497"/>
      <c r="K95" s="497"/>
      <c r="L95" s="498"/>
      <c r="M95" s="101"/>
      <c r="N95" s="101"/>
      <c r="O95" s="101"/>
      <c r="P95" s="101"/>
      <c r="Q95" s="101"/>
      <c r="R95" s="101"/>
      <c r="S95" s="101"/>
      <c r="T95" s="101"/>
    </row>
    <row r="96" spans="1:20" ht="15" thickBot="1" x14ac:dyDescent="0.35">
      <c r="A96" s="496" t="s">
        <v>158</v>
      </c>
      <c r="B96" s="497">
        <f>IF(B91&gt;$D$17,0,IF(B91&lt;$D$16,$D$15,$D$15-(B91-B93-$D$16)*15%))</f>
        <v>7713</v>
      </c>
      <c r="C96" s="497">
        <f>IF('Optimisation retraite'!$B$4=1,0,IF(C91&gt;$D$17,0,IF(C91&lt;$D$16,$D$15,$D$15-(C91-$D$16)*15%)))</f>
        <v>0</v>
      </c>
      <c r="D96" s="498">
        <f>B96+C96</f>
        <v>7713</v>
      </c>
      <c r="E96" s="101">
        <f>B96</f>
        <v>7713</v>
      </c>
      <c r="F96" s="101"/>
      <c r="G96" s="101"/>
      <c r="H96" s="101"/>
      <c r="I96" s="500" t="s">
        <v>35</v>
      </c>
      <c r="J96" s="341">
        <f>IF(J91-J92&gt;$I$49,$L$49,IF(J91-J92&gt;$I$48,(J91-J92-$I$48)*$K$48+$L$48,IF(J91-J92&lt;$I$46,0,IF(J91-J92&lt;$I$47,(J91-J92-$I$46)*$K$46,150))))</f>
        <v>0</v>
      </c>
      <c r="K96" s="501">
        <f>IF('Optimisation retraite'!$B$4=1,0,IF(K91-K92&gt;$I$49,$L$49,IF(K91-K92&gt;$I$48,(K91-K92-$I$48)*$K$48+$L$48,IF(K91-K92&lt;=$I$46,0,IF(K91-K92&lt;$I$47,(K91-K92-$I$46)*$K$46,150)))))</f>
        <v>0</v>
      </c>
      <c r="L96" s="502">
        <f>J96+K96</f>
        <v>0</v>
      </c>
      <c r="M96" s="101"/>
      <c r="N96" s="101"/>
      <c r="O96" s="101"/>
      <c r="P96" s="101"/>
      <c r="Q96" s="101"/>
      <c r="R96" s="101"/>
      <c r="S96" s="101"/>
      <c r="T96" s="101"/>
    </row>
    <row r="97" spans="1:20" ht="15" thickBot="1" x14ac:dyDescent="0.35">
      <c r="A97" s="500" t="s">
        <v>159</v>
      </c>
      <c r="B97" s="501"/>
      <c r="C97" s="501">
        <f>IF(AND($J$14=2,$D$23&lt;C91*3%),0,IF(AND($J$14=2,C91*3%&gt;$E$23),$D$23-$E$23,IF(AND($J$14=2,C91&lt;$C$17),$D$23-(B91*3%),IF($J$14=2,$D$23-(C91*3%),IF(AND($J$14=1,('Optimal #1'!C29+'Optimal #1'!B26)*3%&gt;$E$23,$D$23&gt;$E$23),$D$23-$E$23,IF(AND($J$14=1,$D$23&lt;('Optimal #1'!C29+'Optimal #1'!B26)*3%),0,IF(('Optimal #1'!C29+'Optimal #1'!B26)*3%&gt;Seuils!$D$23,0,Seuils!$D$23-('Optimal #1'!C29+'Optimal #1'!B26)*3%)))))))</f>
        <v>991.41370000000006</v>
      </c>
      <c r="D97" s="502"/>
      <c r="E97" s="101">
        <f>E96*15%</f>
        <v>1156.95</v>
      </c>
      <c r="F97" t="e">
        <f>E97/(1-#REF!)</f>
        <v>#REF!</v>
      </c>
      <c r="G97" s="101"/>
      <c r="H97" s="101"/>
      <c r="I97" s="101"/>
      <c r="J97" s="101"/>
      <c r="K97" s="101"/>
      <c r="L97" s="101"/>
      <c r="M97" s="101"/>
      <c r="N97" s="101"/>
      <c r="O97" s="101"/>
      <c r="P97" s="101"/>
      <c r="Q97" s="101"/>
      <c r="R97" s="101"/>
      <c r="S97" s="101"/>
      <c r="T97" s="101"/>
    </row>
    <row r="98" spans="1:20" x14ac:dyDescent="0.3">
      <c r="A98" s="101"/>
      <c r="B98" s="101"/>
      <c r="C98" s="101"/>
      <c r="D98" s="101"/>
      <c r="E98" s="101"/>
      <c r="F98" s="101"/>
      <c r="G98" s="101"/>
      <c r="H98" s="101"/>
      <c r="I98" s="101"/>
      <c r="J98" s="101"/>
      <c r="K98" s="101"/>
      <c r="L98" s="101"/>
      <c r="M98" s="101"/>
      <c r="N98" s="101"/>
      <c r="O98" s="101"/>
      <c r="P98" s="101"/>
      <c r="Q98" s="101"/>
      <c r="R98" s="101"/>
      <c r="S98" s="101"/>
      <c r="T98" s="101"/>
    </row>
    <row r="99" spans="1:20" ht="15" thickBot="1" x14ac:dyDescent="0.35">
      <c r="A99" s="101"/>
      <c r="B99" s="101"/>
      <c r="C99" s="101"/>
      <c r="D99" s="101"/>
      <c r="E99" s="101"/>
      <c r="F99" s="101"/>
      <c r="G99" s="101"/>
      <c r="H99" s="101"/>
      <c r="I99" s="101"/>
      <c r="J99" s="101"/>
      <c r="K99" s="101"/>
      <c r="L99" s="101"/>
      <c r="M99" s="101"/>
      <c r="N99" s="101"/>
      <c r="O99" s="101"/>
      <c r="P99" s="101"/>
      <c r="Q99" s="101"/>
      <c r="R99" s="101"/>
      <c r="S99" s="101"/>
      <c r="T99" s="101"/>
    </row>
    <row r="100" spans="1:20" ht="15.6" x14ac:dyDescent="0.3">
      <c r="A100" s="492" t="s">
        <v>154</v>
      </c>
      <c r="B100" s="493" t="s">
        <v>40</v>
      </c>
      <c r="C100" s="494" t="s">
        <v>41</v>
      </c>
      <c r="D100" s="495" t="s">
        <v>69</v>
      </c>
      <c r="E100" s="101"/>
      <c r="F100" s="101"/>
      <c r="G100" s="101"/>
      <c r="H100" s="101"/>
      <c r="I100" s="492" t="s">
        <v>341</v>
      </c>
      <c r="J100" s="493" t="s">
        <v>40</v>
      </c>
      <c r="K100" s="494" t="s">
        <v>41</v>
      </c>
      <c r="L100" s="495">
        <f>'Optimisation retraite'!$B$16/2</f>
        <v>9049.1450000000004</v>
      </c>
      <c r="M100" s="243"/>
      <c r="N100" s="101" t="s">
        <v>155</v>
      </c>
      <c r="O100" s="101"/>
      <c r="P100" s="101"/>
      <c r="Q100" s="101"/>
      <c r="R100" s="101"/>
      <c r="S100" s="101"/>
      <c r="T100" s="101"/>
    </row>
    <row r="101" spans="1:20" x14ac:dyDescent="0.3">
      <c r="A101" s="496">
        <f>'Optimisation retraite'!$E$29</f>
        <v>35000</v>
      </c>
      <c r="B101" s="497">
        <f>A101-C101</f>
        <v>35000</v>
      </c>
      <c r="C101" s="497">
        <f>IF('Optimisation retraite'!$B$4=1,0,IF(A101&gt;=$B$74*2,$B$74,IF(A101&gt;=$B$74+$B$75,A101-$B$74,IF(A101&gt;=$B$75*2,$B$75,IF(A101&gt;=$B$75+$B$76,A101-$B$75,IF(A101&gt;=$B$76*2,$B$76,IF(A101&gt;=$B$76+$B$77,A101-$B$76,IF(A101&gt;$B$77*2,($D$12+$D$15+$D$19+$D$23)/1.03,IF(A101&lt;$B$79*2,A101-$B$79,($D$12+$D$15+$D$19))))))))))</f>
        <v>0</v>
      </c>
      <c r="D101" s="498"/>
      <c r="E101" s="101"/>
      <c r="F101" s="101"/>
      <c r="G101" s="101"/>
      <c r="H101" s="101"/>
      <c r="I101" s="496">
        <f>A101</f>
        <v>35000</v>
      </c>
      <c r="J101" s="497">
        <f>I101-K101</f>
        <v>35000</v>
      </c>
      <c r="K101" s="497">
        <f>IF('Optimisation retraite'!$B$4=1,0,IF(I101&gt;=$J$72*2,$J$72,IF(I101&gt;=$J$72+$J$73,$J$73,IF(I101&gt;=$J$72+$J$74,I101-$J$72,IF(I101&gt;=$J$74+$J$73,$J$74,IF(I101&gt;=$J$74*2,$J$74,IF(I101&gt;$J$74+$J$76,I101-$J$74,IF(I101-$J$79-$K$79&gt;=$J$75*2,$J$76,IF(I101&gt;$J$76*2,$J$76,IF(AND(I101&gt;$J$74,I101&gt;$J$76+$K$75),I101-($J$75+K102),IF(AND(I101&gt;$J$74,I101-$J$79-$K$79&lt;$J$75*2),I101-$J$76,IF(I101&gt;=$J$76+$J$77*2,I101-$J$76,IF(I101&gt;=$J$76+$J$77,I101-$J$76,IF(I101&gt;=$J$77*2,$J$77+$K$79,I101-($J$77+$K$79)))))))))))))))</f>
        <v>0</v>
      </c>
      <c r="L101" s="498">
        <f>I101-'Optimisation retraite'!$C$9-Seuils!K102-Seuils!J101</f>
        <v>0</v>
      </c>
      <c r="M101" s="243"/>
      <c r="N101" s="101" t="s">
        <v>156</v>
      </c>
      <c r="O101" s="101"/>
      <c r="P101" s="101"/>
      <c r="Q101" s="101"/>
      <c r="R101" s="101"/>
      <c r="S101" s="101"/>
      <c r="T101" s="101"/>
    </row>
    <row r="102" spans="1:20" x14ac:dyDescent="0.3">
      <c r="A102" s="496" t="s">
        <v>43</v>
      </c>
      <c r="B102" s="499">
        <f>$J$79</f>
        <v>7486.71</v>
      </c>
      <c r="C102" s="497">
        <f>IF('Optimisation retraite'!$B$4=1,0,$K$79)</f>
        <v>0</v>
      </c>
      <c r="D102" s="498"/>
      <c r="E102" s="101"/>
      <c r="F102" s="101"/>
      <c r="G102" s="101"/>
      <c r="H102" s="101"/>
      <c r="I102" s="496" t="s">
        <v>43</v>
      </c>
      <c r="J102" s="499">
        <f>$J$79</f>
        <v>7486.71</v>
      </c>
      <c r="K102" s="497">
        <f>IF('Optimisation retraite'!$B$4=1,0,$K$79)</f>
        <v>0</v>
      </c>
      <c r="L102" s="498"/>
      <c r="M102" s="243"/>
      <c r="N102" s="101"/>
      <c r="O102" s="101"/>
      <c r="P102" s="101"/>
      <c r="Q102" s="101"/>
      <c r="R102" s="101"/>
      <c r="S102" s="101"/>
      <c r="T102" s="101"/>
    </row>
    <row r="103" spans="1:20" ht="15.6" x14ac:dyDescent="0.3">
      <c r="A103" s="189" t="s">
        <v>133</v>
      </c>
      <c r="B103" s="497">
        <f>'Optimisation retraite'!$D$47</f>
        <v>0</v>
      </c>
      <c r="C103" s="497"/>
      <c r="D103" s="498"/>
      <c r="E103" s="101"/>
      <c r="F103" s="101"/>
      <c r="G103" s="101"/>
      <c r="H103" s="101"/>
      <c r="I103" s="496"/>
      <c r="J103" s="497">
        <f>B103</f>
        <v>0</v>
      </c>
      <c r="K103" s="497"/>
      <c r="L103" s="498"/>
      <c r="M103" s="243"/>
      <c r="N103" s="101"/>
      <c r="O103" s="101"/>
      <c r="P103" s="101"/>
      <c r="Q103" s="101"/>
      <c r="R103" s="101"/>
      <c r="S103" s="101"/>
      <c r="T103" s="101"/>
    </row>
    <row r="104" spans="1:20" x14ac:dyDescent="0.3">
      <c r="A104" s="496" t="s">
        <v>157</v>
      </c>
      <c r="B104" s="497">
        <f>IF(B101-B103&gt;$A$10,(B101-B103-$A$10)*$C$10+$D$8,IF(B101-B103&gt;$A$9,(B101-B103-$A$9)*$C$9+$D$9,IF(B101-B103&gt;$A$8,(B101-B103-$A$8)*$C$8+$D$8,IF(B101-B103&gt;$A$7,(B101-B103-$A$7)*$C$7+$D$7,B101*$C$6))))</f>
        <v>5250</v>
      </c>
      <c r="C104" s="497">
        <f>IF('Optimisation retraite'!$B$4=1,0,IF(C101&gt;$A$8,(C101-$A$8)*$C$8+$D$8,IF(C101&gt;$A$7,(C101-$A$7)*$C$7+$D$7,C101*$C$6)))</f>
        <v>0</v>
      </c>
      <c r="D104" s="498">
        <f>B104+C104</f>
        <v>5250</v>
      </c>
      <c r="E104" s="101"/>
      <c r="F104" s="101"/>
      <c r="G104" s="101"/>
      <c r="H104" s="101"/>
      <c r="I104" s="496" t="s">
        <v>157</v>
      </c>
      <c r="J104" s="497">
        <f>IF(J101-J103&gt;$I$9,(J101-J103-$I$9)*$K$9+$L$9,IF(J101-J103&gt;$I$8,(J101-J103-$I$8)*$K$8+$L$8,IF(J101-J103&gt;$I$7,(J101-J103-$I$7)*$K$7+$L$7,J101*$K$6)))</f>
        <v>5250</v>
      </c>
      <c r="K104" s="497">
        <f>IF('Optimisation retraite'!$B$4=1,0,IF(K101&gt;$I$8,(K101-$I$8)*$K$8+$L$8,IF(K101&gt;$I$7,(K101-$I$7)*$K$7+$L$7,IF(K101&lt;$K$12+$J$15+$J$24,0,K101*$C$6))))</f>
        <v>0</v>
      </c>
      <c r="L104" s="498">
        <f>J104+K104</f>
        <v>5250</v>
      </c>
      <c r="M104" s="304"/>
      <c r="N104" s="101"/>
      <c r="O104" s="101"/>
      <c r="P104" s="101"/>
      <c r="Q104" s="101"/>
      <c r="R104" s="101"/>
      <c r="S104" s="101"/>
      <c r="T104" s="101"/>
    </row>
    <row r="105" spans="1:20" x14ac:dyDescent="0.3">
      <c r="A105" s="496"/>
      <c r="B105" s="497"/>
      <c r="C105" s="497"/>
      <c r="D105" s="498"/>
      <c r="E105" s="101"/>
      <c r="F105" s="101"/>
      <c r="G105" s="101"/>
      <c r="H105" s="101"/>
      <c r="I105" s="496"/>
      <c r="J105" s="497"/>
      <c r="K105" s="497"/>
      <c r="L105" s="498"/>
      <c r="M105" s="243"/>
      <c r="N105" s="101"/>
      <c r="O105" s="101"/>
      <c r="P105" s="101"/>
      <c r="Q105" s="101"/>
      <c r="R105" s="101"/>
      <c r="S105" s="101"/>
      <c r="T105" s="101"/>
    </row>
    <row r="106" spans="1:20" ht="15" thickBot="1" x14ac:dyDescent="0.35">
      <c r="A106" s="496" t="s">
        <v>158</v>
      </c>
      <c r="B106" s="497">
        <f>IF(B101&gt;$D$17,0,IF(B101&lt;$D$16,$D$15,$D$15-(B101-B103-$D$16)*15%))</f>
        <v>7713</v>
      </c>
      <c r="C106" s="497">
        <f>IF('Optimisation retraite'!$B$4=1,0,IF(C101&gt;$D$17,0,IF(C101&lt;$D$16,$D$15,$D$15-(C101-$D$16)*15%)))</f>
        <v>0</v>
      </c>
      <c r="D106" s="498">
        <f>B106+C106</f>
        <v>7713</v>
      </c>
      <c r="E106" s="101">
        <f>D106</f>
        <v>7713</v>
      </c>
      <c r="F106" s="101"/>
      <c r="G106" s="101"/>
      <c r="H106" s="101">
        <f>'Optimisation retraite'!E34</f>
        <v>8049</v>
      </c>
      <c r="I106" s="500" t="s">
        <v>35</v>
      </c>
      <c r="J106" s="341">
        <f>IF(J101-J102&gt;$I$49,$L$49,IF(J101-J102&gt;$I$48,(J101-J102-$I$48)*$K$48+$L$48,IF(J101-J102&lt;$I$46,0,IF(J101-J102&lt;$I$47,(J101-J102-$I$46)*$K$46,150))))</f>
        <v>121.53290000000001</v>
      </c>
      <c r="K106" s="501">
        <f>IF('Optimisation retraite'!$B$4=1,0,IF(K101-K102&gt;$I$49,$L$49,IF(K101-K102&gt;$I$48,(K101-K102-$I$48)*$K$48+$L$48,IF(K101-K102&lt;$I$46,0,IF(K101-K102&lt;$I$47,(K101-K102-$I$46)*$K$46,150)))))</f>
        <v>0</v>
      </c>
      <c r="L106" s="502">
        <f>J106+K106</f>
        <v>121.53290000000001</v>
      </c>
      <c r="M106" s="243"/>
      <c r="N106" s="101"/>
      <c r="O106" s="101"/>
      <c r="P106" s="101"/>
      <c r="Q106" s="101"/>
      <c r="R106" s="101"/>
      <c r="S106" s="101"/>
      <c r="T106" s="101"/>
    </row>
    <row r="107" spans="1:20" ht="15" thickBot="1" x14ac:dyDescent="0.35">
      <c r="A107" s="500" t="s">
        <v>159</v>
      </c>
      <c r="B107" s="501"/>
      <c r="C107" s="501">
        <f>IF(AND($J$14=2,$D$23&lt;C101*3%),0,IF(AND($J$14=2,C101*3%&gt;$E$23),$D$23-$E$23,IF(AND($J$14=2,C101&lt;$C$17),$D$23-(B101*3%),IF($J$14=2,$D$23-(C101*3%),IF(AND($J$14=1,('Optimisation retraite'!$E$29+'Optimisation retraite'!$D$26)*3%&gt;$E$23,$D$23&gt;$E$23),$D$23-$E$23,IF(AND($J$14=1,$D$23&lt;('Optimisation retraite'!$E$29+'Optimisation retraite'!$D$26)*3%),0,IF(('Optimisation retraite'!$E$29+'Optimisation retraite'!$D$26)*3%&gt;Seuils!$D$23,0,Seuils!$D$23-('Optimisation retraite'!$E$29+'Optimisation retraite'!$D$26)*3%)))))))</f>
        <v>592</v>
      </c>
      <c r="D107" s="502"/>
      <c r="E107" s="101">
        <f>E106*15%</f>
        <v>1156.95</v>
      </c>
      <c r="F107">
        <f>E107/(1-$G$18)</f>
        <v>1596.3435667471542</v>
      </c>
      <c r="G107" s="101"/>
      <c r="H107" s="101">
        <f>H106*15%</f>
        <v>1207.3499999999999</v>
      </c>
      <c r="I107" s="243"/>
      <c r="J107" s="243"/>
      <c r="K107" s="243"/>
      <c r="L107" s="243"/>
      <c r="M107" s="243"/>
      <c r="N107" s="101"/>
      <c r="O107" s="101"/>
      <c r="P107" s="101"/>
      <c r="Q107" s="101"/>
      <c r="R107" s="101"/>
      <c r="S107" s="101"/>
      <c r="T107" s="101"/>
    </row>
    <row r="108" spans="1:20" ht="15" thickBot="1" x14ac:dyDescent="0.35">
      <c r="A108" s="243"/>
      <c r="B108" s="243"/>
      <c r="C108" s="243"/>
      <c r="D108" s="243"/>
      <c r="E108" s="101">
        <f>E107+H107</f>
        <v>2364.3000000000002</v>
      </c>
      <c r="F108">
        <f>E108/(1-$G$18)</f>
        <v>3262.2283546050367</v>
      </c>
      <c r="G108" s="101"/>
      <c r="H108" s="101"/>
      <c r="I108" s="243"/>
      <c r="J108" s="243"/>
      <c r="K108" s="243"/>
      <c r="L108" s="243"/>
      <c r="M108" s="243"/>
      <c r="N108" s="101"/>
      <c r="O108" s="101"/>
      <c r="P108" s="101"/>
      <c r="Q108" s="101"/>
      <c r="R108" s="101"/>
      <c r="S108" s="101"/>
      <c r="T108" s="101"/>
    </row>
    <row r="109" spans="1:20" ht="15.6" x14ac:dyDescent="0.3">
      <c r="A109" s="492" t="s">
        <v>160</v>
      </c>
      <c r="B109" s="493" t="s">
        <v>40</v>
      </c>
      <c r="C109" s="494" t="s">
        <v>41</v>
      </c>
      <c r="D109" s="495"/>
      <c r="E109" s="101"/>
      <c r="F109" s="101"/>
      <c r="G109" s="101"/>
      <c r="H109" s="101"/>
      <c r="I109" s="513" t="s">
        <v>342</v>
      </c>
      <c r="J109" s="493" t="s">
        <v>40</v>
      </c>
      <c r="K109" s="494" t="s">
        <v>41</v>
      </c>
      <c r="L109" s="495"/>
      <c r="M109" s="243"/>
      <c r="N109" s="101" t="s">
        <v>155</v>
      </c>
      <c r="O109" s="101"/>
      <c r="P109" s="101"/>
      <c r="Q109" s="101"/>
      <c r="R109" s="101"/>
      <c r="S109" s="101"/>
      <c r="T109" s="101"/>
    </row>
    <row r="110" spans="1:20" x14ac:dyDescent="0.3">
      <c r="A110" s="496">
        <f>'Optimisation retraite'!$C$29</f>
        <v>16901.71</v>
      </c>
      <c r="B110" s="497">
        <f>A110-C110</f>
        <v>16901.71</v>
      </c>
      <c r="C110" s="497">
        <f>IF('Optimisation retraite'!$B$4=1,0,IF(A110&gt;=$B$74*2,$B$74,IF(A110&gt;=$B$74+$B$75,A110-$B$74,IF(A110&gt;=$B$75*2,$B$75,IF(A110&gt;=$B$75+$B$76,A110-$B$75,IF(A110&gt;=$B$76*2,$B$76,IF(A110&gt;=$B$76+$B$77,A110-$B$76,IF(A110&gt;$B$77*2,($D$12+$D$15+$D$19+$D$23)/1.03,IF(A110&lt;$B$79*2,A110-$B$79,($D$12+$D$15+$D$19))))))))))</f>
        <v>0</v>
      </c>
      <c r="D110" s="498"/>
      <c r="E110" s="101"/>
      <c r="F110" s="101"/>
      <c r="G110" s="101"/>
      <c r="H110" s="101"/>
      <c r="I110" s="496">
        <f>A110</f>
        <v>16901.71</v>
      </c>
      <c r="J110" s="497">
        <f>I110-K110</f>
        <v>16901.71</v>
      </c>
      <c r="K110" s="497">
        <f>IF('Optimisation retraite'!$B$4=1,0,IF(I110&gt;=$J$72*2,$J$72,IF(I110&gt;=$J$72+$J$73,$J$73,IF(I110&gt;=$J$72+$J$74,I110-$J$72,IF(I110&gt;=$J$74+$J$73,$J$74,IF(I110&gt;=$J$74*2,$J$74,IF(I110&gt;$J$74+$J$76,I110-$J$74,IF(I110-$J$79-$K$79&gt;=$J$75*2,$J$76,IF(I110&gt;$J$76*2,$J$76,IF(AND(I110&gt;$J$74,I110&gt;$J$76+$K$75),I110-($J$75+K111),IF(AND(I110&gt;$J$74,I110-$J$79-$K$79&lt;$J$75*2),I110-$J$76,IF(I110&gt;=$J$76+$J$77*2,I110-$J$76,IF(I110&gt;=$J$76+$J$77,I110-$J$76,IF(I110&gt;=$J$77*2,$J$77+$K$79,I110-($J$77+$K$79)))))))))))))))</f>
        <v>0</v>
      </c>
      <c r="L110" s="498"/>
      <c r="M110" s="243"/>
      <c r="N110" s="101" t="s">
        <v>156</v>
      </c>
      <c r="O110" s="101"/>
      <c r="P110" s="101"/>
      <c r="Q110" s="101"/>
      <c r="R110" s="101"/>
      <c r="S110" s="101"/>
      <c r="T110" s="101"/>
    </row>
    <row r="111" spans="1:20" x14ac:dyDescent="0.3">
      <c r="A111" s="496" t="s">
        <v>43</v>
      </c>
      <c r="B111" s="499">
        <f>J79</f>
        <v>7486.71</v>
      </c>
      <c r="C111" s="497">
        <f>IF('Optimisation retraite'!$B$4=1,0,$K$79)</f>
        <v>0</v>
      </c>
      <c r="D111" s="498"/>
      <c r="E111" s="101"/>
      <c r="F111" s="101"/>
      <c r="G111" s="101"/>
      <c r="H111" s="101"/>
      <c r="I111" s="496" t="s">
        <v>43</v>
      </c>
      <c r="J111" s="499">
        <f>J102</f>
        <v>7486.71</v>
      </c>
      <c r="K111" s="497">
        <f>IF('Optimisation retraite'!$B$4=1,0,K102)</f>
        <v>0</v>
      </c>
      <c r="L111" s="498"/>
      <c r="M111" s="243"/>
      <c r="N111" s="101"/>
      <c r="O111" s="101"/>
      <c r="P111" s="101"/>
      <c r="Q111" s="101"/>
      <c r="R111" s="101"/>
      <c r="S111" s="101"/>
      <c r="T111" s="101"/>
    </row>
    <row r="112" spans="1:20" ht="15.6" x14ac:dyDescent="0.3">
      <c r="A112" s="189" t="s">
        <v>133</v>
      </c>
      <c r="B112" s="497">
        <f>'Optimisation retraite'!$B$47</f>
        <v>0</v>
      </c>
      <c r="C112" s="497"/>
      <c r="D112" s="498"/>
      <c r="E112" s="101"/>
      <c r="F112" s="101"/>
      <c r="G112" s="101"/>
      <c r="H112" s="101"/>
      <c r="I112" s="496"/>
      <c r="J112" s="497">
        <f>B112</f>
        <v>0</v>
      </c>
      <c r="K112" s="497"/>
      <c r="L112" s="498"/>
      <c r="M112" s="243"/>
      <c r="N112" s="101"/>
      <c r="O112" s="101"/>
      <c r="P112" s="101"/>
      <c r="Q112" s="101"/>
      <c r="R112" s="101"/>
      <c r="S112" s="101"/>
      <c r="T112" s="101"/>
    </row>
    <row r="113" spans="1:20" x14ac:dyDescent="0.3">
      <c r="A113" s="496" t="s">
        <v>157</v>
      </c>
      <c r="B113" s="497">
        <f>IF(B110-B112&gt;$A$9,(B110-B112-$A$9)*$C$9+$D$9,IF(B110-B112&gt;$A$8,(B110-B112-$A$8)*$C$8+$D$8,IF(B110-B112&gt;$A$7,(B110-B112-$A$7)*$C$7+$D$7,B110*$C$6)))</f>
        <v>2535.2565</v>
      </c>
      <c r="C113" s="497">
        <f>IF('Optimisation retraite'!$B$4=1,0,IF(C110&gt;$A$8,(C110-$A$8)*$C$8+$D$8,IF(C110&gt;$A$7,(C110-$A$7)*$C$7+$D$7,C110*$C$6)))</f>
        <v>0</v>
      </c>
      <c r="D113" s="498">
        <f>B113+C113</f>
        <v>2535.2565</v>
      </c>
      <c r="E113" s="101"/>
      <c r="F113" s="101"/>
      <c r="G113" s="101"/>
      <c r="H113" s="101"/>
      <c r="I113" s="496" t="s">
        <v>157</v>
      </c>
      <c r="J113" s="497">
        <f>IF(J110-J112&gt;$I$9,(J110-J112-$I$9)*$K$9+$L$9,IF(J110-J112&gt;$I$8,(J110-J112-$I$8)*$K$8+$L$8,IF(J110-J112&gt;$I$7,(J110-J112-$I$7)*$K$7+$L$7,J110*$K$6)))</f>
        <v>2535.2565</v>
      </c>
      <c r="K113" s="497">
        <f>IF('Optimisation retraite'!$B$4=1,0,IF(K110&gt;$I$8,(K110-$I$8)*$K$8+$L$8,IF(K110&gt;$I$7,(K110-$I$7)*$K$7+$L$7,K110*$C$6)))</f>
        <v>0</v>
      </c>
      <c r="L113" s="498">
        <f>J113+K113</f>
        <v>2535.2565</v>
      </c>
      <c r="M113" s="304"/>
      <c r="N113" s="101"/>
      <c r="O113" s="101"/>
      <c r="P113" s="101"/>
      <c r="Q113" s="101"/>
      <c r="R113" s="101"/>
      <c r="S113" s="101"/>
      <c r="T113" s="101"/>
    </row>
    <row r="114" spans="1:20" x14ac:dyDescent="0.3">
      <c r="A114" s="496"/>
      <c r="B114" s="497"/>
      <c r="C114" s="497"/>
      <c r="D114" s="498"/>
      <c r="E114" s="101"/>
      <c r="F114" s="101"/>
      <c r="G114" s="101"/>
      <c r="H114" s="101"/>
      <c r="I114" s="496"/>
      <c r="J114" s="497"/>
      <c r="K114" s="497"/>
      <c r="L114" s="498"/>
      <c r="M114" s="243"/>
      <c r="N114" s="101"/>
      <c r="O114" s="101"/>
      <c r="P114" s="101"/>
      <c r="Q114" s="101"/>
      <c r="R114" s="101"/>
      <c r="S114" s="101"/>
      <c r="T114" s="101"/>
    </row>
    <row r="115" spans="1:20" ht="15" thickBot="1" x14ac:dyDescent="0.35">
      <c r="A115" s="496" t="s">
        <v>158</v>
      </c>
      <c r="B115" s="497">
        <f>IF(B110&gt;$D$17,0,IF(B110&lt;$D$16,$D$15,$D$15-(B110-B112-$D$16)*15%))</f>
        <v>7713</v>
      </c>
      <c r="C115" s="497">
        <f>IF('Optimisation retraite'!$B$4=1,0,IF(C110&gt;$D$17,0,IF(C110&lt;$D$16,$D$15,$D$15-(C110-$D$16)*15%)))</f>
        <v>0</v>
      </c>
      <c r="D115" s="498">
        <f>B115+C115</f>
        <v>7713</v>
      </c>
      <c r="E115" s="101">
        <f>B115</f>
        <v>7713</v>
      </c>
      <c r="F115" s="101"/>
      <c r="G115" s="101"/>
      <c r="H115" s="101"/>
      <c r="I115" s="500" t="s">
        <v>35</v>
      </c>
      <c r="J115" s="341">
        <f>IF(J110-J111&gt;$I$49,$L$49,IF(J110-J111&gt;$I$48,(J110-J111-$I$48)*$K$48+$L$48,IF(J110-J111&lt;$I$46,0,IF(J110-J111&lt;$I$47,(J110-J111-$I$46)*$K$46,150))))</f>
        <v>0</v>
      </c>
      <c r="K115" s="501">
        <f>IF('Optimisation retraite'!$B$4=1,0,IF(K110-K111&gt;$I$49,$L$49,IF(K110-K111&gt;$I$48,(K110-K111-$I$48)*$K$48+$L$48,IF(K110-K111&lt;=$I$46,0,IF(K110-K111&lt;$I$47,(K110-K111-$I$46)*$K$46,150)))))</f>
        <v>0</v>
      </c>
      <c r="L115" s="502">
        <f>J115+K115</f>
        <v>0</v>
      </c>
      <c r="M115" s="243"/>
      <c r="N115" s="101"/>
      <c r="O115" s="101"/>
      <c r="P115" s="101"/>
      <c r="Q115" s="101"/>
      <c r="R115" s="101"/>
      <c r="S115" s="101"/>
      <c r="T115" s="101"/>
    </row>
    <row r="116" spans="1:20" ht="15" thickBot="1" x14ac:dyDescent="0.35">
      <c r="A116" s="500" t="s">
        <v>159</v>
      </c>
      <c r="B116" s="501"/>
      <c r="C116" s="501">
        <f>IF(AND($J$14=2,$D$23&lt;C110*3%),0,IF(AND($J$14=2,C110*3%&gt;$E$23),$D$23-$E$23,IF(AND($J$14=2,C110&lt;$C$17),$D$23-(B110*3%),IF($J$14=2,$D$23-(C110*3%),IF(AND($J$14=1,('Optimisation retraite'!$C$29+'Optimisation retraite'!$B$26)*3%&gt;$E$23,$D$23&gt;$E$23),$D$23-$E$23,IF(AND($J$14=1,$D$23&lt;('Optimisation retraite'!$C$29+'Optimisation retraite'!$B$26)*3%),0,IF(('Optimisation retraite'!$C$29+'Optimisation retraite'!$B$26)*3%&gt;Seuils!$D$23,0,Seuils!$D$23-('Optimisation retraite'!$C$29+'Optimisation retraite'!$B$26)*3%)))))))</f>
        <v>991.41370000000006</v>
      </c>
      <c r="D116" s="502"/>
      <c r="E116" s="101">
        <f>E115*15%</f>
        <v>1156.95</v>
      </c>
      <c r="F116">
        <f>E116/(1-G18)</f>
        <v>1596.3435667471542</v>
      </c>
      <c r="G116" s="101"/>
      <c r="H116" s="101"/>
      <c r="I116" s="101"/>
      <c r="J116" s="101"/>
      <c r="K116" s="101"/>
      <c r="L116" s="101"/>
      <c r="M116" s="101"/>
      <c r="N116" s="101"/>
      <c r="O116" s="101"/>
      <c r="P116" s="101"/>
      <c r="Q116" s="101"/>
      <c r="R116" s="101"/>
      <c r="S116" s="101"/>
      <c r="T116" s="101"/>
    </row>
    <row r="117" spans="1:20" ht="15" thickBot="1" x14ac:dyDescent="0.35">
      <c r="A117" s="101"/>
      <c r="B117" s="101"/>
      <c r="C117" s="101"/>
      <c r="D117" s="101"/>
      <c r="E117" s="101"/>
      <c r="F117" s="101"/>
      <c r="G117" s="101"/>
      <c r="H117" s="101"/>
      <c r="I117" s="101"/>
      <c r="J117" s="101"/>
      <c r="K117" s="101"/>
      <c r="L117" s="101"/>
      <c r="M117" s="101"/>
      <c r="N117" s="101"/>
      <c r="O117" s="101"/>
      <c r="P117" s="101"/>
      <c r="Q117" s="101"/>
      <c r="R117" s="101"/>
      <c r="S117" s="101"/>
      <c r="T117" s="101"/>
    </row>
    <row r="118" spans="1:20" ht="15.6" x14ac:dyDescent="0.3">
      <c r="A118" s="379" t="s">
        <v>245</v>
      </c>
      <c r="B118" s="340" t="s">
        <v>40</v>
      </c>
      <c r="C118" s="503" t="s">
        <v>41</v>
      </c>
      <c r="D118" s="504"/>
      <c r="I118" s="492" t="s">
        <v>343</v>
      </c>
      <c r="J118" s="340" t="s">
        <v>40</v>
      </c>
      <c r="K118" s="503" t="s">
        <v>41</v>
      </c>
      <c r="L118" s="504">
        <f>'Optimisation retraite'!B37+'Optimisation retraite'!C37</f>
        <v>44034.945779000001</v>
      </c>
      <c r="M118" s="101"/>
      <c r="N118" s="101"/>
      <c r="O118" s="101"/>
      <c r="P118" s="101"/>
      <c r="Q118" s="101"/>
      <c r="R118" s="101"/>
      <c r="S118" s="101"/>
      <c r="T118" s="101"/>
    </row>
    <row r="119" spans="1:20" x14ac:dyDescent="0.3">
      <c r="A119" s="505">
        <f>'Optimal &lt; 65'!$E$28</f>
        <v>39669.839999999997</v>
      </c>
      <c r="B119" s="334">
        <f>A119-C119</f>
        <v>39669.839999999997</v>
      </c>
      <c r="C119" s="334">
        <f>IF('Optimisation retraite'!$B$4=1,0,IF('Optimal &lt; 65'!$B$15+'Optimal &lt; 65'!$C$15=0,'Optimal &lt; 65'!E$27,IF(A119&gt;=$B$74*2,$B$74,IF(A119&gt;=$B$74+$B$75,A119-$B$74,IF(A119&gt;=$B$75*2,$B$75,IF(A119&gt;=$B$75+$B$76,A119-$B$75,IF(A119&gt;=$B$76*2,$B$76,IF(A119&gt;=$B$76+$B$77,A119-$B$76,IF(A119&gt;$B$77*2,(D21+$D$24+$D$28+$D$32)/1.03,IF(A119&lt;$B$79*2,A119-$B$79,($D$21+$D$24+$D$28)))))))))))</f>
        <v>0</v>
      </c>
      <c r="D119" s="335"/>
      <c r="I119" s="505">
        <f>A119</f>
        <v>39669.839999999997</v>
      </c>
      <c r="J119" s="334">
        <f>I119-K119</f>
        <v>39669.839999999997</v>
      </c>
      <c r="K119" s="497">
        <f>IF('Optimisation retraite'!$B$4=1,0,IF(I119&gt;=$J$72*2,$J$72,IF(I119&gt;=$J$72+$J$73,$J$73,IF(I119&gt;=$J$72+$J$74,I119-$J$72,IF(I119&gt;=$J$74+$J$73,$J$74,IF(I119&gt;=$J$74*2,$J$74,IF(I119&gt;$J$74+$J$76,I119-$J$74,IF(I119-$J$79-$K$79&gt;=$J$75*2,$J$76,IF(I119&gt;$J$76*2,$J$76,IF(AND(I119&gt;$J$74,I119-$J$79-$K$79&lt;$J$75*2),I119-($J$75+J111),IF(I119&gt;=$J$76+$J$77*2,I119-$J$76,IF(I119&gt;=$J$76+$J$77,I119-$J$76,IF(I119&gt;=$J$77*2+K111,$J$77+K120,I119-($J$77+$J$130))))))))))))))</f>
        <v>0</v>
      </c>
      <c r="L119" s="335">
        <f>I119-'Optimisation retraite'!C36-Seuils!K120-Seuils!J119</f>
        <v>-684.53207899999688</v>
      </c>
      <c r="M119" s="101"/>
      <c r="N119" s="101"/>
      <c r="O119" s="101"/>
      <c r="P119" s="101"/>
      <c r="Q119" s="101"/>
      <c r="R119" s="101"/>
      <c r="S119" s="101"/>
      <c r="T119" s="101"/>
    </row>
    <row r="120" spans="1:20" x14ac:dyDescent="0.3">
      <c r="A120" s="496" t="s">
        <v>43</v>
      </c>
      <c r="B120" s="506">
        <f>'Optimal &lt; 65'!$B$9</f>
        <v>0</v>
      </c>
      <c r="C120" s="334">
        <f>'Optimal &lt; 65'!$C$9</f>
        <v>0</v>
      </c>
      <c r="D120" s="335"/>
      <c r="I120" s="496" t="s">
        <v>43</v>
      </c>
      <c r="J120" s="506">
        <f>B120</f>
        <v>0</v>
      </c>
      <c r="K120" s="334">
        <f>C120</f>
        <v>0</v>
      </c>
      <c r="L120" s="335"/>
      <c r="M120" s="101"/>
      <c r="N120" s="101"/>
      <c r="O120" s="101"/>
      <c r="P120" s="101"/>
      <c r="Q120" s="101"/>
      <c r="R120" s="101"/>
      <c r="S120" s="101"/>
      <c r="T120" s="101"/>
    </row>
    <row r="121" spans="1:20" ht="15.6" x14ac:dyDescent="0.3">
      <c r="A121" s="360" t="s">
        <v>133</v>
      </c>
      <c r="B121" s="334">
        <v>0</v>
      </c>
      <c r="C121" s="334"/>
      <c r="D121" s="335"/>
      <c r="I121" s="505"/>
      <c r="J121" s="334">
        <f>B121</f>
        <v>0</v>
      </c>
      <c r="K121" s="334"/>
      <c r="L121" s="335"/>
      <c r="M121" s="101"/>
      <c r="N121" s="101"/>
      <c r="O121" s="101"/>
      <c r="P121" s="101"/>
      <c r="Q121" s="101"/>
      <c r="R121" s="101"/>
      <c r="S121" s="101"/>
      <c r="T121" s="101"/>
    </row>
    <row r="122" spans="1:20" x14ac:dyDescent="0.3">
      <c r="A122" s="505" t="s">
        <v>157</v>
      </c>
      <c r="B122" s="334">
        <f>IF(B119-B121&gt;$A$9,(B119-B121-$A$9)*$C$9+$D$9,IF(B119-B121&gt;$A$8,(B119-B121-$A$8)*$C$8+$D$8,IF(B119-B121&gt;$A$7,(B119-B121-$A$7)*$C$7+$D$7,B119*$C$6)))</f>
        <v>5950.4759999999997</v>
      </c>
      <c r="C122" s="334">
        <f>IF('Optimisation retraite'!B13=1,0,IF(C119&gt;$A$8,(C119-$A$8)*$C$8+$D$8,IF(C119&gt;$A$7,(C119-$A$7)*$C$7+$D$7,C119*$C$6)))</f>
        <v>0</v>
      </c>
      <c r="D122" s="335">
        <f>B122+C122</f>
        <v>5950.4759999999997</v>
      </c>
      <c r="I122" s="496" t="s">
        <v>157</v>
      </c>
      <c r="J122" s="334">
        <f>IF(J119-J121&gt;$I$9,(J119-J121-$I$9)*$K$9+$L$9,IF(J119-J121&gt;$I$8,(J119-J121-$I$8)*$K$8+$L$8,IF(J119-J121&gt;$I$7,(J119-J121-$I$7)*$K$7+$L$7,J119*$K$6)))</f>
        <v>5950.4759999999997</v>
      </c>
      <c r="K122" s="334">
        <f>IF('Optimisation retraite'!$B$4=1,0,IF(K119&gt;$I$8,(K119-$I$8)*$K$8+$L$8,IF(K119&gt;$I$7,(K119-$I$7)*$K$7+$L$7,K119*$C$6)))</f>
        <v>0</v>
      </c>
      <c r="L122" s="335">
        <f>J122+K122</f>
        <v>5950.4759999999997</v>
      </c>
      <c r="M122" s="101"/>
      <c r="N122" s="101"/>
      <c r="O122" s="101"/>
      <c r="P122" s="101"/>
      <c r="Q122" s="101"/>
      <c r="R122" s="101"/>
      <c r="S122" s="101"/>
      <c r="T122" s="101"/>
    </row>
    <row r="123" spans="1:20" x14ac:dyDescent="0.3">
      <c r="A123" s="505"/>
      <c r="B123" s="334"/>
      <c r="C123" s="334"/>
      <c r="D123" s="335"/>
      <c r="I123" s="505"/>
      <c r="J123" s="334"/>
      <c r="K123" s="334"/>
      <c r="L123" s="335"/>
      <c r="M123" s="101"/>
      <c r="N123" s="101"/>
      <c r="O123" s="101"/>
      <c r="P123" s="101"/>
      <c r="Q123" s="101"/>
      <c r="R123" s="101"/>
      <c r="S123" s="101"/>
      <c r="T123" s="101"/>
    </row>
    <row r="124" spans="1:20" ht="15" thickBot="1" x14ac:dyDescent="0.35">
      <c r="A124" s="505" t="s">
        <v>158</v>
      </c>
      <c r="B124" s="334">
        <f>IF('Optimal &lt; 65'!B7&lt;65,0,IF(B119&gt;$D$17,0,IF(B119&lt;$D$16,$D$15,$D$15-(B119-$D$16)*15%)))</f>
        <v>0</v>
      </c>
      <c r="C124" s="334">
        <f>IF('Optimal &lt; 65'!C7&lt;65,0,IF('Optimisation retraite'!B13=1,0,IF(C119&gt;$D$17,0,IF(C119&lt;$D$16,$D$15,$D$15-(C119-$D$16)*15%))))</f>
        <v>0</v>
      </c>
      <c r="D124" s="335">
        <f>B124+C124</f>
        <v>0</v>
      </c>
      <c r="E124">
        <f>D106-D124</f>
        <v>7713</v>
      </c>
      <c r="H124">
        <f>L18-M18</f>
        <v>4183.5949999999993</v>
      </c>
      <c r="I124" s="507" t="s">
        <v>35</v>
      </c>
      <c r="J124" s="341">
        <f>IF(J119-J120&gt;$I$49,$L$49,IF(J119-J120&gt;$I$48,(J119-J120-$I$48)*$K$48+$L$48,IF(J119-J120&lt;$I$46,0,IF(J119-J120&lt;$I$47,(J119-J120-$I$46)*$K$46,150))))</f>
        <v>150</v>
      </c>
      <c r="K124" s="341">
        <f>IF('Optimisation retraite'!$B$4=1,0,IF(K119-K120&gt;$I$49,$L$49,IF(K119-K120&gt;$I$48,(K119-K120-$I$48)*$K$48+$L$48,IF(K119-K120&lt;=$I$46,0,IF(K119-K120&lt;$I$47,(K119-K120-I46)*$K$46,150)))))</f>
        <v>0</v>
      </c>
      <c r="L124" s="508">
        <f>J124+K124</f>
        <v>150</v>
      </c>
      <c r="M124" s="101"/>
      <c r="N124" s="101"/>
      <c r="O124" s="101"/>
      <c r="P124" s="101"/>
      <c r="Q124" s="101"/>
      <c r="R124" s="101"/>
      <c r="S124" s="101"/>
      <c r="T124" s="101"/>
    </row>
    <row r="125" spans="1:20" ht="15" thickBot="1" x14ac:dyDescent="0.35">
      <c r="A125" s="507" t="s">
        <v>159</v>
      </c>
      <c r="B125" s="341"/>
      <c r="C125" s="341">
        <f>IF(AND($J$14=2,$C$23&lt;C119*3%),0,IF(AND($J$14=2,C119*3%&gt;$E$23),$C$23-$E$23,IF(AND($J$14=2,C119&lt;$B$18),$C$23-(B119*3%),IF($J$14=2,$C$23-(C119*3%),IF(AND($J$14=1,('Optimal &lt; 65'!$E$28+'Optimal &lt; 65'!$D$25)*3%&gt;$E$23,$D$23&gt;$E$23),$C$23-$E$23,IF(AND($J$14=1,$D$23&lt;('Optimal &lt; 65'!$E$28+'Optimal &lt; 65'!$D$25)*3%),0,IF(('Optimal &lt; 65'!$E$28+'Optimal &lt; 65'!$D$25)*3%&gt;Seuils!$C$23,0,Seuils!$C$23-('Optimal &lt; 65'!$E$28+'Optimal &lt; 65'!$D$25)*3%)))))))</f>
        <v>451.90480000000025</v>
      </c>
      <c r="D125" s="508"/>
      <c r="E125" s="545">
        <f>E124*$C$6</f>
        <v>1156.95</v>
      </c>
      <c r="F125">
        <f>IF(AND('Optimal &lt; 65'!$B$4=1,'Optimal &lt; 65'!$E$28&lt;Seuils!$B$6),Seuils!E125/(1-Seuils!$C$6),IF(AND('Optimal &lt; 65'!$B$4=1,'Optimal &lt; 65'!$E$28&lt;Seuils!$B$7),Seuils!E125/(1-Seuils!$C$7),IF(AND('Optimal &lt; 65'!$B$4=1,'Optimal &lt; 65'!$E$28&lt;Seuils!$B$8),Seuils!E125/(1-Seuils!$C$8),IF(AND('Optimal &lt; 65'!$B$4=1,'Optimal &lt; 65'!$E$28&gt;Seuils!$A$10),Seuils!E125/(1-Seuils!$C$10),IF('Optimal &lt; 65'!$B$4=1,Seuils!E125/(1-Seuils!$C$9),0)))))</f>
        <v>1361.1176470588236</v>
      </c>
      <c r="G125">
        <f>IF(AND('Optimal &lt; 65'!B4=1,'Optimal &lt; 65'!E28&lt;Seuils!J6),Seuils!E125/Seuils!K6,IF(AND('Optimal &lt; 65'!B4=1,'Optimal &lt; 65'!E28&lt;Seuils!J7),Seuils!E125/Seuils!K7,IF(AND('Optimal &lt; 65'!B4=1,'Optimal &lt; 65'!E28&gt;Seuils!I9),Seuils!E125/Seuils!K9,IF('Optimal &lt; 65'!B4=1,Seuils!E125/Seuils!K8,0))))</f>
        <v>7713.0000000000009</v>
      </c>
      <c r="H125" s="545">
        <f>H124*$K$6</f>
        <v>627.53924999999992</v>
      </c>
      <c r="M125" s="101"/>
      <c r="N125" s="101"/>
      <c r="O125" s="101"/>
      <c r="P125" s="101"/>
      <c r="Q125" s="101"/>
      <c r="R125" s="101"/>
      <c r="S125" s="101"/>
      <c r="T125" s="101"/>
    </row>
    <row r="126" spans="1:20" ht="15" thickBot="1" x14ac:dyDescent="0.35">
      <c r="A126" s="101"/>
      <c r="B126" s="101"/>
      <c r="C126" s="101"/>
      <c r="D126" s="101"/>
      <c r="E126" s="101">
        <f>E125+H125</f>
        <v>1784.4892500000001</v>
      </c>
      <c r="F126">
        <f>IF(AND('Optimal &lt; 65'!$B$4=1,'Optimal &lt; 65'!$E$28&lt;Seuils!$B$6),Seuils!E126/(1-Seuils!$C$6),IF(AND('Optimal &lt; 65'!$B$4=1,'Optimal &lt; 65'!$E$28&lt;Seuils!$B$7),Seuils!E126/(1-Seuils!$C$7),IF(AND('Optimal &lt; 65'!$B$4=1,'Optimal &lt; 65'!$E$28&lt;Seuils!$B$8),Seuils!E126/(1-Seuils!$C$8),IF(AND('Optimal &lt; 65'!$B$4=1,'Optimal &lt; 65'!$E$28&gt;Seuils!$A$10),Seuils!E126/(1-Seuils!$C$10),IF('Optimal &lt; 65'!$B$4=1,Seuils!E126/(1-Seuils!$C$9),0)))))</f>
        <v>2099.399117647059</v>
      </c>
      <c r="G126" s="101"/>
      <c r="H126" s="101"/>
      <c r="I126" s="101"/>
      <c r="J126" s="101"/>
      <c r="K126" s="101"/>
      <c r="L126" s="101"/>
      <c r="M126" s="101"/>
      <c r="N126" s="101"/>
      <c r="O126" s="101"/>
      <c r="P126" s="101"/>
      <c r="Q126" s="101"/>
      <c r="R126" s="101"/>
      <c r="S126" s="101"/>
      <c r="T126" s="101"/>
    </row>
    <row r="127" spans="1:20" ht="15.6" x14ac:dyDescent="0.3">
      <c r="A127" s="513" t="s">
        <v>249</v>
      </c>
      <c r="B127" s="340" t="s">
        <v>40</v>
      </c>
      <c r="C127" s="503" t="s">
        <v>41</v>
      </c>
      <c r="D127" s="509"/>
      <c r="E127" s="101"/>
      <c r="F127" s="101"/>
      <c r="G127" s="101"/>
      <c r="H127" s="101"/>
      <c r="I127" s="513" t="s">
        <v>415</v>
      </c>
      <c r="J127" s="493" t="s">
        <v>40</v>
      </c>
      <c r="K127" s="494" t="s">
        <v>41</v>
      </c>
      <c r="L127" s="495"/>
      <c r="M127" s="101"/>
      <c r="N127" s="101"/>
      <c r="O127" s="101"/>
      <c r="P127" s="101"/>
      <c r="Q127" s="101"/>
      <c r="R127" s="101"/>
      <c r="S127" s="101"/>
      <c r="T127" s="101"/>
    </row>
    <row r="128" spans="1:20" x14ac:dyDescent="0.3">
      <c r="A128" s="510">
        <f>'Optimal &lt; 65'!$C$28</f>
        <v>0</v>
      </c>
      <c r="B128" s="334">
        <f>A128-C128</f>
        <v>0</v>
      </c>
      <c r="C128" s="190">
        <f>IF('Optimisation retraite'!$B$4=1,0,IF(A128&gt;=$B$74*2,$B$74,IF(A128&gt;=$B$74+$B$75,A128-$B$74,IF(A128&gt;=$B$75*2,$B$75,IF(A128&gt;=$B$75+$B$76,A128-$B$75,IF(A128&gt;=$B$76*2,$B$76,IF(A128&gt;=$B$76+$B$77,A128-$B$76,IF(A128&gt;$B$77*2,($D$12+$C$15+$C$19+$C$23)/1.03,IF(A128&lt;$B$79*2,A128-$B$17,($D$12+$C$15+$C$19))))))))))</f>
        <v>0</v>
      </c>
      <c r="D128" s="192"/>
      <c r="E128" s="101"/>
      <c r="F128" s="101"/>
      <c r="G128" s="101"/>
      <c r="H128" s="101"/>
      <c r="I128" s="496">
        <f>A128</f>
        <v>0</v>
      </c>
      <c r="J128" s="497">
        <f>I128-K128</f>
        <v>0</v>
      </c>
      <c r="K128" s="497">
        <f>IF('Optimisation retraite'!$B$4=1,0,IF(I128&gt;=$J$72*2,$J$72,IF(I128&gt;=$J$72+$J$73,$J$73,IF(I128&gt;=$J$72+$J$74,I128-$J$72,IF(I128&gt;=$J$74+$J$73,$J$74,IF(I128&gt;=$J$74*2,$J$74,IF(I128&gt;$J$74+$J$76,I128-$J$74,IF(I128-$J$79-$K$79&gt;=$J$75*2,$J$76,IF(I128&gt;$J$76*2,$J$76,IF(AND(I128&gt;$J$74,I128-$J$79-$K$79&lt;$J$75*2),I128-($J$75+J120),IF(I128&gt;=$J$76+$J$77*2,I128-$J$76,IF(I128&gt;=$J$76+$J$77,I128-$J$76,IF(I128&gt;=$J$77*2+K120,$J$77+K129,I128-($J$77+$J$130))))))))))))))</f>
        <v>0</v>
      </c>
      <c r="L128" s="498"/>
      <c r="M128" s="101"/>
      <c r="N128" s="101"/>
      <c r="O128" s="101"/>
      <c r="P128" s="101"/>
      <c r="Q128" s="101"/>
      <c r="R128" s="101"/>
      <c r="S128" s="101"/>
      <c r="T128" s="101"/>
    </row>
    <row r="129" spans="1:20" x14ac:dyDescent="0.3">
      <c r="A129" s="496" t="s">
        <v>43</v>
      </c>
      <c r="B129" s="511">
        <f>B120</f>
        <v>0</v>
      </c>
      <c r="C129" s="190">
        <f>C120</f>
        <v>0</v>
      </c>
      <c r="D129" s="192"/>
      <c r="E129" s="101"/>
      <c r="F129" s="101"/>
      <c r="G129" s="101"/>
      <c r="H129" s="101"/>
      <c r="I129" s="496" t="s">
        <v>43</v>
      </c>
      <c r="J129" s="499">
        <f>J120</f>
        <v>0</v>
      </c>
      <c r="K129" s="497">
        <f>IF('Optimisation retraite'!B25=1,0,K120)</f>
        <v>0</v>
      </c>
      <c r="L129" s="498"/>
      <c r="M129" s="101"/>
      <c r="N129" s="101"/>
      <c r="O129" s="101"/>
      <c r="P129" s="101"/>
      <c r="Q129" s="101"/>
      <c r="R129" s="101"/>
      <c r="S129" s="101"/>
      <c r="T129" s="101"/>
    </row>
    <row r="130" spans="1:20" ht="15.6" x14ac:dyDescent="0.3">
      <c r="A130" s="360" t="s">
        <v>133</v>
      </c>
      <c r="B130" s="190">
        <f>B121</f>
        <v>0</v>
      </c>
      <c r="C130" s="190"/>
      <c r="D130" s="192"/>
      <c r="E130" s="101"/>
      <c r="F130" s="101"/>
      <c r="G130" s="101"/>
      <c r="H130" s="101"/>
      <c r="I130" s="496"/>
      <c r="J130" s="497">
        <f>B130</f>
        <v>0</v>
      </c>
      <c r="K130" s="497"/>
      <c r="L130" s="498"/>
      <c r="M130" s="101"/>
      <c r="N130" s="101"/>
      <c r="O130" s="101"/>
      <c r="P130" s="101"/>
      <c r="Q130" s="101"/>
      <c r="R130" s="101"/>
      <c r="S130" s="101"/>
      <c r="T130" s="101"/>
    </row>
    <row r="131" spans="1:20" x14ac:dyDescent="0.3">
      <c r="A131" s="505" t="s">
        <v>157</v>
      </c>
      <c r="B131" s="334">
        <f>IF(B128-B130&gt;$A$9,(B128-B130-$A$9)*$C$9+$D$9,IF(B128-B130&gt;$A$8,(B128-B130-$A$8)*$C$8+$D$8,IF(B128-B130&gt;$A$7,(B128-B130-$A$7)*$C$7+$D$7,B128*$C$6)))</f>
        <v>0</v>
      </c>
      <c r="C131" s="334">
        <f>IF('Optimisation retraite'!B25=1,0,IF(C128&gt;$A$8,(C128-$A$8)*$C$8+$D$8,IF(C128&gt;$A$7,(C128-$A$7)*$C$7+$D$7,C128*$C$6)))</f>
        <v>0</v>
      </c>
      <c r="D131" s="335">
        <f>B131+C131</f>
        <v>0</v>
      </c>
      <c r="E131" s="101"/>
      <c r="F131" s="101"/>
      <c r="G131" s="101"/>
      <c r="H131" s="101"/>
      <c r="I131" s="496" t="s">
        <v>157</v>
      </c>
      <c r="J131" s="497">
        <f>IF(J128-J130&gt;$I$9,(J128-J130-$I$9)*$K$9+$L$9,IF(J128-J130&gt;$I$8,(J128-J130-$I$8)*$K$8+$L$8,IF(J128-J130&gt;$I$7,(J128-J130-$I$7)*$K$7+$L$7,J128*$K$6)))</f>
        <v>0</v>
      </c>
      <c r="K131" s="497">
        <f>IF('Optimisation retraite'!B25=1,0,IF(K128&gt;$I$8,(K128-$I$8)*$K$8+$L$8,IF(K128&gt;$I$7,(K128-$I$7)*$K$7+$L$7,K128*$C$6)))</f>
        <v>0</v>
      </c>
      <c r="L131" s="498">
        <f>J131+K131</f>
        <v>0</v>
      </c>
      <c r="M131" s="101"/>
      <c r="N131" s="101"/>
      <c r="O131" s="101"/>
      <c r="P131" s="101"/>
      <c r="Q131" s="101"/>
      <c r="R131" s="101"/>
      <c r="S131" s="101"/>
      <c r="T131" s="101"/>
    </row>
    <row r="132" spans="1:20" x14ac:dyDescent="0.3">
      <c r="A132" s="505"/>
      <c r="B132" s="334"/>
      <c r="C132" s="334"/>
      <c r="D132" s="335"/>
      <c r="E132" s="101"/>
      <c r="F132" s="101"/>
      <c r="G132" s="101"/>
      <c r="H132" s="101"/>
      <c r="I132" s="496"/>
      <c r="J132" s="497"/>
      <c r="K132" s="497"/>
      <c r="L132" s="498"/>
      <c r="M132" s="101"/>
      <c r="N132" s="101"/>
      <c r="O132" s="101"/>
      <c r="P132" s="101"/>
      <c r="Q132" s="101"/>
      <c r="R132" s="101"/>
      <c r="S132" s="101"/>
      <c r="T132" s="101"/>
    </row>
    <row r="133" spans="1:20" ht="15" thickBot="1" x14ac:dyDescent="0.35">
      <c r="A133" s="505" t="s">
        <v>158</v>
      </c>
      <c r="B133" s="334">
        <f>IF('Optimal &lt; 65'!B7&lt;65,0,IF(B128&gt;$D$17,0,IF(B128&lt;$D$16,$D$15,$D$15-(B128-$D$16)*15%)))</f>
        <v>0</v>
      </c>
      <c r="C133" s="334">
        <f>IF('Optimal &lt; 65'!$C$7&lt;65,0,IF('Optimal &lt; 65'!$B$4=1,0,IF(C128&gt;$D$17,0,IF(C128&lt;$D$16,$D$15,$D$15-(C128-$D$16)*15%))))</f>
        <v>0</v>
      </c>
      <c r="D133" s="335">
        <f>B133+C133</f>
        <v>0</v>
      </c>
      <c r="E133" s="101">
        <f>D115-D133</f>
        <v>7713</v>
      </c>
      <c r="F133" s="101"/>
      <c r="G133" s="101"/>
      <c r="H133" s="101">
        <f>IF(K18-N18&lt;0,0,K18-N18)</f>
        <v>3308</v>
      </c>
      <c r="I133" s="500" t="s">
        <v>35</v>
      </c>
      <c r="J133" s="341">
        <f>IF(J128-J129&gt;$I$49,$L$49,IF(J128-J129&gt;$I$48,(J128-J129-$I$48)*$K$48+$L$48,IF(J128-J129&lt;$I$46,0,IF(J128-J129&lt;$I$47,(J128-J129-$I$46)*$K$46,150))))</f>
        <v>0</v>
      </c>
      <c r="K133" s="341">
        <f>IF('Optimisation retraite'!B25=1,0,IF(K128-K129&gt;$I$49,$L$49,IF(K128-K129&gt;$I$48,(K128-K129-$I$48)*$K$48+$L$48,IF(K128-K129&lt;=$I$46,0,IF(K128-K129&lt;$I$47,(K128-K129-I46)*$K$46,150)))))</f>
        <v>0</v>
      </c>
      <c r="L133" s="508">
        <f>J133+K133</f>
        <v>0</v>
      </c>
      <c r="M133" s="101"/>
      <c r="N133" s="101"/>
      <c r="O133" s="101"/>
      <c r="P133" s="101"/>
      <c r="Q133" s="101"/>
      <c r="R133" s="101"/>
      <c r="S133" s="101"/>
      <c r="T133" s="101"/>
    </row>
    <row r="134" spans="1:20" ht="15" thickBot="1" x14ac:dyDescent="0.35">
      <c r="A134" s="507" t="s">
        <v>159</v>
      </c>
      <c r="B134" s="197"/>
      <c r="C134" s="341">
        <f>IF(AND($J$14=2,$C$23&lt;C128*3%),0,IF(AND($J$14=2,C128*3%&gt;$E$32),$C$32-$E$32,IF(AND($J$14=2,C128&lt;C18),$C$23-(B128*3%),IF($J$14=2,$C$23-(C128*3%),IF(AND($J$14=1,('Optimal &lt; 65'!$E$37+'Optimal &lt; 65'!$D$34)*3%&gt;$E$32,$D$32&gt;$E$32),$C$32-$E$32,IF(AND($J$14=1,$D$23&lt;('Optimal &lt; 65'!$E$37+'Optimal &lt; 65'!$D$34)*3%),0,IF(('Optimal &lt; 65'!$E$37+'Optimal &lt; 65'!$D$34)*3%&gt;Seuils!$C$23,0,Seuils!$C$23-('Optimal &lt; 65'!$C$28+'Optimal &lt; 65'!$B$25+'Optimal &lt; 65'!$C$25)*3%)))))))</f>
        <v>1642</v>
      </c>
      <c r="D134" s="512"/>
      <c r="E134" s="545">
        <f>E133*$C$6</f>
        <v>1156.95</v>
      </c>
      <c r="F134">
        <f>IF(AND('Optimal &lt; 65'!$B$4=1,'Optimal &lt; 65'!$E$28&lt;Seuils!$B$6),Seuils!E134/(1-Seuils!$C$6),IF(AND('Optimal &lt; 65'!$B$4=1,'Optimal &lt; 65'!$E$28&lt;Seuils!$B$7),Seuils!E134/(1-Seuils!$C$7),IF(AND('Optimal &lt; 65'!$B$4=1,'Optimal &lt; 65'!$E$28&lt;Seuils!$B$8),Seuils!E134/(1-Seuils!$C$8),IF(AND('Optimal &lt; 65'!$B$4=1,'Optimal &lt; 65'!$E$28&gt;Seuils!$A$10),Seuils!E134/(1-Seuils!$C$10),IF('Optimal &lt; 65'!$B$4=1,Seuils!E134/(1-Seuils!$C$9),0)))))</f>
        <v>1361.1176470588236</v>
      </c>
      <c r="G134" s="101"/>
      <c r="H134" s="545">
        <f>H133*$K$6</f>
        <v>496.2</v>
      </c>
      <c r="I134" s="101"/>
      <c r="J134" s="101"/>
      <c r="K134" s="101"/>
      <c r="L134" s="101"/>
      <c r="M134" s="101"/>
      <c r="N134" s="101"/>
      <c r="O134" s="101"/>
      <c r="P134" s="101"/>
      <c r="Q134" s="101"/>
      <c r="R134" s="101"/>
      <c r="S134" s="101"/>
      <c r="T134" s="101"/>
    </row>
    <row r="135" spans="1:20" ht="15" thickBot="1" x14ac:dyDescent="0.35">
      <c r="A135" s="529"/>
      <c r="B135" s="302"/>
      <c r="C135" s="529"/>
      <c r="D135" s="302"/>
      <c r="G135" s="101"/>
      <c r="H135" s="101"/>
      <c r="I135" s="101"/>
      <c r="J135" s="101"/>
      <c r="K135" s="101"/>
      <c r="L135" s="101"/>
      <c r="M135" s="101"/>
      <c r="N135" s="101"/>
      <c r="O135" s="101"/>
      <c r="P135" s="101"/>
      <c r="Q135" s="101"/>
      <c r="R135" s="101"/>
      <c r="S135" s="101"/>
      <c r="T135" s="101"/>
    </row>
    <row r="136" spans="1:20" ht="15.6" x14ac:dyDescent="0.3">
      <c r="A136" s="379" t="s">
        <v>352</v>
      </c>
      <c r="B136" s="340" t="s">
        <v>40</v>
      </c>
      <c r="C136" s="503" t="s">
        <v>41</v>
      </c>
      <c r="D136" s="504"/>
      <c r="I136" s="492" t="s">
        <v>354</v>
      </c>
      <c r="J136" s="340" t="s">
        <v>40</v>
      </c>
      <c r="K136" s="503" t="s">
        <v>41</v>
      </c>
      <c r="L136" s="504">
        <f>'Optimisation retraite'!B55+'Optimisation retraite'!C55</f>
        <v>0</v>
      </c>
      <c r="M136" s="101"/>
      <c r="N136" s="101"/>
      <c r="O136" s="101"/>
      <c r="P136" s="101"/>
      <c r="Q136" s="101"/>
      <c r="R136" s="101"/>
      <c r="S136" s="101"/>
      <c r="T136" s="101"/>
    </row>
    <row r="137" spans="1:20" x14ac:dyDescent="0.3">
      <c r="A137" s="505">
        <f>'55-60'!E29</f>
        <v>39669.839999999997</v>
      </c>
      <c r="B137" s="334">
        <f>A137-C137</f>
        <v>39669.839999999997</v>
      </c>
      <c r="C137" s="334">
        <f>IF('Optimisation retraite'!$B$4=1,0,IF('Optimal &lt; 65'!$B$15+'Optimal &lt; 65'!$C$15=0,'Optimal &lt; 65'!E$27,IF(A137&gt;=$B$74*2,$B$74,IF(A137&gt;=$B$74+$B$75,A137-$B$74,IF(A137&gt;=$B$75*2,$B$75,IF(A137&gt;=$B$75+$B$76,A137-$B$75,IF(A137&gt;=$B$76*2,$B$76,IF(A137&gt;=$B$76+$B$77,A137-$B$76,IF(A137&gt;$B$77*2,(D39+$D$24+$D$28+$D$32)/1.03,IF(A137&lt;$B$79*2,A137-$B$79,($D$21+$D$24+$D$28)))))))))))</f>
        <v>0</v>
      </c>
      <c r="D137" s="335"/>
      <c r="I137" s="505">
        <f>A137</f>
        <v>39669.839999999997</v>
      </c>
      <c r="J137" s="334">
        <f>I137-K137</f>
        <v>39669.839999999997</v>
      </c>
      <c r="K137" s="497">
        <f>IF('Optimisation retraite'!$B$4=1,0,IF(I137&gt;=$J$72*2,$J$72,IF(I137&gt;=$J$72+$J$73,$J$73,IF(I137&gt;=$J$72+$J$74,I137-$J$72,IF(I137&gt;=$J$74+$J$73,$J$74,IF(I137&gt;=$J$74*2,$J$74,IF(I137&gt;$J$74+$J$76,I137-$J$74,IF(I137-$J$79-$K$79&gt;=$J$75*2,$J$76,IF(I137&gt;$J$76*2,$J$76,IF(AND(I137&gt;$J$74,I137-$J$79-$K$79&lt;$J$75*2),I137-($J$75+J129),IF(I137&gt;=$J$76+$J$77*2,I137-$J$76,IF(I137&gt;=$J$76+$J$77,I137-$J$76,IF(I137&gt;=$J$77*2+K129,$J$77+K138,I137-($J$77+$J$130))))))))))))))</f>
        <v>0</v>
      </c>
      <c r="L137" s="335">
        <f>I137-'Optimisation retraite'!C54-Seuils!K138-Seuils!J137</f>
        <v>0</v>
      </c>
      <c r="M137" s="101"/>
      <c r="N137" s="101"/>
      <c r="O137" s="101"/>
      <c r="P137" s="101"/>
      <c r="Q137" s="101"/>
      <c r="R137" s="101"/>
      <c r="S137" s="101"/>
      <c r="T137" s="101"/>
    </row>
    <row r="138" spans="1:20" x14ac:dyDescent="0.3">
      <c r="A138" s="496" t="s">
        <v>43</v>
      </c>
      <c r="B138" s="506">
        <f>'55-60'!B9</f>
        <v>0</v>
      </c>
      <c r="C138" s="334">
        <f>'55-60'!C9</f>
        <v>0</v>
      </c>
      <c r="D138" s="335"/>
      <c r="I138" s="496" t="s">
        <v>43</v>
      </c>
      <c r="J138" s="506">
        <f>B138</f>
        <v>0</v>
      </c>
      <c r="K138" s="334">
        <f>C138</f>
        <v>0</v>
      </c>
      <c r="L138" s="335"/>
      <c r="M138" s="101"/>
      <c r="N138" s="101"/>
      <c r="O138" s="101"/>
      <c r="P138" s="101"/>
      <c r="Q138" s="101"/>
      <c r="R138" s="101"/>
      <c r="S138" s="101"/>
      <c r="T138" s="101"/>
    </row>
    <row r="139" spans="1:20" ht="15.6" x14ac:dyDescent="0.3">
      <c r="A139" s="360" t="s">
        <v>133</v>
      </c>
      <c r="B139" s="334">
        <v>0</v>
      </c>
      <c r="C139" s="334"/>
      <c r="D139" s="335"/>
      <c r="I139" s="505"/>
      <c r="J139" s="334">
        <f>B139</f>
        <v>0</v>
      </c>
      <c r="K139" s="334"/>
      <c r="L139" s="335"/>
      <c r="M139" s="101"/>
      <c r="N139" s="101"/>
      <c r="O139" s="101"/>
      <c r="P139" s="101"/>
      <c r="Q139" s="101"/>
      <c r="R139" s="101"/>
      <c r="S139" s="101"/>
      <c r="T139" s="101"/>
    </row>
    <row r="140" spans="1:20" x14ac:dyDescent="0.3">
      <c r="A140" s="505" t="s">
        <v>157</v>
      </c>
      <c r="B140" s="334">
        <f>IF(B137-B139&gt;$A$9,(B137-B139-$A$9)*$C$9+$D$9,IF(B137-B139&gt;$A$8,(B137-B139-$A$8)*$C$8+$D$8,IF(B137-B139&gt;$A$7,(B137-B139-$A$7)*$C$7+$D$7,B137*$C$6)))</f>
        <v>5950.4759999999997</v>
      </c>
      <c r="C140" s="334">
        <f>IF('Optimisation retraite'!B31=1,0,IF(C137&gt;$A$8,(C137-$A$8)*$C$8+$D$8,IF(C137&gt;$A$7,(C137-$A$7)*$C$7+$D$7,C137*$C$6)))</f>
        <v>0</v>
      </c>
      <c r="D140" s="335">
        <f>B140+C140</f>
        <v>5950.4759999999997</v>
      </c>
      <c r="I140" s="496" t="s">
        <v>157</v>
      </c>
      <c r="J140" s="334">
        <f>IF(J137-J139&gt;$I$9,(J137-J139-$I$9)*$K$9+$L$9,IF(J137-J139&gt;$I$8,(J137-J139-$I$8)*$K$8+$L$8,IF(J137-J139&gt;$I$7,(J137-J139-$I$7)*$K$7+$L$7,J137*$K$6)))</f>
        <v>5950.4759999999997</v>
      </c>
      <c r="K140" s="334">
        <f>IF('Optimisation retraite'!$B$4=1,0,IF(K137&gt;$I$8,(K137-$I$8)*$K$8+$L$8,IF(K137&gt;$I$7,(K137-$I$7)*$K$7+$L$7,K137*$C$6)))</f>
        <v>0</v>
      </c>
      <c r="L140" s="335">
        <f>J140+K140</f>
        <v>5950.4759999999997</v>
      </c>
      <c r="M140" s="101"/>
      <c r="N140" s="101"/>
      <c r="O140" s="101"/>
      <c r="P140" s="101"/>
      <c r="Q140" s="101"/>
      <c r="R140" s="101"/>
      <c r="S140" s="101"/>
      <c r="T140" s="101"/>
    </row>
    <row r="141" spans="1:20" x14ac:dyDescent="0.3">
      <c r="A141" s="505"/>
      <c r="B141" s="334"/>
      <c r="C141" s="334"/>
      <c r="D141" s="335"/>
      <c r="I141" s="505"/>
      <c r="J141" s="334"/>
      <c r="K141" s="334"/>
      <c r="L141" s="335"/>
      <c r="M141" s="101"/>
      <c r="N141" s="101"/>
      <c r="O141" s="101"/>
      <c r="P141" s="101"/>
      <c r="Q141" s="101"/>
      <c r="R141" s="101"/>
      <c r="S141" s="101"/>
      <c r="T141" s="101"/>
    </row>
    <row r="142" spans="1:20" ht="15" thickBot="1" x14ac:dyDescent="0.35">
      <c r="A142" s="505" t="s">
        <v>158</v>
      </c>
      <c r="B142" s="334">
        <f>IF('55-60'!B7&lt;65,0,IF(B137&gt;$D$17,0,IF(B137&lt;$D$16,$D$15,$D$15-(B137-$D$16)*15%)))</f>
        <v>0</v>
      </c>
      <c r="C142" s="334">
        <f>IF('55-60'!C7&lt;65,0,IF('Optimisation retraite'!B31=1,0,IF(C137&gt;$D$17,0,IF(C137&lt;$D$16,$D$15,$D$15-(C137-$D$16)*15%))))</f>
        <v>0</v>
      </c>
      <c r="D142" s="335">
        <f>B142+C142</f>
        <v>0</v>
      </c>
      <c r="H142">
        <f>L36-M36</f>
        <v>0</v>
      </c>
      <c r="I142" s="507" t="s">
        <v>35</v>
      </c>
      <c r="J142" s="341">
        <f>IF(J137-J138&gt;$I$49,$L$49,IF(J137-J138&gt;$I$48,(J137-J138-$I$48)*$K$48+$L$48,IF(J137-J138&lt;$I$46,0,IF(J137-J138&lt;$I$47,(J137-J138-$I$46)*$K$46,150))))</f>
        <v>150</v>
      </c>
      <c r="K142" s="501">
        <f>IF('Optimisation retraite'!$B$4=1,0,IF(K137-K138&gt;$I$49,$L$49,IF(K137-K138&gt;$I$48,(K137-K138-$I$48)*$K$48+$L$48,IF(K137-K138&lt;=$I$46,0,IF(K137-K138&lt;$I$47,(K137-K138-$I$46)*$K$46,150)))))</f>
        <v>0</v>
      </c>
      <c r="L142" s="508">
        <f>J142+K142</f>
        <v>150</v>
      </c>
      <c r="M142" s="101"/>
      <c r="N142" s="101"/>
      <c r="O142" s="101"/>
      <c r="P142" s="101"/>
      <c r="Q142" s="101"/>
      <c r="R142" s="101"/>
      <c r="S142" s="101"/>
      <c r="T142" s="101"/>
    </row>
    <row r="143" spans="1:20" ht="15" thickBot="1" x14ac:dyDescent="0.35">
      <c r="A143" s="507" t="s">
        <v>159</v>
      </c>
      <c r="B143" s="341"/>
      <c r="C143" s="341">
        <f>IF(AND($J$14=2,$C$23&lt;C137*3%),0,IF(AND($J$14=2,C137*3%&gt;$E$23),$C$23-$E$23,IF(AND($J$14=2,C137&lt;$B$17),$C$23-(B128*3%),IF($J$14=2,$C$23-(C137*3%),IF(AND($J$14=1,('Optimal &lt; 65'!$E$28+'Optimal &lt; 65'!$D$25)*3%&gt;$E$23,$D$23&gt;$E$23),$C$23-$E$23,IF(AND($J$14=1,$D$23&lt;('Optimal &lt; 65'!$E$28+'Optimal &lt; 65'!$D$25)*3%),0,IF(('Optimal &lt; 65'!$E$28+'Optimal &lt; 65'!$D$25)*3%&gt;Seuils!$C$23,0,Seuils!$C$23-('Optimal &lt; 65'!$E$28+'Optimal &lt; 65'!$D$25)*3%)))))))</f>
        <v>451.90480000000025</v>
      </c>
      <c r="D143" s="508"/>
      <c r="F143">
        <f>IF(AND('Optimal &lt; 65'!$B$4=1,'Optimal &lt; 65'!$E$28&lt;Seuils!$B$6),Seuils!E143/(1-Seuils!$C$6),IF(AND('Optimal &lt; 65'!$B$4=1,'Optimal &lt; 65'!$E$28&lt;Seuils!$B$7),Seuils!E143/(1-Seuils!$C$7),IF(AND('Optimal &lt; 65'!$B$4=1,'Optimal &lt; 65'!$E$28&lt;Seuils!$B$8),Seuils!E143/(1-Seuils!$C$8),IF(AND('Optimal &lt; 65'!$B$4=1,'Optimal &lt; 65'!$E$28&gt;Seuils!$A$10),Seuils!E143/(1-Seuils!$C$10),IF('Optimal &lt; 65'!$B$4=1,Seuils!E143/(1-Seuils!$C$9),0)))))</f>
        <v>0</v>
      </c>
      <c r="G143">
        <f>IF(AND('Optimal &lt; 65'!B24=1,'Optimal &lt; 65'!E46&lt;Seuils!J24),Seuils!E143/Seuils!K24,IF(AND('Optimal &lt; 65'!B24=1,'Optimal &lt; 65'!E46&lt;Seuils!J25),Seuils!E143/Seuils!K25,IF(AND('Optimal &lt; 65'!B24=1,'Optimal &lt; 65'!E46&gt;Seuils!I27),Seuils!E143/Seuils!K27,IF('Optimal &lt; 65'!B24=1,Seuils!E143/Seuils!K26,0))))</f>
        <v>0</v>
      </c>
      <c r="H143" s="545">
        <f>H142*$K$6</f>
        <v>0</v>
      </c>
      <c r="M143" s="101"/>
      <c r="N143" s="101"/>
      <c r="O143" s="101"/>
      <c r="P143" s="101"/>
      <c r="Q143" s="101"/>
      <c r="R143" s="101"/>
      <c r="S143" s="101"/>
      <c r="T143" s="101"/>
    </row>
    <row r="144" spans="1:20" ht="15" thickBot="1" x14ac:dyDescent="0.35">
      <c r="A144" s="101"/>
      <c r="B144" s="101"/>
      <c r="C144" s="101"/>
      <c r="D144" s="101"/>
      <c r="E144" s="101"/>
      <c r="F144">
        <f>IF(AND('Optimal &lt; 65'!$B$4=1,'Optimal &lt; 65'!$E$28&lt;Seuils!$B$6),Seuils!E144/(1-Seuils!$C$6),IF(AND('Optimal &lt; 65'!$B$4=1,'Optimal &lt; 65'!$E$28&lt;Seuils!$B$7),Seuils!E144/(1-Seuils!$C$7),IF(AND('Optimal &lt; 65'!$B$4=1,'Optimal &lt; 65'!$E$28&lt;Seuils!$B$8),Seuils!E144/(1-Seuils!$C$8),IF(AND('Optimal &lt; 65'!$B$4=1,'Optimal &lt; 65'!$E$28&gt;Seuils!$A$10),Seuils!E144/(1-Seuils!$C$10),IF('Optimal &lt; 65'!$B$4=1,Seuils!E144/(1-Seuils!$C$9),0)))))</f>
        <v>0</v>
      </c>
      <c r="G144" s="101"/>
      <c r="H144" s="101"/>
      <c r="I144" s="101"/>
      <c r="J144" s="101"/>
      <c r="K144" s="101"/>
      <c r="L144" s="101"/>
      <c r="M144" s="101"/>
      <c r="N144" s="101"/>
      <c r="O144" s="101"/>
      <c r="P144" s="101"/>
      <c r="Q144" s="101"/>
      <c r="R144" s="101"/>
      <c r="S144" s="101"/>
      <c r="T144" s="101"/>
    </row>
    <row r="145" spans="1:20" ht="15.6" x14ac:dyDescent="0.3">
      <c r="A145" s="513" t="s">
        <v>353</v>
      </c>
      <c r="B145" s="340" t="s">
        <v>40</v>
      </c>
      <c r="C145" s="503" t="s">
        <v>41</v>
      </c>
      <c r="D145" s="509"/>
      <c r="E145" s="101"/>
      <c r="F145" s="101"/>
      <c r="G145" s="101"/>
      <c r="H145" s="101"/>
      <c r="I145" s="513" t="s">
        <v>355</v>
      </c>
      <c r="J145" s="493" t="s">
        <v>40</v>
      </c>
      <c r="K145" s="494" t="s">
        <v>41</v>
      </c>
      <c r="L145" s="495"/>
      <c r="M145" s="101"/>
      <c r="N145" s="101"/>
      <c r="O145" s="101"/>
      <c r="P145" s="101"/>
      <c r="Q145" s="101"/>
      <c r="R145" s="101"/>
      <c r="S145" s="101"/>
      <c r="T145" s="101"/>
    </row>
    <row r="146" spans="1:20" x14ac:dyDescent="0.3">
      <c r="A146" s="510">
        <f>'55-60'!C29</f>
        <v>0</v>
      </c>
      <c r="B146" s="334">
        <f>A146-C146</f>
        <v>0</v>
      </c>
      <c r="C146" s="190">
        <f>IF('Optimisation retraite'!$B$4=1,0,IF(A146&gt;=$B$74*2,$B$74,IF(A146&gt;=$B$74+$B$75,A146-$B$74,IF(A146&gt;=$B$75*2,$B$75,IF(A146&gt;=$B$75+$B$76,A146-$B$75,IF(A146&gt;=$B$76*2,$B$76,IF(A146&gt;=$B$76+$B$77,A146-$B$76,IF(A146&gt;$B$77*2,($D$12+$C$15+$C$19+$C$23)/1.03,IF(A146&lt;$B$79*2,A146-$B$17,($D$12+$C$15+$C$19))))))))))</f>
        <v>0</v>
      </c>
      <c r="D146" s="192"/>
      <c r="E146" s="101"/>
      <c r="F146" s="101"/>
      <c r="G146" s="101"/>
      <c r="H146" s="101"/>
      <c r="I146" s="496">
        <f>A146</f>
        <v>0</v>
      </c>
      <c r="J146" s="497">
        <f>I146-K146</f>
        <v>0</v>
      </c>
      <c r="K146" s="497">
        <f>IF('Optimisation retraite'!$B$4=1,0,IF(I146&gt;=$J$72*2,$J$72,IF(I146&gt;=$J$72+$J$73,$J$73,IF(I146&gt;=$J$72+$J$74,I146-$J$72,IF(I146&gt;=$J$74+$J$73,$J$74,IF(I146&gt;=$J$74*2,$J$74,IF(I146&gt;$J$74+$J$76,I146-$J$74,IF(I146-$J$79-$K$79&gt;=$J$75*2,$J$76,IF(I146&gt;$J$76*2,$J$76,IF(AND(I146&gt;$J$74,I146-$J$79-$K$79&lt;$J$75*2),I146-($J$75+J138),IF(I146&gt;=$J$76+$J$77*2,I146-$J$76,IF(I146&gt;=$J$76+$J$77,I146-$J$76,IF(I146&gt;=$J$77*2+K138,$J$77+K147,I146-($J$77+$J$130))))))))))))))</f>
        <v>0</v>
      </c>
      <c r="L146" s="498"/>
      <c r="M146" s="101"/>
      <c r="N146" s="101"/>
      <c r="O146" s="101"/>
      <c r="P146" s="101"/>
      <c r="Q146" s="101"/>
      <c r="R146" s="101"/>
      <c r="S146" s="101"/>
      <c r="T146" s="101"/>
    </row>
    <row r="147" spans="1:20" x14ac:dyDescent="0.3">
      <c r="A147" s="496" t="s">
        <v>43</v>
      </c>
      <c r="B147" s="511">
        <f>B138</f>
        <v>0</v>
      </c>
      <c r="C147" s="190">
        <f>C138</f>
        <v>0</v>
      </c>
      <c r="D147" s="192"/>
      <c r="E147" s="101"/>
      <c r="F147" s="101"/>
      <c r="G147" s="101"/>
      <c r="H147" s="101"/>
      <c r="I147" s="496" t="s">
        <v>43</v>
      </c>
      <c r="J147" s="499">
        <f>J138</f>
        <v>0</v>
      </c>
      <c r="K147" s="497">
        <f>IF('Optimisation retraite'!B43=1,0,K138)</f>
        <v>0</v>
      </c>
      <c r="L147" s="498"/>
      <c r="M147" s="101"/>
      <c r="N147" s="101"/>
      <c r="O147" s="101"/>
      <c r="P147" s="101"/>
      <c r="Q147" s="101"/>
      <c r="R147" s="101"/>
      <c r="S147" s="101"/>
      <c r="T147" s="101"/>
    </row>
    <row r="148" spans="1:20" ht="15.6" x14ac:dyDescent="0.3">
      <c r="A148" s="360" t="s">
        <v>133</v>
      </c>
      <c r="B148" s="190">
        <f>B139</f>
        <v>0</v>
      </c>
      <c r="C148" s="190"/>
      <c r="D148" s="192"/>
      <c r="E148" s="101"/>
      <c r="F148" s="101"/>
      <c r="G148" s="101"/>
      <c r="H148" s="101"/>
      <c r="I148" s="496"/>
      <c r="J148" s="497">
        <f>B148</f>
        <v>0</v>
      </c>
      <c r="K148" s="497"/>
      <c r="L148" s="498"/>
      <c r="M148" s="101"/>
      <c r="N148" s="101"/>
      <c r="O148" s="101"/>
      <c r="P148" s="101"/>
      <c r="Q148" s="101"/>
      <c r="R148" s="101"/>
      <c r="S148" s="101"/>
      <c r="T148" s="101"/>
    </row>
    <row r="149" spans="1:20" x14ac:dyDescent="0.3">
      <c r="A149" s="505" t="s">
        <v>157</v>
      </c>
      <c r="B149" s="334">
        <f>IF(B146-B148&gt;$A$9,(B146-B148-$A$9)*$C$9+$D$9,IF(B146-B148&gt;$A$8,(B146-B148-$A$8)*$C$8+$D$8,IF(B146-B148&gt;$A$7,(B146-B148-$A$7)*$C$7+$D$7,B146*$C$6)))</f>
        <v>0</v>
      </c>
      <c r="C149" s="334">
        <f>IF('Optimisation retraite'!B43=1,0,IF(C146&gt;$A$8,(C146-$A$8)*$C$8+$D$8,IF(C146&gt;$A$7,(C146-$A$7)*$C$7+$D$7,C146*$C$6)))</f>
        <v>0</v>
      </c>
      <c r="D149" s="335">
        <f>B149+C149</f>
        <v>0</v>
      </c>
      <c r="E149" s="101"/>
      <c r="F149" s="101"/>
      <c r="G149" s="101"/>
      <c r="H149" s="101"/>
      <c r="I149" s="496" t="s">
        <v>157</v>
      </c>
      <c r="J149" s="497">
        <f>IF(J146-J148&gt;$I$9,(J146-J148-$I$9)*$K$9+$L$9,IF(J146-J148&gt;$I$8,(J146-J148-$I$8)*$K$8+$L$8,IF(J146-J148&gt;$I$7,(J146-J148-$I$7)*$K$7+$L$7,J146*$K$6)))</f>
        <v>0</v>
      </c>
      <c r="K149" s="497">
        <f>IF('Optimisation retraite'!B43=1,0,IF(K146&gt;$I$8,(K146-$I$8)*$K$8+$L$8,IF(K146&gt;$I$7,(K146-$I$7)*$K$7+$L$7,K146*$C$6)))</f>
        <v>0</v>
      </c>
      <c r="L149" s="498">
        <f>J149+K149</f>
        <v>0</v>
      </c>
      <c r="M149" s="101"/>
      <c r="N149" s="101"/>
      <c r="O149" s="101"/>
      <c r="P149" s="101"/>
      <c r="Q149" s="101"/>
      <c r="R149" s="101"/>
      <c r="S149" s="101"/>
      <c r="T149" s="101"/>
    </row>
    <row r="150" spans="1:20" x14ac:dyDescent="0.3">
      <c r="A150" s="505"/>
      <c r="B150" s="334"/>
      <c r="C150" s="334"/>
      <c r="D150" s="335"/>
      <c r="E150" s="101"/>
      <c r="F150" s="101"/>
      <c r="G150" s="101"/>
      <c r="H150" s="101"/>
      <c r="I150" s="496"/>
      <c r="J150" s="497"/>
      <c r="K150" s="497"/>
      <c r="L150" s="498"/>
      <c r="M150" s="101"/>
      <c r="N150" s="101"/>
      <c r="O150" s="101"/>
      <c r="P150" s="101"/>
      <c r="Q150" s="101"/>
      <c r="R150" s="101"/>
      <c r="S150" s="101"/>
      <c r="T150" s="101"/>
    </row>
    <row r="151" spans="1:20" ht="15" thickBot="1" x14ac:dyDescent="0.35">
      <c r="A151" s="505" t="s">
        <v>158</v>
      </c>
      <c r="B151" s="334">
        <f>IF('55-60'!B7&lt;65,0,IF(B146&gt;$D$17,0,IF(B146&lt;$D$16,$D$15,$D$15-(B146-$D$16)*15%)))</f>
        <v>0</v>
      </c>
      <c r="C151" s="334">
        <f>IF('55-60'!C7&lt;65,0,IF('Optimal &lt; 65'!$B$4=1,0,IF(C146&gt;$D$17,0,IF(C146&lt;$D$16,$D$15,$D$15-(C146-$D$16)*15%))))</f>
        <v>0</v>
      </c>
      <c r="D151" s="335">
        <f>B151+C151</f>
        <v>0</v>
      </c>
      <c r="E151" s="101">
        <f>D115-D151</f>
        <v>7713</v>
      </c>
      <c r="F151" s="101"/>
      <c r="G151" s="101"/>
      <c r="H151" s="101">
        <f>IF(L18-R18&lt;0,0,L18-R18)</f>
        <v>3060.875</v>
      </c>
      <c r="I151" s="500" t="s">
        <v>35</v>
      </c>
      <c r="J151" s="341">
        <f>IF(J146-J147&gt;$I$49,$L$49,IF(J146-J147&gt;$I$48,(J146-J147-$I$48)*$K$48+$L$48,IF(J146-J147&lt;$I$46,0,IF(J146-J147&lt;$I$47,(J146-J147-$I$46)*$K$46,150))))</f>
        <v>0</v>
      </c>
      <c r="K151" s="501">
        <f>IF('Optimisation retraite'!$B$4=1,0,IF(K146-K147&gt;$I$49,$L$49,IF(K146-K147&gt;$I$48,(K146-K147-$I$48)*$K$48+$L$48,IF(K146-K147&lt;=$I$46,0,IF(K146-K147&lt;$I$47,(K146-K147-$I$46)*$K$46,150)))))</f>
        <v>0</v>
      </c>
      <c r="L151" s="508">
        <f>J151+K151</f>
        <v>0</v>
      </c>
      <c r="M151" s="101"/>
      <c r="N151" s="101"/>
      <c r="O151" s="101"/>
      <c r="P151" s="101"/>
      <c r="Q151" s="101"/>
      <c r="R151" s="101"/>
      <c r="S151" s="101"/>
      <c r="T151" s="101"/>
    </row>
    <row r="152" spans="1:20" ht="15" thickBot="1" x14ac:dyDescent="0.35">
      <c r="A152" s="507" t="s">
        <v>159</v>
      </c>
      <c r="B152" s="197"/>
      <c r="C152" s="341">
        <f>IF(AND($J$14=2,$C$23&lt;C146*3%),0,IF(AND($J$14=2,C146*3%&gt;$E$32),$C$32-$E$32,IF(AND($J$14=2,C146&lt;$B$26),$C$23-(B137*3%),IF($J$14=2,$C$23-(C146*3%),IF(AND($J$14=1,('Optimal &lt; 65'!$E$37+'Optimal &lt; 65'!$D$34)*3%&gt;$E$32,$D$32&gt;$E$32),$C$32-$E$32,IF(AND($J$14=1,$D$23&lt;('Optimal &lt; 65'!$E$37+'Optimal &lt; 65'!$D$34)*3%),0,IF(('Optimal &lt; 65'!$E$37+'Optimal &lt; 65'!$D$34)*3%&gt;Seuils!$C$23,0,Seuils!$C$23-('Optimal &lt; 65'!$C$28+'Optimal &lt; 65'!$B$25+'Optimal &lt; 65'!$C$25)*3%)))))))</f>
        <v>1642</v>
      </c>
      <c r="D152" s="512"/>
      <c r="E152">
        <f>E151*$C$6</f>
        <v>1156.95</v>
      </c>
      <c r="F152">
        <f>IF(AND('Optimal &lt; 65'!$B$4=1,'Optimal &lt; 65'!$E$28&lt;Seuils!$B$6),Seuils!E152/(1-Seuils!$C$6),IF(AND('Optimal &lt; 65'!$B$4=1,'Optimal &lt; 65'!$E$28&lt;Seuils!$B$7),Seuils!E152/(1-Seuils!$C$7),IF(AND('Optimal &lt; 65'!$B$4=1,'Optimal &lt; 65'!$E$28&lt;Seuils!$B$8),Seuils!E152/(1-Seuils!$C$8),IF(AND('Optimal &lt; 65'!$B$4=1,'Optimal &lt; 65'!$E$28&gt;Seuils!$A$10),Seuils!E152/(1-Seuils!$C$10),IF('Optimal &lt; 65'!$B$4=1,Seuils!E152/(1-Seuils!$C$9),0)))))</f>
        <v>1361.1176470588236</v>
      </c>
      <c r="G152" s="101"/>
      <c r="H152" s="545">
        <f>H151*$K$6</f>
        <v>459.13124999999997</v>
      </c>
      <c r="I152" s="101"/>
      <c r="J152" s="101"/>
      <c r="K152" s="101"/>
      <c r="L152" s="101"/>
      <c r="M152" s="101"/>
      <c r="N152" s="101"/>
      <c r="O152" s="101"/>
      <c r="P152" s="101"/>
      <c r="Q152" s="101"/>
      <c r="R152" s="101"/>
      <c r="S152" s="101"/>
      <c r="T152" s="101"/>
    </row>
    <row r="153" spans="1:20" ht="15" thickBot="1" x14ac:dyDescent="0.35">
      <c r="A153" s="529"/>
      <c r="B153" s="302"/>
      <c r="C153" s="529"/>
      <c r="D153" s="302"/>
      <c r="G153" s="101"/>
      <c r="H153" s="101"/>
      <c r="I153" s="101"/>
      <c r="J153" s="101"/>
      <c r="K153" s="101"/>
      <c r="L153" s="101"/>
      <c r="M153" s="101"/>
      <c r="N153" s="101"/>
      <c r="O153" s="101"/>
      <c r="P153" s="101"/>
      <c r="Q153" s="101"/>
      <c r="R153" s="101"/>
      <c r="S153" s="101"/>
      <c r="T153" s="101"/>
    </row>
    <row r="154" spans="1:20" ht="15.6" x14ac:dyDescent="0.3">
      <c r="A154" s="379" t="s">
        <v>397</v>
      </c>
      <c r="B154" s="340" t="s">
        <v>40</v>
      </c>
      <c r="C154" s="503" t="s">
        <v>41</v>
      </c>
      <c r="D154" s="504"/>
      <c r="I154" s="379" t="s">
        <v>397</v>
      </c>
      <c r="J154" s="340" t="s">
        <v>40</v>
      </c>
      <c r="K154" s="503" t="s">
        <v>41</v>
      </c>
      <c r="L154" s="504">
        <f>'Optimisation retraite'!B73+'Optimisation retraite'!C73</f>
        <v>0</v>
      </c>
      <c r="M154" s="101"/>
      <c r="N154" s="101"/>
      <c r="O154" s="101"/>
      <c r="P154" s="101"/>
      <c r="Q154" s="101"/>
      <c r="R154" s="101"/>
      <c r="S154" s="101"/>
      <c r="T154" s="101"/>
    </row>
    <row r="155" spans="1:20" x14ac:dyDescent="0.3">
      <c r="A155" s="505">
        <f>'conj #1 60-65 &amp; # 2 60-65'!E28</f>
        <v>39669.839999999997</v>
      </c>
      <c r="B155" s="334">
        <f>A155-C155</f>
        <v>39669.839999999997</v>
      </c>
      <c r="C155" s="334">
        <f>IF('Optimisation retraite'!$B$4=1,0,IF('conj #1 60-65 &amp; # 2 60-65'!B15+'conj #1 60-65 &amp; # 2 60-65'!C15=0,'conj #1 60-65 &amp; # 2 60-65'!C14,IF(AND('conj #1 60-65 &amp; # 2 60-65'!C15=0,'conj #1 60-65 &amp; # 2 60-65'!C14+'conj #1 60-65 &amp; # 2 60-65'!B15/2&lt;Seuils!B6),'conj #1 60-65 &amp; # 2 60-65'!C14+'conj #1 60-65 &amp; # 2 60-65'!B15/2,IF(AND('conj #1 60-65 &amp; # 2 60-65'!C15=0,'conj #1 60-65 &amp; # 2 60-65'!C14+'conj #1 60-65 &amp; # 2 60-65'!B15/2&gt;Seuils!B6),Seuils!B6,IF(A155&gt;=$B$74*2,$B$74,IF(A155&gt;=$B$74+$B$75,A7,IF(A155&gt;=$B$75*2,$B$75,IF(A155&gt;=$B$75+$B$76,A155-$B$75,IF(A155&gt;=$B$76*2,$B$76,IF(A155&gt;=$B$76+$B$77,A155-$B$76,IF(A155&gt;$B$77*2,(D57+$D$24+$D$28+$D$32)/1.03,IF(A155&lt;$B$79*2,A155-$B$79,($D$21+$D$24+$D$28)))))))))))))</f>
        <v>0</v>
      </c>
      <c r="D155" s="335"/>
      <c r="I155" s="505">
        <f>A155</f>
        <v>39669.839999999997</v>
      </c>
      <c r="J155" s="334">
        <f>I155-K155</f>
        <v>39669.839999999997</v>
      </c>
      <c r="K155" s="334">
        <f>'conj #1 60-65 &amp; # 2 60-65'!E26</f>
        <v>0</v>
      </c>
      <c r="L155" s="335">
        <f>I155-'Optimisation retraite'!C72-Seuils!K156-Seuils!J155</f>
        <v>0</v>
      </c>
      <c r="M155" s="101"/>
      <c r="N155" s="101"/>
      <c r="O155" s="101"/>
      <c r="P155" s="101"/>
      <c r="Q155" s="101"/>
      <c r="R155" s="101"/>
      <c r="S155" s="101"/>
      <c r="T155" s="101"/>
    </row>
    <row r="156" spans="1:20" x14ac:dyDescent="0.3">
      <c r="A156" s="496" t="s">
        <v>43</v>
      </c>
      <c r="B156" s="506">
        <f>'conj #1 60-65 &amp; # 2 60-65'!B23</f>
        <v>0</v>
      </c>
      <c r="C156" s="334">
        <f>'conj #1 60-65 &amp; # 2 60-65'!C23</f>
        <v>0</v>
      </c>
      <c r="D156" s="335"/>
      <c r="I156" s="496" t="s">
        <v>43</v>
      </c>
      <c r="J156" s="506">
        <f>B156</f>
        <v>0</v>
      </c>
      <c r="K156" s="334">
        <f>C156</f>
        <v>0</v>
      </c>
      <c r="L156" s="335"/>
      <c r="M156" s="101"/>
      <c r="N156" s="101"/>
      <c r="O156" s="101"/>
      <c r="P156" s="101"/>
      <c r="Q156" s="101"/>
      <c r="R156" s="101"/>
      <c r="S156" s="101"/>
      <c r="T156" s="101"/>
    </row>
    <row r="157" spans="1:20" ht="15.6" x14ac:dyDescent="0.3">
      <c r="A157" s="360" t="s">
        <v>133</v>
      </c>
      <c r="B157" s="334">
        <v>0</v>
      </c>
      <c r="C157" s="334"/>
      <c r="D157" s="335"/>
      <c r="I157" s="505"/>
      <c r="J157" s="334">
        <f>B157</f>
        <v>0</v>
      </c>
      <c r="K157" s="334"/>
      <c r="L157" s="335"/>
      <c r="M157" s="101"/>
      <c r="N157" s="101"/>
      <c r="O157" s="101"/>
      <c r="P157" s="101"/>
      <c r="Q157" s="101"/>
      <c r="R157" s="101"/>
      <c r="S157" s="101"/>
      <c r="T157" s="101"/>
    </row>
    <row r="158" spans="1:20" x14ac:dyDescent="0.3">
      <c r="A158" s="505" t="s">
        <v>157</v>
      </c>
      <c r="B158" s="334">
        <f>IF(B155-B157&gt;$A$9,(B155-B157-$A$9)*$C$9+$D$9,IF(B155-B157&gt;$A$8,(B155-B157-$A$8)*$C$8+$D$8,IF(B155-B157&gt;$A$7,(B155-B157-$A$7)*$C$7+$D$7,B155*$C$6)))</f>
        <v>5950.4759999999997</v>
      </c>
      <c r="C158" s="334">
        <f>IF('Optimisation retraite'!B49=1,0,IF(C155&gt;$A$8,(C155-$A$8)*$C$8+$D$8,IF(C155&gt;$A$7,(C155-$A$7)*$C$7+$D$7,C155*$C$6)))</f>
        <v>0</v>
      </c>
      <c r="D158" s="335">
        <f>B158+C158</f>
        <v>5950.4759999999997</v>
      </c>
      <c r="I158" s="496" t="s">
        <v>157</v>
      </c>
      <c r="J158" s="334">
        <f>IF(J155-J157&gt;$I$9,(J155-J157-$I$9)*$K$9+$L$9,IF(J155-J157&gt;$I$8,(J155-J157-$I$8)*$K$8+$L$8,IF(J155-J157&gt;$I$7,(J155-J157-$I$7)*$K$7+$L$7,J155*$K$6)))</f>
        <v>5950.4759999999997</v>
      </c>
      <c r="K158" s="334">
        <f>IF('Optimisation retraite'!$B$4=1,0,IF(K155&gt;$I$8,(K155-$I$8)*$K$8+$L$8,IF(K155&gt;$I$7,(K155-$I$7)*$K$7+$L$7,K155*$C$6)))</f>
        <v>0</v>
      </c>
      <c r="L158" s="335">
        <f>J158+K158</f>
        <v>5950.4759999999997</v>
      </c>
      <c r="M158" s="101"/>
      <c r="N158" s="101"/>
      <c r="O158" s="101"/>
      <c r="P158" s="101"/>
      <c r="Q158" s="101"/>
      <c r="R158" s="101"/>
      <c r="S158" s="101"/>
      <c r="T158" s="101"/>
    </row>
    <row r="159" spans="1:20" x14ac:dyDescent="0.3">
      <c r="A159" s="505"/>
      <c r="B159" s="334"/>
      <c r="C159" s="334"/>
      <c r="D159" s="335"/>
      <c r="I159" s="505"/>
      <c r="J159" s="334"/>
      <c r="K159" s="334"/>
      <c r="L159" s="335"/>
      <c r="M159" s="101"/>
      <c r="N159" s="101"/>
      <c r="O159" s="101"/>
      <c r="P159" s="101"/>
      <c r="Q159" s="101"/>
      <c r="R159" s="101"/>
      <c r="S159" s="101"/>
      <c r="T159" s="101"/>
    </row>
    <row r="160" spans="1:20" ht="15" thickBot="1" x14ac:dyDescent="0.35">
      <c r="A160" s="505" t="s">
        <v>158</v>
      </c>
      <c r="B160" s="334">
        <f>IF('Optimal &lt; 65'!B43&lt;65,0,IF(B155&gt;$D$17,0,IF(B155&lt;$D$16,$D$15,$D$15-(B155-$D$16)*15%)))</f>
        <v>0</v>
      </c>
      <c r="C160" s="334">
        <f>IF('Optimal &lt; 65'!C43&lt;65,0,IF('Optimisation retraite'!B49=1,0,IF(C155&gt;$D$17,0,IF(C155&lt;$D$16,$D$15,$D$15-(C155-$D$16)*15%))))</f>
        <v>0</v>
      </c>
      <c r="D160" s="335">
        <f>B160+C160</f>
        <v>0</v>
      </c>
      <c r="E160">
        <f>D96</f>
        <v>7713</v>
      </c>
      <c r="H160">
        <f>K18-V18</f>
        <v>5110</v>
      </c>
      <c r="I160" s="507" t="s">
        <v>35</v>
      </c>
      <c r="J160" s="341">
        <f>IF(J155-J156&gt;$I$49,$L$49,IF(J155-J156&gt;$I$48,(J155-J156-$I$48)*$K$48+$L$48,IF(J155-J156&lt;$I$46,0,IF(J155-J156&lt;$I$47,(J155-J156-$I$46)*$K$46,150))))</f>
        <v>150</v>
      </c>
      <c r="K160" s="501">
        <f>IF('Optimisation retraite'!$B$4=1,0,IF(K155-K156&gt;$I$49,$L$49,IF(K155-K156&gt;$I$48,(K155-K156-$I$48)*$K$48+$L$48,IF(K155-K156&lt;=$I$46,0,IF(K155-K156&lt;$I$47,(K155-K156-$I$46)*$K$46,150)))))</f>
        <v>0</v>
      </c>
      <c r="L160" s="508">
        <f>J160+K160</f>
        <v>150</v>
      </c>
      <c r="M160" s="101"/>
      <c r="N160" s="101"/>
      <c r="O160" s="101"/>
      <c r="P160" s="101"/>
      <c r="Q160" s="101"/>
      <c r="R160" s="101"/>
      <c r="S160" s="101"/>
      <c r="T160" s="101"/>
    </row>
    <row r="161" spans="1:20" ht="15" thickBot="1" x14ac:dyDescent="0.35">
      <c r="A161" s="507" t="s">
        <v>159</v>
      </c>
      <c r="B161" s="341"/>
      <c r="C161" s="341">
        <f>IF(AND($J$14=2,$C$23&lt;C155*3%),0,IF(AND($J$14=2,C155*3%&gt;$E$23),$C$23-$E$23,IF(AND($J$14=2,C155&lt;$B$17),$C$23-(B146*3%),IF($J$14=2,$C$23-(C155*3%),IF(AND($J$14=1,('Optimal &lt; 65'!$E$28+'Optimal &lt; 65'!$D$25)*3%&gt;$E$23,$D$23&gt;$E$23),$C$23-$E$23,IF(AND($J$14=1,$D$23&lt;('Optimal &lt; 65'!$E$28+'Optimal &lt; 65'!$D$25)*3%),0,IF(('Optimal &lt; 65'!$E$28+'Optimal &lt; 65'!$D$25)*3%&gt;Seuils!$C$23,0,Seuils!$C$23-('Optimal &lt; 65'!$E$28+'Optimal &lt; 65'!$D$25)*3%)))))))</f>
        <v>451.90480000000025</v>
      </c>
      <c r="D161" s="508"/>
      <c r="E161">
        <f>E160*$C$6</f>
        <v>1156.95</v>
      </c>
      <c r="F161">
        <f>IF(AND('Optimal &lt; 65'!$B$4=1,'Optimal &lt; 65'!$E$28&lt;Seuils!$B$6),Seuils!E161/(1-Seuils!$C$6),IF(AND('Optimal &lt; 65'!$B$4=1,'Optimal &lt; 65'!$E$28&lt;Seuils!$B$7),Seuils!E161/(1-Seuils!$C$7),IF(AND('Optimal &lt; 65'!$B$4=1,'Optimal &lt; 65'!$E$28&lt;Seuils!$B$8),Seuils!E161/(1-Seuils!$C$8),IF(AND('Optimal &lt; 65'!$B$4=1,'Optimal &lt; 65'!$E$28&gt;Seuils!$A$10),Seuils!E161/(1-Seuils!$C$10),IF('Optimal &lt; 65'!$B$4=1,Seuils!E161/(1-Seuils!$C$9),0)))))</f>
        <v>1361.1176470588236</v>
      </c>
      <c r="G161">
        <f>IF(AND('Optimal &lt; 65'!B42=1,'Optimal &lt; 65'!E71&lt;Seuils!J42),Seuils!E161/Seuils!K42,IF(AND('Optimal &lt; 65'!B42=1,'Optimal &lt; 65'!E71&lt;Seuils!J43),Seuils!E161/Seuils!K43,IF(AND('Optimal &lt; 65'!B42=1,'Optimal &lt; 65'!E71&gt;Seuils!I45),Seuils!E161/Seuils!K45,IF('Optimal &lt; 65'!B42=1,Seuils!E161/Seuils!K44,0))))</f>
        <v>0</v>
      </c>
      <c r="H161" s="545">
        <f>H160*$K$6</f>
        <v>766.5</v>
      </c>
      <c r="M161" s="101"/>
      <c r="N161" s="101"/>
      <c r="O161" s="101"/>
      <c r="P161" s="101"/>
      <c r="Q161" s="101"/>
      <c r="R161" s="101"/>
      <c r="S161" s="101"/>
      <c r="T161" s="101"/>
    </row>
    <row r="162" spans="1:20" ht="15" thickBot="1" x14ac:dyDescent="0.35">
      <c r="A162" s="101"/>
      <c r="B162" s="101"/>
      <c r="C162" s="101"/>
      <c r="D162" s="101"/>
      <c r="E162" s="101">
        <f>E161+H161</f>
        <v>1923.45</v>
      </c>
      <c r="F162">
        <f>IF(AND('Optimal &lt; 65'!$B$4=1,'Optimal &lt; 65'!$E$28&lt;Seuils!$B$6),Seuils!E162/(1-Seuils!$C$6),IF(AND('Optimal &lt; 65'!$B$4=1,'Optimal &lt; 65'!$E$28&lt;Seuils!$B$7),Seuils!E162/(1-Seuils!$C$7),IF(AND('Optimal &lt; 65'!$B$4=1,'Optimal &lt; 65'!$E$28&lt;Seuils!$B$8),Seuils!E162/(1-Seuils!$C$8),IF(AND('Optimal &lt; 65'!$B$4=1,'Optimal &lt; 65'!$E$28&gt;Seuils!$A$10),Seuils!E162/(1-Seuils!$C$10),IF('Optimal &lt; 65'!$B$4=1,Seuils!E162/(1-Seuils!$C$9),0)))))</f>
        <v>2262.8823529411766</v>
      </c>
      <c r="G162" s="101"/>
      <c r="H162" s="101"/>
      <c r="I162" s="101"/>
      <c r="J162" s="101"/>
      <c r="K162" s="101"/>
      <c r="L162" s="101"/>
      <c r="M162" s="101"/>
      <c r="N162" s="101"/>
      <c r="O162" s="101"/>
      <c r="P162" s="101"/>
      <c r="Q162" s="101"/>
      <c r="R162" s="101"/>
      <c r="S162" s="101"/>
      <c r="T162" s="101"/>
    </row>
    <row r="163" spans="1:20" ht="15.6" x14ac:dyDescent="0.3">
      <c r="A163" s="513" t="s">
        <v>398</v>
      </c>
      <c r="B163" s="340" t="s">
        <v>40</v>
      </c>
      <c r="C163" s="503" t="s">
        <v>41</v>
      </c>
      <c r="D163" s="509"/>
      <c r="E163" s="101"/>
      <c r="F163" s="101"/>
      <c r="G163" s="101"/>
      <c r="H163" s="101"/>
      <c r="I163" s="513" t="s">
        <v>398</v>
      </c>
      <c r="J163" s="493" t="s">
        <v>40</v>
      </c>
      <c r="K163" s="494" t="s">
        <v>41</v>
      </c>
      <c r="L163" s="495"/>
      <c r="M163" s="101"/>
      <c r="N163" s="101"/>
      <c r="O163" s="101"/>
      <c r="P163" s="101"/>
      <c r="Q163" s="101"/>
      <c r="R163" s="101"/>
      <c r="S163" s="101"/>
      <c r="T163" s="101"/>
    </row>
    <row r="164" spans="1:20" x14ac:dyDescent="0.3">
      <c r="A164" s="510">
        <f>'conj #1 60-65 &amp; # 2 60-65'!C28</f>
        <v>0</v>
      </c>
      <c r="B164" s="334">
        <f>A164-C164</f>
        <v>0</v>
      </c>
      <c r="C164" s="190">
        <f>IF('Optimisation retraite'!$B$4=1,0,IF(A164&gt;=$B$74*2,$B$74,IF(A164&gt;=$B$74+$B$75,A164-$B$74,IF(A164&gt;=$B$75*2,$B$75,IF(A164&gt;=$B$75+$B$76,A164-$B$75,IF(A164&gt;=$B$76*2,$B$76,IF(A164&gt;=$B$76+$B$77,A164-$B$76,IF(A164&gt;$B$77*2,($D$12+$C$15+$C$19+$C$23)/1.03,IF(A164&lt;$B$79*2,A164-$B$17,($D$12+$C$15+$C$19))))))))))</f>
        <v>0</v>
      </c>
      <c r="D164" s="192"/>
      <c r="E164" s="101"/>
      <c r="F164" s="101"/>
      <c r="G164" s="101"/>
      <c r="H164" s="101"/>
      <c r="I164" s="496">
        <f>A164</f>
        <v>0</v>
      </c>
      <c r="J164" s="497">
        <f>I164-K164</f>
        <v>0</v>
      </c>
      <c r="K164" s="497">
        <f>IF(AND('conj #1 60-65 &amp; # 2 60-65'!B4=2,'conj #1 60-65 &amp; # 2 60-65'!H8&lt;65),0,IF('Optimisation retraite'!$B$4=1,0,IF(I164&gt;=$J$72*2,$J$72,IF(I164&gt;=$J$72+$J$73,$J$73,IF(I164&gt;=$J$72+$J$74,I164-$J$72,IF(I164&gt;=$J$74+$J$73,$J$74,IF(I164&gt;=$J$74*2,$J$74,IF(I164&gt;$J$74+$J$76,I164-$J$74,IF(I164-$J$79-$K$79&gt;=$J$75*2,$J$76,IF(I164&gt;$J$76*2,$J$76,IF(AND(I164&gt;$J$74,I164-$J$79-$K$79&lt;$J$75*2),I164-($J$75+J156),IF(I164&gt;=$J$76+$J$77*2,I164-$J$76,IF(I164&gt;=$J$76+$J$77,I164-$J$76,IF(I164&gt;=$J$77*2+K156,$J$77+K165,I164-($J$77+$J$130)))))))))))))))</f>
        <v>0</v>
      </c>
      <c r="L164" s="498"/>
      <c r="M164" s="101"/>
      <c r="N164" s="101"/>
      <c r="O164" s="101"/>
      <c r="P164" s="101"/>
      <c r="Q164" s="101"/>
      <c r="R164" s="101"/>
      <c r="S164" s="101"/>
      <c r="T164" s="101"/>
    </row>
    <row r="165" spans="1:20" x14ac:dyDescent="0.3">
      <c r="A165" s="496" t="s">
        <v>43</v>
      </c>
      <c r="B165" s="511">
        <f>B156</f>
        <v>0</v>
      </c>
      <c r="C165" s="190">
        <f>C156</f>
        <v>0</v>
      </c>
      <c r="D165" s="192"/>
      <c r="E165" s="101"/>
      <c r="F165" s="101"/>
      <c r="G165" s="101"/>
      <c r="H165" s="101"/>
      <c r="I165" s="496" t="s">
        <v>43</v>
      </c>
      <c r="J165" s="499">
        <f>J156</f>
        <v>0</v>
      </c>
      <c r="K165" s="497">
        <f>IF('Optimisation retraite'!B61=1,0,K156)</f>
        <v>0</v>
      </c>
      <c r="L165" s="498"/>
      <c r="M165" s="101"/>
      <c r="N165" s="101"/>
      <c r="O165" s="101"/>
      <c r="P165" s="101"/>
      <c r="Q165" s="101"/>
      <c r="R165" s="101"/>
      <c r="S165" s="101"/>
      <c r="T165" s="101"/>
    </row>
    <row r="166" spans="1:20" ht="15.6" x14ac:dyDescent="0.3">
      <c r="A166" s="360" t="s">
        <v>133</v>
      </c>
      <c r="B166" s="190">
        <f>B157</f>
        <v>0</v>
      </c>
      <c r="C166" s="190"/>
      <c r="D166" s="192"/>
      <c r="E166" s="101"/>
      <c r="F166" s="101"/>
      <c r="G166" s="101"/>
      <c r="H166" s="101"/>
      <c r="I166" s="496"/>
      <c r="J166" s="497">
        <f>B166</f>
        <v>0</v>
      </c>
      <c r="K166" s="497"/>
      <c r="L166" s="498"/>
      <c r="M166" s="101"/>
      <c r="N166" s="101"/>
      <c r="O166" s="101"/>
      <c r="P166" s="101"/>
      <c r="Q166" s="101"/>
      <c r="R166" s="101"/>
      <c r="S166" s="101"/>
      <c r="T166" s="101"/>
    </row>
    <row r="167" spans="1:20" x14ac:dyDescent="0.3">
      <c r="A167" s="505" t="s">
        <v>157</v>
      </c>
      <c r="B167" s="334">
        <f>IF(B164-B166&gt;$A$9,(B164-B166-$A$9)*$C$9+$D$9,IF(B164-B166&gt;$A$8,(B164-B166-$A$8)*$C$8+$D$8,IF(B164-B166&gt;$A$7,(B164-B166-$A$7)*$C$7+$D$7,B164*$C$6)))</f>
        <v>0</v>
      </c>
      <c r="C167" s="334">
        <f>IF('Optimisation retraite'!B61=1,0,IF(C164&gt;$A$8,(C164-$A$8)*$C$8+$D$8,IF(C164&gt;$A$7,(C164-$A$7)*$C$7+$D$7,C164*$C$6)))</f>
        <v>0</v>
      </c>
      <c r="D167" s="335">
        <f>B167+C167</f>
        <v>0</v>
      </c>
      <c r="E167" s="101"/>
      <c r="F167" s="101"/>
      <c r="G167" s="101"/>
      <c r="H167" s="101"/>
      <c r="I167" s="496" t="s">
        <v>157</v>
      </c>
      <c r="J167" s="497">
        <f>IF(J164-J166&gt;$I$9,(J164-J166-$I$9)*$K$9+$L$9,IF(J164-J166&gt;$I$8,(J164-J166-$I$8)*$K$8+$L$8,IF(J164-J166&gt;$I$7,(J164-J166-$I$7)*$K$7+$L$7,J164*$K$6)))</f>
        <v>0</v>
      </c>
      <c r="K167" s="497">
        <f>IF('Optimisation retraite'!B61=1,0,IF(K164&gt;$I$8,(K164-$I$8)*$K$8+$L$8,IF(K164&gt;$I$7,(K164-$I$7)*$K$7+$L$7,K164*$C$6)))</f>
        <v>0</v>
      </c>
      <c r="L167" s="498">
        <f>J167+K167</f>
        <v>0</v>
      </c>
      <c r="M167" s="101"/>
      <c r="N167" s="101"/>
      <c r="O167" s="101"/>
      <c r="P167" s="101"/>
      <c r="Q167" s="101"/>
      <c r="R167" s="101"/>
      <c r="S167" s="101"/>
      <c r="T167" s="101"/>
    </row>
    <row r="168" spans="1:20" x14ac:dyDescent="0.3">
      <c r="A168" s="505"/>
      <c r="B168" s="334"/>
      <c r="C168" s="334"/>
      <c r="D168" s="335"/>
      <c r="E168" s="101"/>
      <c r="F168" s="101"/>
      <c r="G168" s="101"/>
      <c r="H168" s="101"/>
      <c r="I168" s="496"/>
      <c r="J168" s="497"/>
      <c r="K168" s="497"/>
      <c r="L168" s="498"/>
      <c r="M168" s="101"/>
      <c r="N168" s="101"/>
      <c r="O168" s="101"/>
      <c r="P168" s="101"/>
      <c r="Q168" s="101"/>
      <c r="R168" s="101"/>
      <c r="S168" s="101"/>
      <c r="T168" s="101"/>
    </row>
    <row r="169" spans="1:20" ht="15" thickBot="1" x14ac:dyDescent="0.35">
      <c r="A169" s="505" t="s">
        <v>158</v>
      </c>
      <c r="B169" s="334">
        <f>IF('Optimal &lt; 65'!$B$5&lt;65,0,IF(B164&gt;$D$17,0,IF(B164&lt;$D$16,$D$15,$D$15-(B164-$D$16)*15%)))</f>
        <v>0</v>
      </c>
      <c r="C169" s="334">
        <f>IF('Optimal &lt; 65'!$B$5&lt;65,0,IF('Optimal &lt; 65'!$B$4=1,0,IF(C164&gt;$D$17,0,IF(C164&lt;$D$16,$D$15,$D$15-(C164-$D$16)*15%))))</f>
        <v>0</v>
      </c>
      <c r="D169" s="335">
        <f>B169+C169</f>
        <v>0</v>
      </c>
      <c r="E169" s="101">
        <f>D151-D169</f>
        <v>0</v>
      </c>
      <c r="F169" s="101"/>
      <c r="G169" s="101"/>
      <c r="H169" s="101"/>
      <c r="I169" s="500" t="s">
        <v>35</v>
      </c>
      <c r="J169" s="341">
        <f>IF(J164-J165&gt;$I$49,$L$49,IF(J164-J165&gt;$I$48,(J164-J165-$I$48)*$K$48+$L$48,IF(J164-J165&lt;$I$46,0,IF(J164-J165&lt;$I$47,(J164-J165-$I$46)*$K$46,150))))</f>
        <v>0</v>
      </c>
      <c r="K169" s="501">
        <f>IF('Optimisation retraite'!$B$4=1,0,IF(K164-K165&gt;$I$49,$L$49,IF(K164-K165&gt;$I$48,(K164-K165-$I$48)*$K$48+$L$48,IF(K164-K165&lt;=$I$46,0,IF(K164-K165&lt;$I$47,(K164-K165-$I$46)*$K$46,150)))))</f>
        <v>0</v>
      </c>
      <c r="L169" s="508">
        <f>J169+K169</f>
        <v>0</v>
      </c>
      <c r="M169" s="101"/>
      <c r="N169" s="101"/>
      <c r="O169" s="101"/>
      <c r="P169" s="101"/>
      <c r="Q169" s="101"/>
      <c r="R169" s="101"/>
      <c r="S169" s="101"/>
      <c r="T169" s="101"/>
    </row>
    <row r="170" spans="1:20" ht="15" thickBot="1" x14ac:dyDescent="0.35">
      <c r="A170" s="507" t="s">
        <v>159</v>
      </c>
      <c r="B170" s="197"/>
      <c r="C170" s="341">
        <f>IF(AND($J$14=2,$C$23&lt;C164*3%),0,IF(AND($J$14=2,C164*3%&gt;$E$32),$C$32-$E$32,IF(AND($J$14=2,C164&lt;$B$26),$C$23-(B155*3%),IF($J$14=2,$C$23-(C164*3%),IF(AND($J$14=1,('Optimal &lt; 65'!$E$37+'Optimal &lt; 65'!$D$34)*3%&gt;$E$32,$D$32&gt;$E$32),$C$32-$E$32,IF(AND($J$14=1,$D$23&lt;('Optimal &lt; 65'!$E$37+'Optimal &lt; 65'!$D$34)*3%),0,IF(('Optimal &lt; 65'!$E$37+'Optimal &lt; 65'!$D$34)*3%&gt;Seuils!$C$23,0,Seuils!$C$23-('Optimal &lt; 65'!$C$28+'Optimal &lt; 65'!$B$25+'Optimal &lt; 65'!$C$25)*3%)))))))</f>
        <v>1642</v>
      </c>
      <c r="D170" s="512"/>
      <c r="E170">
        <f>E169*$C$6</f>
        <v>0</v>
      </c>
      <c r="F170">
        <f>IF(AND('Optimal &lt; 65'!$B$4=1,'Optimal &lt; 65'!$E$28&lt;Seuils!$B$6),Seuils!E170/(1-Seuils!$C$6),IF(AND('Optimal &lt; 65'!$B$4=1,'Optimal &lt; 65'!$E$28&lt;Seuils!$B$7),Seuils!E170/(1-Seuils!$C$7),IF(AND('Optimal &lt; 65'!$B$4=1,'Optimal &lt; 65'!$E$28&lt;Seuils!$B$8),Seuils!E170/(1-Seuils!$C$8),IF(AND('Optimal &lt; 65'!$B$4=1,'Optimal &lt; 65'!$E$28&gt;Seuils!$A$10),Seuils!E170/(1-Seuils!$C$10),IF('Optimal &lt; 65'!$B$4=1,Seuils!E170/(1-Seuils!$C$9),0)))))</f>
        <v>0</v>
      </c>
      <c r="G170" s="101"/>
      <c r="H170" s="101"/>
      <c r="I170" s="101"/>
      <c r="J170" s="101"/>
      <c r="K170" s="101"/>
      <c r="L170" s="101"/>
      <c r="M170" s="101"/>
      <c r="N170" s="101"/>
      <c r="O170" s="101"/>
      <c r="P170" s="101"/>
      <c r="Q170" s="101"/>
      <c r="R170" s="101"/>
      <c r="S170" s="101"/>
      <c r="T170" s="101"/>
    </row>
    <row r="171" spans="1:20" ht="15" thickBot="1" x14ac:dyDescent="0.35">
      <c r="A171" s="529"/>
      <c r="B171" s="302"/>
      <c r="C171" s="529"/>
      <c r="D171" s="302"/>
      <c r="G171" s="101"/>
      <c r="H171" s="101"/>
      <c r="I171" s="101" t="s">
        <v>45</v>
      </c>
      <c r="J171" s="101" t="s">
        <v>407</v>
      </c>
      <c r="K171" s="101"/>
      <c r="L171" s="101"/>
      <c r="M171" s="101"/>
      <c r="N171" s="101"/>
      <c r="O171" s="101"/>
      <c r="P171" s="101"/>
      <c r="Q171" s="101"/>
      <c r="R171" s="101"/>
      <c r="S171" s="101"/>
      <c r="T171" s="101"/>
    </row>
    <row r="172" spans="1:20" ht="15.6" x14ac:dyDescent="0.3">
      <c r="A172" s="379" t="s">
        <v>399</v>
      </c>
      <c r="B172" s="340" t="s">
        <v>40</v>
      </c>
      <c r="C172" s="503" t="s">
        <v>41</v>
      </c>
      <c r="D172" s="504"/>
      <c r="I172" s="379" t="s">
        <v>399</v>
      </c>
      <c r="J172" s="340" t="s">
        <v>40</v>
      </c>
      <c r="K172" s="503" t="s">
        <v>41</v>
      </c>
      <c r="L172" s="504">
        <f>'Optimisation retraite'!B91+'Optimisation retraite'!C91</f>
        <v>215881.23166471027</v>
      </c>
      <c r="M172" s="101"/>
      <c r="N172" s="101"/>
      <c r="O172" s="101"/>
      <c r="P172" s="101"/>
      <c r="Q172" s="101"/>
      <c r="R172" s="101"/>
      <c r="S172" s="101"/>
      <c r="T172" s="101"/>
    </row>
    <row r="173" spans="1:20" x14ac:dyDescent="0.3">
      <c r="A173" s="505">
        <f>'conj #1 60-65 &amp; # 2 55-60'!E28</f>
        <v>36923.449999999997</v>
      </c>
      <c r="B173" s="334">
        <f>A173-C173</f>
        <v>36923.449999999997</v>
      </c>
      <c r="C173" s="334">
        <f>IF('Optimisation retraite'!$B$4=1,0,IF('Optimal &lt; 65'!$B$15+'Optimal &lt; 65'!$C$15=0,'Optimal &lt; 65'!E$27,IF(A173&gt;=$B$74*2,$B$74,IF(A173&gt;=$B$74+$B$75,A173-$B$74,IF(A173&gt;=$B$75*2,$B$75,IF(A173&gt;=$B$75+$B$76,A173-$B$75,IF(A173&gt;=$B$76*2,$B$76,IF(A173&gt;=$B$76+$B$77,A173-$B$76,IF(A173&gt;$B$77*2,(E76+$D$24+$D$28+$D$32)/1.03,IF(A173&lt;$B$79*2,A173-$B$79,($D$21+$D$24+$D$28)))))))))))</f>
        <v>0</v>
      </c>
      <c r="D173" s="335"/>
      <c r="I173" s="505">
        <f>A173</f>
        <v>36923.449999999997</v>
      </c>
      <c r="J173" s="334">
        <f>I173-K173</f>
        <v>0</v>
      </c>
      <c r="K173" s="334">
        <f>IF(AND(K182&gt;J182,K182-J182&gt;I173-I182),K182,I173-I182+K182)</f>
        <v>36923.449999999997</v>
      </c>
      <c r="L173" s="335">
        <f>I173-'Optimisation retraite'!C90-Seuils!K174-Seuils!J173</f>
        <v>-175995.78323649336</v>
      </c>
      <c r="M173" s="101"/>
      <c r="N173" s="101"/>
      <c r="O173" s="101"/>
      <c r="P173" s="101"/>
      <c r="Q173" s="101"/>
      <c r="R173" s="101"/>
      <c r="S173" s="101"/>
      <c r="T173" s="101"/>
    </row>
    <row r="174" spans="1:20" x14ac:dyDescent="0.3">
      <c r="A174" s="496" t="s">
        <v>43</v>
      </c>
      <c r="B174" s="506">
        <f>'conj #1 60-65 &amp; # 2 55-60'!B9</f>
        <v>0</v>
      </c>
      <c r="C174" s="334">
        <f>'conj #1 60-65 &amp; # 2 55-60'!C9</f>
        <v>0</v>
      </c>
      <c r="D174" s="335"/>
      <c r="I174" s="496" t="s">
        <v>43</v>
      </c>
      <c r="J174" s="506">
        <f>B174</f>
        <v>0</v>
      </c>
      <c r="K174" s="334">
        <f>C174</f>
        <v>0</v>
      </c>
      <c r="L174" s="335"/>
      <c r="M174" s="101"/>
      <c r="N174" s="101"/>
      <c r="O174" s="101"/>
      <c r="P174" s="101"/>
      <c r="Q174" s="101"/>
      <c r="R174" s="101"/>
      <c r="S174" s="101"/>
      <c r="T174" s="101"/>
    </row>
    <row r="175" spans="1:20" ht="15.6" x14ac:dyDescent="0.3">
      <c r="A175" s="360" t="s">
        <v>133</v>
      </c>
      <c r="B175" s="334">
        <v>0</v>
      </c>
      <c r="C175" s="334"/>
      <c r="D175" s="335"/>
      <c r="I175" s="505"/>
      <c r="J175" s="334">
        <f>B175</f>
        <v>0</v>
      </c>
      <c r="K175" s="334"/>
      <c r="L175" s="335"/>
      <c r="M175" s="101"/>
      <c r="N175" s="101"/>
      <c r="O175" s="101"/>
      <c r="P175" s="101"/>
      <c r="Q175" s="101"/>
      <c r="R175" s="101"/>
      <c r="S175" s="101"/>
      <c r="T175" s="101"/>
    </row>
    <row r="176" spans="1:20" x14ac:dyDescent="0.3">
      <c r="A176" s="505" t="s">
        <v>157</v>
      </c>
      <c r="B176" s="334">
        <f>IF(B173-B175&gt;$A$9,(B173-B175-$A$9)*$C$9+$D$9,IF(B173-B175&gt;$A$8,(B173-B175-$A$8)*$C$8+$D$8,IF(B173-B175&gt;$A$7,(B173-B175-$A$7)*$C$7+$D$7,B173*$C$6)))</f>
        <v>5538.517499999999</v>
      </c>
      <c r="C176" s="334">
        <f>IF('Optimisation retraite'!B67=1,0,IF(C173&gt;$A$8,(C173-$A$8)*$C$8+$D$8,IF(C173&gt;$A$7,(C173-$A$7)*$C$7+$D$7,C173*$C$6)))</f>
        <v>0</v>
      </c>
      <c r="D176" s="335">
        <f>B176+C176</f>
        <v>5538.517499999999</v>
      </c>
      <c r="I176" s="496" t="s">
        <v>157</v>
      </c>
      <c r="J176" s="334">
        <f>IF(J173-J175&gt;$I$9,(J173-J175-$I$9)*$K$9+$L$9,IF(J173-J175&gt;$I$8,(J173-J175-$I$8)*$K$8+$L$8,IF(J173-J175&gt;$I$7,(J173-J175-$I$7)*$K$7+$L$7,J173*$K$6)))</f>
        <v>0</v>
      </c>
      <c r="K176" s="334">
        <f>IF('Optimisation retraite'!$B$4=1,0,IF(K173&gt;$I$8,(K173-$I$8)*$K$8+$L$8,IF(K173&gt;$I$7,(K173-$I$7)*$K$7+$L$7,K173*$C$6)))</f>
        <v>0</v>
      </c>
      <c r="L176" s="335">
        <f>J176+K176</f>
        <v>0</v>
      </c>
      <c r="M176" s="101"/>
      <c r="N176" s="101"/>
      <c r="O176" s="101"/>
      <c r="P176" s="101"/>
      <c r="Q176" s="101"/>
      <c r="R176" s="101"/>
      <c r="S176" s="101"/>
      <c r="T176" s="101"/>
    </row>
    <row r="177" spans="1:20" x14ac:dyDescent="0.3">
      <c r="A177" s="505"/>
      <c r="B177" s="334"/>
      <c r="C177" s="334"/>
      <c r="D177" s="335"/>
      <c r="I177" s="505"/>
      <c r="J177" s="334"/>
      <c r="K177" s="334"/>
      <c r="L177" s="335"/>
      <c r="M177" s="101"/>
      <c r="N177" s="101"/>
      <c r="O177" s="101"/>
      <c r="P177" s="101"/>
      <c r="Q177" s="101"/>
      <c r="R177" s="101"/>
      <c r="S177" s="101"/>
      <c r="T177" s="101"/>
    </row>
    <row r="178" spans="1:20" ht="15" thickBot="1" x14ac:dyDescent="0.35">
      <c r="A178" s="505" t="s">
        <v>158</v>
      </c>
      <c r="B178" s="334">
        <f>IF('conj #1 60-65 &amp; # 2 55-60'!B7&lt;65,0,IF(B173&gt;$D$17,0,IF(B173&lt;$D$16,$D$15,$D$15-(B173-$D$16)*15%)))</f>
        <v>0</v>
      </c>
      <c r="C178" s="334">
        <f>IF('conj #1 60-65 &amp; # 2 55-60'!C7&lt;65,0,IF('Optimisation retraite'!B67=1,0,IF(C173&gt;$D$17,0,IF(C173&lt;$D$16,$D$15,$D$15-(C173-$D$16)*15%))))</f>
        <v>0</v>
      </c>
      <c r="D178" s="335">
        <f>B178+C178</f>
        <v>0</v>
      </c>
      <c r="E178">
        <f>D160-D178</f>
        <v>0</v>
      </c>
      <c r="H178">
        <f>L73-M73</f>
        <v>0</v>
      </c>
      <c r="I178" s="507" t="s">
        <v>35</v>
      </c>
      <c r="J178" s="341">
        <f>IF(J173-J174&gt;$I$49,$L$49,IF(J173-J174&gt;$I$48,(J173-J174-$I$48)*$K$48+$L$48,IF(J173-J174&lt;$I$46,0,IF(J173-J174&lt;$I$47,(J173-J174-$I$46)*$K$46,150))))</f>
        <v>0</v>
      </c>
      <c r="K178" s="501">
        <f>IF('Optimisation retraite'!$B$4=1,0,IF(K173-K174&gt;$I$49,$L$49,IF(K173-K174&gt;$I$48,(K173-K174-$I$48)*$K$48+$L$48,IF(K173-K174&lt;=$I$46,0,IF(K173-K174&lt;$I$47,(K173-K174-$I$46)*$K$46,150)))))</f>
        <v>0</v>
      </c>
      <c r="L178" s="508">
        <f>J178+K178</f>
        <v>0</v>
      </c>
      <c r="M178" s="101"/>
      <c r="N178" s="101"/>
      <c r="O178" s="101"/>
      <c r="P178" s="101"/>
      <c r="Q178" s="101"/>
      <c r="R178" s="101"/>
      <c r="S178" s="101"/>
      <c r="T178" s="101"/>
    </row>
    <row r="179" spans="1:20" ht="15" thickBot="1" x14ac:dyDescent="0.35">
      <c r="A179" s="507" t="s">
        <v>159</v>
      </c>
      <c r="B179" s="341"/>
      <c r="C179" s="341">
        <f>IF(AND($J$14=2,$C$23&lt;C173*3%),0,IF(AND($J$14=2,C173*3%&gt;$E$23),$C$23-$E$23,IF(AND($J$14=2,C173&lt;$B$17),$C$23-(B164*3%),IF($J$14=2,$C$23-(C173*3%),IF(AND($J$14=1,('Optimal &lt; 65'!$E$28+'Optimal &lt; 65'!$D$25)*3%&gt;$E$23,$D$23&gt;$E$23),$C$23-$E$23,IF(AND($J$14=1,$D$23&lt;('Optimal &lt; 65'!$E$28+'Optimal &lt; 65'!$D$25)*3%),0,IF(('Optimal &lt; 65'!$E$28+'Optimal &lt; 65'!$D$25)*3%&gt;Seuils!$C$23,0,Seuils!$C$23-('Optimal &lt; 65'!$E$28+'Optimal &lt; 65'!$D$25)*3%)))))))</f>
        <v>451.90480000000025</v>
      </c>
      <c r="D179" s="508"/>
      <c r="E179">
        <f>E178*$C$6</f>
        <v>0</v>
      </c>
      <c r="F179">
        <f>IF(AND('Optimal &lt; 65'!$B$4=1,'Optimal &lt; 65'!$E$28&lt;Seuils!$B$6),Seuils!E179/(1-Seuils!$C$6),IF(AND('Optimal &lt; 65'!$B$4=1,'Optimal &lt; 65'!$E$28&lt;Seuils!$B$7),Seuils!E179/(1-Seuils!$C$7),IF(AND('Optimal &lt; 65'!$B$4=1,'Optimal &lt; 65'!$E$28&lt;Seuils!$B$8),Seuils!E179/(1-Seuils!$C$8),IF(AND('Optimal &lt; 65'!$B$4=1,'Optimal &lt; 65'!$E$28&gt;Seuils!$A$10),Seuils!E179/(1-Seuils!$C$10),IF('Optimal &lt; 65'!$B$4=1,Seuils!E179/(1-Seuils!$C$9),0)))))</f>
        <v>0</v>
      </c>
      <c r="G179" t="e">
        <f>IF(AND('Optimal &lt; 65'!B67=1,'Optimal &lt; 65'!E89&lt;Seuils!J61),Seuils!E179/Seuils!K61,IF(AND('Optimal &lt; 65'!B67=1,'Optimal &lt; 65'!E89&lt;Seuils!#REF!),Seuils!E179/Seuils!#REF!,IF(AND('Optimal &lt; 65'!B67=1,'Optimal &lt; 65'!E89&gt;Seuils!I64),Seuils!E179/Seuils!K64,IF('Optimal &lt; 65'!B67=1,Seuils!E179/Seuils!K63,0))))</f>
        <v>#REF!</v>
      </c>
      <c r="H179">
        <f>H178*K61</f>
        <v>0</v>
      </c>
      <c r="M179" s="101"/>
      <c r="N179" s="101"/>
      <c r="O179" s="101"/>
      <c r="P179" s="101"/>
      <c r="Q179" s="101"/>
      <c r="R179" s="101"/>
      <c r="S179" s="101"/>
      <c r="T179" s="101"/>
    </row>
    <row r="180" spans="1:20" ht="15" thickBot="1" x14ac:dyDescent="0.35">
      <c r="A180" s="101"/>
      <c r="B180" s="101"/>
      <c r="C180" s="101"/>
      <c r="D180" s="101"/>
      <c r="E180" s="101">
        <f>E179+H179</f>
        <v>0</v>
      </c>
      <c r="F180">
        <f>IF(AND('Optimal &lt; 65'!$B$4=1,'Optimal &lt; 65'!$E$28&lt;Seuils!$B$6),Seuils!E180/(1-Seuils!$C$6),IF(AND('Optimal &lt; 65'!$B$4=1,'Optimal &lt; 65'!$E$28&lt;Seuils!$B$7),Seuils!E180/(1-Seuils!$C$7),IF(AND('Optimal &lt; 65'!$B$4=1,'Optimal &lt; 65'!$E$28&lt;Seuils!$B$8),Seuils!E180/(1-Seuils!$C$8),IF(AND('Optimal &lt; 65'!$B$4=1,'Optimal &lt; 65'!$E$28&gt;Seuils!$A$10),Seuils!E180/(1-Seuils!$C$10),IF('Optimal &lt; 65'!$B$4=1,Seuils!E180/(1-Seuils!$C$9),0)))))</f>
        <v>0</v>
      </c>
      <c r="G180" s="101"/>
      <c r="H180" s="101"/>
      <c r="I180" s="101" t="s">
        <v>379</v>
      </c>
      <c r="J180" s="101" t="s">
        <v>407</v>
      </c>
      <c r="K180" s="101"/>
      <c r="L180" s="101"/>
      <c r="M180" s="101"/>
      <c r="N180" s="101"/>
      <c r="O180" s="101"/>
      <c r="P180" s="101"/>
      <c r="Q180" s="101"/>
      <c r="R180" s="101"/>
      <c r="S180" s="101"/>
      <c r="T180" s="101"/>
    </row>
    <row r="181" spans="1:20" ht="15.6" x14ac:dyDescent="0.3">
      <c r="A181" s="379" t="s">
        <v>400</v>
      </c>
      <c r="B181" s="340" t="s">
        <v>40</v>
      </c>
      <c r="C181" s="503" t="s">
        <v>41</v>
      </c>
      <c r="D181" s="509"/>
      <c r="E181" s="101"/>
      <c r="F181" s="101"/>
      <c r="G181" s="101"/>
      <c r="H181" s="101"/>
      <c r="I181" s="379" t="s">
        <v>400</v>
      </c>
      <c r="J181" s="493" t="s">
        <v>40</v>
      </c>
      <c r="K181" s="494" t="s">
        <v>41</v>
      </c>
      <c r="L181" s="495"/>
      <c r="M181" s="101"/>
      <c r="N181" s="101"/>
      <c r="O181" s="101"/>
      <c r="P181" s="101"/>
      <c r="Q181" s="101"/>
      <c r="R181" s="101"/>
      <c r="S181" s="101"/>
      <c r="T181" s="101"/>
    </row>
    <row r="182" spans="1:20" x14ac:dyDescent="0.3">
      <c r="A182" s="510">
        <f>'conj #1 60-65 &amp; # 2 55-60'!C28</f>
        <v>0</v>
      </c>
      <c r="B182" s="334">
        <f>A182-C182</f>
        <v>0</v>
      </c>
      <c r="C182" s="190">
        <f>IF('Optimisation retraite'!$B$4=1,0,IF(A182&gt;=$B$74*2,$B$74,IF(A182&gt;=$B$74+$B$75,A182-$B$74,IF(A182&gt;=$B$75*2,$B$75,IF(A182&gt;=$B$75+$B$76,A182-$B$75,IF(A182&gt;=$B$76*2,$B$76,IF(A182&gt;=$B$76+$B$77,A182-$B$76,IF(A182&gt;$B$77*2,($D$12+$C$15+$C$19+$C$23)/1.03,IF(A182&lt;$B$79*2,A182-$B$17,($D$12+$C$15+$C$19))))))))))</f>
        <v>0</v>
      </c>
      <c r="D182" s="192"/>
      <c r="E182" s="101"/>
      <c r="F182" s="101"/>
      <c r="G182" s="101"/>
      <c r="H182" s="101"/>
      <c r="I182" s="496">
        <f>A182</f>
        <v>0</v>
      </c>
      <c r="J182" s="497">
        <f>I182-K182</f>
        <v>0</v>
      </c>
      <c r="K182" s="497">
        <f>IF('Optimisation retraite'!$B$4=1,0,IF(AND('conj #1 60-65 &amp; # 2 55-60'!B4=2,'conj #1 60-65 &amp; # 2 55-60'!I10&lt;65),'conj #1 60-65 &amp; # 2 55-60'!C27,IF(I182&gt;=$J$72*2,$J$72,IF(I182&gt;=$J$72+$J$73,$J$73,IF(I182&gt;=$J$72+$J$74,I182-$J$72,IF(I182&gt;=$J$74+$J$73,$J$74,IF(I182&gt;=$J$74*2,$J$74,IF(I182&gt;$J$74+$J$76,I182-$J$74,IF(I182-$J$79-$K$79&gt;=$J$75*2,$J$76,IF(I182&gt;$J$76*2,$J$76,IF(AND(I182&gt;$J$74,I182-$J$79-$K$79&lt;$J$75*2),I182-($J$75+J174),IF(I182&gt;=$J$76+$J$77*2,I182-$J$76,IF(I182&gt;=$J$76+$J$77,I182-$J$76,IF(I182&gt;=$J$77*2+K174,$J$77+K183,I182-($J$77+$J$130)))))))))))))))</f>
        <v>0</v>
      </c>
      <c r="L182" s="498"/>
      <c r="M182" s="101"/>
      <c r="N182" s="101"/>
      <c r="O182" s="101"/>
      <c r="P182" s="101"/>
      <c r="Q182" s="101"/>
      <c r="R182" s="101"/>
      <c r="S182" s="101"/>
      <c r="T182" s="101"/>
    </row>
    <row r="183" spans="1:20" x14ac:dyDescent="0.3">
      <c r="A183" s="496" t="s">
        <v>43</v>
      </c>
      <c r="B183" s="511">
        <f>B174</f>
        <v>0</v>
      </c>
      <c r="C183" s="190">
        <f>C174</f>
        <v>0</v>
      </c>
      <c r="D183" s="192"/>
      <c r="E183" s="101"/>
      <c r="F183" s="101"/>
      <c r="G183" s="101"/>
      <c r="H183" s="101"/>
      <c r="I183" s="496" t="s">
        <v>43</v>
      </c>
      <c r="J183" s="499">
        <f>J174</f>
        <v>0</v>
      </c>
      <c r="K183" s="497">
        <f>IF('Optimisation retraite'!B79=1,0,K174)</f>
        <v>0</v>
      </c>
      <c r="L183" s="498"/>
      <c r="M183" s="101"/>
      <c r="N183" s="101"/>
      <c r="O183" s="101"/>
      <c r="P183" s="101"/>
      <c r="Q183" s="101"/>
      <c r="R183" s="101"/>
      <c r="S183" s="101"/>
      <c r="T183" s="101"/>
    </row>
    <row r="184" spans="1:20" ht="15.6" x14ac:dyDescent="0.3">
      <c r="A184" s="360" t="s">
        <v>133</v>
      </c>
      <c r="B184" s="190">
        <f>B175</f>
        <v>0</v>
      </c>
      <c r="C184" s="190"/>
      <c r="D184" s="192"/>
      <c r="E184" s="101"/>
      <c r="F184" s="101"/>
      <c r="G184" s="101"/>
      <c r="H184" s="101"/>
      <c r="I184" s="496"/>
      <c r="J184" s="497">
        <f>B184</f>
        <v>0</v>
      </c>
      <c r="K184" s="497"/>
      <c r="L184" s="498"/>
      <c r="M184" s="101"/>
      <c r="N184" s="101"/>
      <c r="O184" s="101"/>
      <c r="P184" s="101"/>
      <c r="Q184" s="101"/>
      <c r="R184" s="101"/>
      <c r="S184" s="101"/>
      <c r="T184" s="101"/>
    </row>
    <row r="185" spans="1:20" x14ac:dyDescent="0.3">
      <c r="A185" s="505" t="s">
        <v>157</v>
      </c>
      <c r="B185" s="334">
        <f>IF(B182-B184&gt;$A$9,(B182-B184-$A$9)*$C$9+$D$9,IF(B182-B184&gt;$A$8,(B182-B184-$A$8)*$C$8+$D$8,IF(B182-B184&gt;$A$7,(B182-B184-$A$7)*$C$7+$D$7,B182*$C$6)))</f>
        <v>0</v>
      </c>
      <c r="C185" s="334">
        <f>IF('Optimisation retraite'!B79=1,0,IF(C182&gt;$A$8,(C182-$A$8)*$C$8+$D$8,IF(C182&gt;$A$7,(C182-$A$7)*$C$7+$D$7,C182*$C$6)))</f>
        <v>0</v>
      </c>
      <c r="D185" s="335">
        <f>B185+C185</f>
        <v>0</v>
      </c>
      <c r="E185" s="101"/>
      <c r="F185" s="101"/>
      <c r="G185" s="101"/>
      <c r="H185" s="101"/>
      <c r="I185" s="496" t="s">
        <v>157</v>
      </c>
      <c r="J185" s="497">
        <f>IF(J182-J184&gt;$I$9,(J182-J184-$I$9)*$K$9+$L$9,IF(J182-J184&gt;$I$8,(J182-J184-$I$8)*$K$8+$L$8,IF(J182-J184&gt;$I$7,(J182-J184-$I$7)*$K$7+$L$7,J182*$K$6)))</f>
        <v>0</v>
      </c>
      <c r="K185" s="497">
        <f>IF('Optimisation retraite'!B79=1,0,IF(K182&gt;$I$8,(K182-$I$8)*$K$8+$L$8,IF(K182&gt;$I$7,(K182-$I$7)*$K$7+$L$7,K182*$C$6)))</f>
        <v>0</v>
      </c>
      <c r="L185" s="498">
        <f>J185+K185</f>
        <v>0</v>
      </c>
      <c r="M185" s="101"/>
      <c r="N185" s="101"/>
      <c r="O185" s="101"/>
      <c r="P185" s="101"/>
      <c r="Q185" s="101"/>
      <c r="R185" s="101"/>
      <c r="S185" s="101"/>
      <c r="T185" s="101"/>
    </row>
    <row r="186" spans="1:20" x14ac:dyDescent="0.3">
      <c r="A186" s="505"/>
      <c r="B186" s="334"/>
      <c r="C186" s="334"/>
      <c r="D186" s="335"/>
      <c r="E186" s="101"/>
      <c r="F186" s="101"/>
      <c r="G186" s="101"/>
      <c r="H186" s="101"/>
      <c r="I186" s="496"/>
      <c r="J186" s="497"/>
      <c r="K186" s="497"/>
      <c r="L186" s="498"/>
      <c r="M186" s="101"/>
      <c r="N186" s="101"/>
      <c r="O186" s="101"/>
      <c r="P186" s="101"/>
      <c r="Q186" s="101"/>
      <c r="R186" s="101"/>
      <c r="S186" s="101"/>
      <c r="T186" s="101"/>
    </row>
    <row r="187" spans="1:20" ht="15" thickBot="1" x14ac:dyDescent="0.35">
      <c r="A187" s="505" t="s">
        <v>158</v>
      </c>
      <c r="B187" s="334">
        <f>IF('conj #1 60-65 &amp; # 2 55-60'!B7,0,IF(B182&gt;$D$17,0,IF(B182&lt;$D$16,$D$15,$D$15-(B182-$D$16)*15%)))</f>
        <v>0</v>
      </c>
      <c r="C187" s="334">
        <f>IF('conj #1 60-65 &amp; # 2 55-60'!C7&lt;65,0,IF('Optimal &lt; 65'!$B$4=1,0,IF(C182&gt;$D$17,0,IF(C182&lt;$D$16,$D$15,$D$15-(C182-$D$16)*15%))))</f>
        <v>0</v>
      </c>
      <c r="D187" s="335">
        <f>B187+C187</f>
        <v>0</v>
      </c>
      <c r="E187" s="101">
        <f>D169-D187</f>
        <v>0</v>
      </c>
      <c r="F187" s="101"/>
      <c r="G187" s="101"/>
      <c r="H187" s="101"/>
      <c r="I187" s="500" t="s">
        <v>35</v>
      </c>
      <c r="J187" s="341">
        <f>IF(J182-J183&gt;$I$49,$L$49,IF(J182-J183&gt;$I$48,(J182-J183-$I$48)*$K$48+$L$48,IF(J182-J183&lt;$I$46,0,IF(J182-J183&lt;$I$47,(J182-J183-$I$46)*$K$46,150))))</f>
        <v>0</v>
      </c>
      <c r="K187" s="501">
        <f>IF('Optimisation retraite'!$B$4=1,0,IF(K182-K183&gt;$I$49,$L$49,IF(K182-K183&gt;$I$48,(K182-K183-$I$48)*$K$48+$L$48,IF(K182-K183&lt;=$I$46,0,IF(K182-K183&lt;$I$47,(K182-K183-$I$46)*$K$46,150)))))</f>
        <v>0</v>
      </c>
      <c r="L187" s="508">
        <f>J187+K187</f>
        <v>0</v>
      </c>
      <c r="M187" s="101"/>
      <c r="N187" s="101"/>
      <c r="O187" s="101"/>
      <c r="P187" s="101"/>
      <c r="Q187" s="101"/>
      <c r="R187" s="101"/>
      <c r="S187" s="101"/>
      <c r="T187" s="101"/>
    </row>
    <row r="188" spans="1:20" ht="15" thickBot="1" x14ac:dyDescent="0.35">
      <c r="A188" s="507" t="s">
        <v>159</v>
      </c>
      <c r="B188" s="197"/>
      <c r="C188" s="341">
        <f>IF(AND($J$14=2,$C$23&lt;C182*3%),0,IF(AND($J$14=2,C182*3%&gt;$E$32),$C$32-$E$32,IF(AND($J$14=2,C182&lt;$B$26),$C$23-(B173*3%),IF($J$14=2,$C$23-(C182*3%),IF(AND($J$14=1,('Optimal &lt; 65'!$E$37+'Optimal &lt; 65'!$D$34)*3%&gt;$E$32,$D$32&gt;$E$32),$C$32-$E$32,IF(AND($J$14=1,$D$23&lt;('Optimal &lt; 65'!$E$37+'Optimal &lt; 65'!$D$34)*3%),0,IF(('Optimal &lt; 65'!$E$37+'Optimal &lt; 65'!$D$34)*3%&gt;Seuils!$C$23,0,Seuils!$C$23-('Optimal &lt; 65'!$C$28+'Optimal &lt; 65'!$B$25+'Optimal &lt; 65'!$C$25)*3%)))))))</f>
        <v>1642</v>
      </c>
      <c r="D188" s="512"/>
      <c r="E188">
        <f>E187*$C$6</f>
        <v>0</v>
      </c>
      <c r="F188">
        <f>IF(AND('Optimal &lt; 65'!$B$4=1,'Optimal &lt; 65'!$E$28&lt;Seuils!$B$6),Seuils!E188/(1-Seuils!$C$6),IF(AND('Optimal &lt; 65'!$B$4=1,'Optimal &lt; 65'!$E$28&lt;Seuils!$B$7),Seuils!E188/(1-Seuils!$C$7),IF(AND('Optimal &lt; 65'!$B$4=1,'Optimal &lt; 65'!$E$28&lt;Seuils!$B$8),Seuils!E188/(1-Seuils!$C$8),IF(AND('Optimal &lt; 65'!$B$4=1,'Optimal &lt; 65'!$E$28&gt;Seuils!$A$10),Seuils!E188/(1-Seuils!$C$10),IF('Optimal &lt; 65'!$B$4=1,Seuils!E188/(1-Seuils!$C$9),0)))))</f>
        <v>0</v>
      </c>
      <c r="G188" s="101"/>
      <c r="H188" s="101"/>
      <c r="I188" s="101"/>
      <c r="J188" s="101"/>
      <c r="K188" s="101"/>
      <c r="L188" s="101"/>
      <c r="M188" s="101"/>
      <c r="N188" s="101"/>
      <c r="O188" s="101"/>
      <c r="P188" s="101"/>
      <c r="Q188" s="101"/>
      <c r="R188" s="101"/>
      <c r="S188" s="101"/>
      <c r="T188" s="101"/>
    </row>
    <row r="189" spans="1:20" ht="15" thickBot="1" x14ac:dyDescent="0.35">
      <c r="A189" s="529"/>
      <c r="B189" s="302"/>
      <c r="C189" s="529"/>
      <c r="D189" s="302"/>
      <c r="G189" s="101"/>
      <c r="H189" s="101"/>
      <c r="I189" s="101"/>
      <c r="J189" s="101"/>
      <c r="K189" s="101"/>
      <c r="L189" s="101"/>
      <c r="M189" s="101"/>
      <c r="N189" s="101"/>
      <c r="O189" s="101"/>
      <c r="P189" s="101"/>
      <c r="Q189" s="101"/>
      <c r="R189" s="101"/>
      <c r="S189" s="101"/>
      <c r="T189" s="101"/>
    </row>
    <row r="190" spans="1:20" ht="15.6" x14ac:dyDescent="0.3">
      <c r="A190" s="379" t="s">
        <v>401</v>
      </c>
      <c r="B190" s="340" t="s">
        <v>40</v>
      </c>
      <c r="C190" s="503" t="s">
        <v>41</v>
      </c>
      <c r="D190" s="504"/>
      <c r="I190" s="379" t="s">
        <v>401</v>
      </c>
      <c r="J190" s="340" t="s">
        <v>40</v>
      </c>
      <c r="K190" s="503" t="s">
        <v>41</v>
      </c>
      <c r="L190" s="504">
        <f>'Optimisation retraite'!B109+'Optimisation retraite'!C109</f>
        <v>71606.601565691453</v>
      </c>
      <c r="M190" s="101"/>
      <c r="N190" s="101"/>
      <c r="O190" s="101"/>
      <c r="P190" s="101"/>
      <c r="Q190" s="101"/>
      <c r="R190" s="101"/>
      <c r="S190" s="101"/>
      <c r="T190" s="101"/>
    </row>
    <row r="191" spans="1:20" x14ac:dyDescent="0.3">
      <c r="A191" s="505">
        <f>'Optimal &lt; 65'!$E$28</f>
        <v>39669.839999999997</v>
      </c>
      <c r="B191" s="334">
        <f>A191-C191</f>
        <v>39669.839999999997</v>
      </c>
      <c r="C191" s="334">
        <f>IF('Optimisation retraite'!$B$4=1,0,IF('Optimal &lt; 65'!$B$15+'Optimal &lt; 65'!$C$15=0,'Optimal &lt; 65'!E$27,IF(A191&gt;=$B$74*2,$B$74,IF(A191&gt;=$B$74+$B$75,A191-$B$74,IF(A191&gt;=$B$75*2,$B$75,IF(A191&gt;=$B$75+$B$76,A191-$B$75,IF(A191&gt;=$B$76*2,$B$76,IF(A191&gt;=$B$76+$B$77,A191-$B$76,IF(A191&gt;$B$77*2,(D94+$D$24+$D$28+$D$32)/1.03,IF(A191&lt;$B$79*2,A191-$B$79,($D$21+$D$24+$D$28)))))))))))</f>
        <v>0</v>
      </c>
      <c r="D191" s="335"/>
      <c r="I191" s="505">
        <f>A191</f>
        <v>39669.839999999997</v>
      </c>
      <c r="J191" s="334">
        <f>I191-K191</f>
        <v>39669.839999999997</v>
      </c>
      <c r="K191" s="334">
        <f>'Optimal &lt; 65'!$E$27</f>
        <v>0</v>
      </c>
      <c r="L191" s="335">
        <f>I191-'Optimisation retraite'!C108-Seuils!K192-Seuils!J191</f>
        <v>-70719.536608081762</v>
      </c>
      <c r="M191" s="101"/>
      <c r="N191" s="101"/>
      <c r="O191" s="101"/>
      <c r="P191" s="101"/>
      <c r="Q191" s="101"/>
      <c r="R191" s="101"/>
      <c r="S191" s="101"/>
      <c r="T191" s="101"/>
    </row>
    <row r="192" spans="1:20" x14ac:dyDescent="0.3">
      <c r="A192" s="496" t="s">
        <v>43</v>
      </c>
      <c r="B192" s="506">
        <f>'Optimal &lt; 65'!$B$9</f>
        <v>0</v>
      </c>
      <c r="C192" s="334">
        <f>'Optimal &lt; 65'!$C$9</f>
        <v>0</v>
      </c>
      <c r="D192" s="335"/>
      <c r="I192" s="496" t="s">
        <v>43</v>
      </c>
      <c r="J192" s="506">
        <f>B192</f>
        <v>0</v>
      </c>
      <c r="K192" s="334">
        <f>C192</f>
        <v>0</v>
      </c>
      <c r="L192" s="335"/>
      <c r="M192" s="101"/>
      <c r="N192" s="101"/>
      <c r="O192" s="101"/>
      <c r="P192" s="101"/>
      <c r="Q192" s="101"/>
      <c r="R192" s="101"/>
      <c r="S192" s="101"/>
      <c r="T192" s="101"/>
    </row>
    <row r="193" spans="1:20" ht="15.6" x14ac:dyDescent="0.3">
      <c r="A193" s="360" t="s">
        <v>133</v>
      </c>
      <c r="B193" s="334">
        <v>0</v>
      </c>
      <c r="C193" s="334"/>
      <c r="D193" s="335"/>
      <c r="I193" s="505"/>
      <c r="J193" s="334">
        <f>B193</f>
        <v>0</v>
      </c>
      <c r="K193" s="334"/>
      <c r="L193" s="335"/>
      <c r="M193" s="101"/>
      <c r="N193" s="101"/>
      <c r="O193" s="101"/>
      <c r="P193" s="101"/>
      <c r="Q193" s="101"/>
      <c r="R193" s="101"/>
      <c r="S193" s="101"/>
      <c r="T193" s="101"/>
    </row>
    <row r="194" spans="1:20" x14ac:dyDescent="0.3">
      <c r="A194" s="505" t="s">
        <v>157</v>
      </c>
      <c r="B194" s="334">
        <f>IF(B191-B193&gt;$A$9,(B191-B193-$A$9)*$C$9+$D$9,IF(B191-B193&gt;$A$8,(B191-B193-$A$8)*$C$8+$D$8,IF(B191-B193&gt;$A$7,(B191-B193-$A$7)*$C$7+$D$7,B191*$C$6)))</f>
        <v>5950.4759999999997</v>
      </c>
      <c r="C194" s="334">
        <f>IF('Optimisation retraite'!B85=1,0,IF(C191&gt;$A$8,(C191-$A$8)*$C$8+$D$8,IF(C191&gt;$A$7,(C191-$A$7)*$C$7+$D$7,C191*$C$6)))</f>
        <v>0</v>
      </c>
      <c r="D194" s="335">
        <f>B194+C194</f>
        <v>5950.4759999999997</v>
      </c>
      <c r="I194" s="496" t="s">
        <v>157</v>
      </c>
      <c r="J194" s="334">
        <f>IF(J191-J193&gt;$I$9,(J191-J193-$I$9)*$K$9+$L$9,IF(J191-J193&gt;$I$8,(J191-J193-$I$8)*$K$8+$L$8,IF(J191-J193&gt;$I$7,(J191-J193-$I$7)*$K$7+$L$7,J191*$K$6)))</f>
        <v>5950.4759999999997</v>
      </c>
      <c r="K194" s="334">
        <f>IF('Optimisation retraite'!$B$4=1,0,IF(K191&gt;$I$8,(K191-$I$8)*$K$8+$L$8,IF(K191&gt;$I$7,(K191-$I$7)*$K$7+$L$7,K191*$C$6)))</f>
        <v>0</v>
      </c>
      <c r="L194" s="335">
        <f>J194+K194</f>
        <v>5950.4759999999997</v>
      </c>
      <c r="M194" s="101"/>
      <c r="N194" s="101"/>
      <c r="O194" s="101"/>
      <c r="P194" s="101"/>
      <c r="Q194" s="101"/>
      <c r="R194" s="101"/>
      <c r="S194" s="101"/>
      <c r="T194" s="101"/>
    </row>
    <row r="195" spans="1:20" x14ac:dyDescent="0.3">
      <c r="A195" s="505"/>
      <c r="B195" s="334"/>
      <c r="C195" s="334"/>
      <c r="D195" s="335"/>
      <c r="I195" s="505"/>
      <c r="J195" s="334"/>
      <c r="K195" s="334"/>
      <c r="L195" s="335"/>
      <c r="M195" s="101"/>
      <c r="N195" s="101"/>
      <c r="O195" s="101"/>
      <c r="P195" s="101"/>
      <c r="Q195" s="101"/>
      <c r="R195" s="101"/>
      <c r="S195" s="101"/>
      <c r="T195" s="101"/>
    </row>
    <row r="196" spans="1:20" ht="15" thickBot="1" x14ac:dyDescent="0.35">
      <c r="A196" s="505" t="s">
        <v>158</v>
      </c>
      <c r="B196" s="334"/>
      <c r="C196" s="334">
        <f>IF('Optimal &lt; 65'!C86&lt;65,0,IF('Optimisation retraite'!B85=1,0,IF(C191&gt;$D$17,0,IF(C191&lt;$D$16,$D$15,$D$15-(C191-$D$16)*15%))))</f>
        <v>0</v>
      </c>
      <c r="D196" s="335">
        <f>B196+C196</f>
        <v>0</v>
      </c>
      <c r="E196">
        <f>D178-D196</f>
        <v>0</v>
      </c>
      <c r="H196">
        <f>L91-M91</f>
        <v>0</v>
      </c>
      <c r="I196" s="507" t="s">
        <v>35</v>
      </c>
      <c r="J196" s="341">
        <f>IF(J191-J192&gt;$I$49,$L$49,IF(J191-J192&gt;$I$48,(J191-J192-$I$48)*$K$48+$L$48,IF(J191-J192&lt;$I$46,0,IF(J191-J192&lt;$I$47,(J191-J192-$I$46)*$K$46,150))))</f>
        <v>150</v>
      </c>
      <c r="K196" s="501">
        <f>IF('Optimisation retraite'!$B$4=1,0,IF(K191-K192&gt;$I$49,$L$49,IF(K191-K192&gt;$I$48,(K191-K192-$I$48)*$K$48+$L$48,IF(K191-K192&lt;=$I$46,0,IF(K191-K192&lt;$I$47,(K191-K192-$I$46)*$K$46,150)))))</f>
        <v>0</v>
      </c>
      <c r="L196" s="508">
        <f>J196+K196</f>
        <v>150</v>
      </c>
      <c r="M196" s="101"/>
      <c r="N196" s="101"/>
      <c r="O196" s="101"/>
      <c r="P196" s="101"/>
      <c r="Q196" s="101"/>
      <c r="R196" s="101"/>
      <c r="S196" s="101"/>
      <c r="T196" s="101"/>
    </row>
    <row r="197" spans="1:20" ht="15" thickBot="1" x14ac:dyDescent="0.35">
      <c r="A197" s="507" t="s">
        <v>159</v>
      </c>
      <c r="B197" s="341"/>
      <c r="C197" s="341">
        <f>IF(AND($J$14=2,$C$23&lt;C191*3%),0,IF(AND($J$14=2,C191*3%&gt;$E$23),$C$23-$E$23,IF(AND($J$14=2,C191&lt;$B$17),$C$23-(B182*3%),IF($J$14=2,$C$23-(C191*3%),IF(AND($J$14=1,('Optimal &lt; 65'!$E$28+'Optimal &lt; 65'!$D$25)*3%&gt;$E$23,$D$23&gt;$E$23),$C$23-$E$23,IF(AND($J$14=1,$D$23&lt;('Optimal &lt; 65'!$E$28+'Optimal &lt; 65'!$D$25)*3%),0,IF(('Optimal &lt; 65'!$E$28+'Optimal &lt; 65'!$D$25)*3%&gt;Seuils!$C$23,0,Seuils!$C$23-('Optimal &lt; 65'!$E$28+'Optimal &lt; 65'!$D$25)*3%)))))))</f>
        <v>451.90480000000025</v>
      </c>
      <c r="D197" s="508"/>
      <c r="E197">
        <f>E196*$C$6</f>
        <v>0</v>
      </c>
      <c r="F197">
        <f>IF(AND('Optimal &lt; 65'!$B$4=1,'Optimal &lt; 65'!$E$28&lt;Seuils!$B$6),Seuils!E197/(1-Seuils!$C$6),IF(AND('Optimal &lt; 65'!$B$4=1,'Optimal &lt; 65'!$E$28&lt;Seuils!$B$7),Seuils!E197/(1-Seuils!$C$7),IF(AND('Optimal &lt; 65'!$B$4=1,'Optimal &lt; 65'!$E$28&lt;Seuils!$B$8),Seuils!E197/(1-Seuils!$C$8),IF(AND('Optimal &lt; 65'!$B$4=1,'Optimal &lt; 65'!$E$28&gt;Seuils!$A$10),Seuils!E197/(1-Seuils!$C$10),IF('Optimal &lt; 65'!$B$4=1,Seuils!E197/(1-Seuils!$C$9),0)))))</f>
        <v>0</v>
      </c>
      <c r="G197">
        <f>IF(AND('Optimal &lt; 65'!B85=1,'Optimal &lt; 65'!E107&lt;Seuils!J79),Seuils!E197/Seuils!K79,IF(AND('Optimal &lt; 65'!B85=1,'Optimal &lt; 65'!E107&lt;Seuils!J80),Seuils!E197/Seuils!K80,IF(AND('Optimal &lt; 65'!B85=1,'Optimal &lt; 65'!E107&gt;Seuils!I82),Seuils!E197/Seuils!K82,IF('Optimal &lt; 65'!B85=1,Seuils!E197/Seuils!K81,0))))</f>
        <v>0</v>
      </c>
      <c r="H197">
        <f>H196*K79</f>
        <v>0</v>
      </c>
      <c r="M197" s="101"/>
      <c r="N197" s="101"/>
      <c r="O197" s="101"/>
      <c r="P197" s="101"/>
      <c r="Q197" s="101"/>
      <c r="R197" s="101"/>
      <c r="S197" s="101"/>
      <c r="T197" s="101"/>
    </row>
    <row r="198" spans="1:20" ht="15" thickBot="1" x14ac:dyDescent="0.35">
      <c r="A198" s="101"/>
      <c r="B198" s="101"/>
      <c r="C198" s="101"/>
      <c r="D198" s="101"/>
      <c r="E198" s="101">
        <f>E197+H197</f>
        <v>0</v>
      </c>
      <c r="F198">
        <f>IF(AND('Optimal &lt; 65'!$B$4=1,'Optimal &lt; 65'!$E$28&lt;Seuils!$B$6),Seuils!E198/(1-Seuils!$C$6),IF(AND('Optimal &lt; 65'!$B$4=1,'Optimal &lt; 65'!$E$28&lt;Seuils!$B$7),Seuils!E198/(1-Seuils!$C$7),IF(AND('Optimal &lt; 65'!$B$4=1,'Optimal &lt; 65'!$E$28&lt;Seuils!$B$8),Seuils!E198/(1-Seuils!$C$8),IF(AND('Optimal &lt; 65'!$B$4=1,'Optimal &lt; 65'!$E$28&gt;Seuils!$A$10),Seuils!E198/(1-Seuils!$C$10),IF('Optimal &lt; 65'!$B$4=1,Seuils!E198/(1-Seuils!$C$9),0)))))</f>
        <v>0</v>
      </c>
      <c r="G198" s="101"/>
      <c r="H198" s="101"/>
      <c r="I198" s="101"/>
      <c r="J198" s="101"/>
      <c r="K198" s="101"/>
      <c r="L198" s="101"/>
      <c r="M198" s="101"/>
      <c r="N198" s="101"/>
      <c r="O198" s="101"/>
      <c r="P198" s="101"/>
      <c r="Q198" s="101"/>
      <c r="R198" s="101"/>
      <c r="S198" s="101"/>
      <c r="T198" s="101"/>
    </row>
    <row r="199" spans="1:20" ht="15.6" x14ac:dyDescent="0.3">
      <c r="A199" s="379" t="s">
        <v>402</v>
      </c>
      <c r="B199" s="340" t="s">
        <v>40</v>
      </c>
      <c r="C199" s="503" t="s">
        <v>41</v>
      </c>
      <c r="D199" s="509"/>
      <c r="E199" s="101"/>
      <c r="F199" s="101"/>
      <c r="G199" s="101"/>
      <c r="H199" s="101"/>
      <c r="I199" s="379" t="s">
        <v>402</v>
      </c>
      <c r="J199" s="493" t="s">
        <v>40</v>
      </c>
      <c r="K199" s="494" t="s">
        <v>41</v>
      </c>
      <c r="L199" s="495"/>
      <c r="M199" s="101"/>
      <c r="N199" s="101"/>
      <c r="O199" s="101"/>
      <c r="P199" s="101"/>
      <c r="Q199" s="101"/>
      <c r="R199" s="101"/>
      <c r="S199" s="101"/>
      <c r="T199" s="101"/>
    </row>
    <row r="200" spans="1:20" x14ac:dyDescent="0.3">
      <c r="A200" s="510">
        <f>'Optimal &lt; 65'!$C$28</f>
        <v>0</v>
      </c>
      <c r="B200" s="334">
        <f>A200-C200</f>
        <v>0</v>
      </c>
      <c r="C200" s="190">
        <f>IF('Optimisation retraite'!$B$4=1,0,IF(A200&gt;=$B$74*2,$B$74,IF(A200&gt;=$B$74+$B$75,A200-$B$74,IF(A200&gt;=$B$75*2,$B$75,IF(A200&gt;=$B$75+$B$76,A200-$B$75,IF(A200&gt;=$B$76*2,$B$76,IF(A200&gt;=$B$76+$B$77,A200-$B$76,IF(A200&gt;$B$77*2,($D$12+$C$15+$C$19+$C$23)/1.03,IF(A200&lt;$B$79*2,A200-$B$17,($D$12+$C$15+$C$19))))))))))</f>
        <v>0</v>
      </c>
      <c r="D200" s="192"/>
      <c r="E200" s="101"/>
      <c r="F200" s="101"/>
      <c r="G200" s="101"/>
      <c r="H200" s="101"/>
      <c r="I200" s="496">
        <f>A200</f>
        <v>0</v>
      </c>
      <c r="J200" s="497">
        <f>I200-K200</f>
        <v>0</v>
      </c>
      <c r="K200" s="497">
        <f>IF('Optimisation retraite'!$B$4=1,0,IF(I200&gt;=$J$72*2,$J$72,IF(I200&gt;=$J$72+$J$73,$J$73,IF(I200&gt;=$J$72+$J$74,I200-$J$72,IF(I200&gt;=$J$74+$J$73,$J$74,IF(I200&gt;=$J$74*2,$J$74,IF(I200&gt;$J$74+$J$76,I200-$J$74,IF(I200-$J$79-$K$79&gt;=$J$75*2,$J$76,IF(I200&gt;$J$76*2,$J$76,IF(AND(I200&gt;$J$74,I200-$J$79-$K$79&lt;$J$75*2),I200-($J$75+J192),IF(I200&gt;=$J$76+$J$77*2,I200-$J$76,IF(I200&gt;=$J$76+$J$77,I200-$J$76,IF(I200&gt;=$J$77*2+K192,$J$77+K201,I200-($J$77+$J$130))))))))))))))</f>
        <v>0</v>
      </c>
      <c r="L200" s="498"/>
      <c r="M200" s="101"/>
      <c r="N200" s="101"/>
      <c r="O200" s="101"/>
      <c r="P200" s="101"/>
      <c r="Q200" s="101"/>
      <c r="R200" s="101"/>
      <c r="S200" s="101"/>
      <c r="T200" s="101"/>
    </row>
    <row r="201" spans="1:20" x14ac:dyDescent="0.3">
      <c r="A201" s="496" t="s">
        <v>43</v>
      </c>
      <c r="B201" s="511">
        <f>B192</f>
        <v>0</v>
      </c>
      <c r="C201" s="190">
        <f>C192</f>
        <v>0</v>
      </c>
      <c r="D201" s="192"/>
      <c r="E201" s="101"/>
      <c r="F201" s="101"/>
      <c r="G201" s="101"/>
      <c r="H201" s="101"/>
      <c r="I201" s="496" t="s">
        <v>43</v>
      </c>
      <c r="J201" s="499">
        <f>J192</f>
        <v>0</v>
      </c>
      <c r="K201" s="497">
        <f>IF('Optimisation retraite'!B97=1,0,K192)</f>
        <v>0</v>
      </c>
      <c r="L201" s="498"/>
      <c r="M201" s="101"/>
      <c r="N201" s="101"/>
      <c r="O201" s="101"/>
      <c r="P201" s="101"/>
      <c r="Q201" s="101"/>
      <c r="R201" s="101"/>
      <c r="S201" s="101"/>
      <c r="T201" s="101"/>
    </row>
    <row r="202" spans="1:20" ht="15.6" x14ac:dyDescent="0.3">
      <c r="A202" s="360" t="s">
        <v>133</v>
      </c>
      <c r="B202" s="190">
        <f>B193</f>
        <v>0</v>
      </c>
      <c r="C202" s="190"/>
      <c r="D202" s="192"/>
      <c r="E202" s="101"/>
      <c r="F202" s="101"/>
      <c r="G202" s="101"/>
      <c r="H202" s="101"/>
      <c r="I202" s="496"/>
      <c r="J202" s="497">
        <f>B202</f>
        <v>0</v>
      </c>
      <c r="K202" s="497"/>
      <c r="L202" s="498"/>
      <c r="M202" s="101"/>
      <c r="N202" s="101"/>
      <c r="O202" s="101"/>
      <c r="P202" s="101"/>
      <c r="Q202" s="101"/>
      <c r="R202" s="101"/>
      <c r="S202" s="101"/>
      <c r="T202" s="101"/>
    </row>
    <row r="203" spans="1:20" x14ac:dyDescent="0.3">
      <c r="A203" s="505" t="s">
        <v>157</v>
      </c>
      <c r="B203" s="334">
        <f>IF(B200-B202&gt;$A$9,(B200-B202-$A$9)*$C$9+$D$9,IF(B200-B202&gt;$A$8,(B200-B202-$A$8)*$C$8+$D$8,IF(B200-B202&gt;$A$7,(B200-B202-$A$7)*$C$7+$D$7,B200*$C$6)))</f>
        <v>0</v>
      </c>
      <c r="C203" s="334">
        <f>IF('Optimisation retraite'!B97=1,0,IF(C200&gt;$A$8,(C200-$A$8)*$C$8+$D$8,IF(C200&gt;$A$7,(C200-$A$7)*$C$7+$D$7,C200*$C$6)))</f>
        <v>0</v>
      </c>
      <c r="D203" s="335">
        <f>B203+C203</f>
        <v>0</v>
      </c>
      <c r="E203" s="101"/>
      <c r="F203" s="101"/>
      <c r="G203" s="101"/>
      <c r="H203" s="101"/>
      <c r="I203" s="496" t="s">
        <v>157</v>
      </c>
      <c r="J203" s="497">
        <f>IF(J200-J202&gt;$I$9,(J200-J202-$I$9)*$K$9+$L$9,IF(J200-J202&gt;$I$8,(J200-J202-$I$8)*$K$8+$L$8,IF(J200-J202&gt;$I$7,(J200-J202-$I$7)*$K$7+$L$7,J200*$K$6)))</f>
        <v>0</v>
      </c>
      <c r="K203" s="497">
        <f>IF('Optimisation retraite'!B97=1,0,IF(K200&gt;$I$8,(K200-$I$8)*$K$8+$L$8,IF(K200&gt;$I$7,(K200-$I$7)*$K$7+$L$7,K200*$C$6)))</f>
        <v>0</v>
      </c>
      <c r="L203" s="498">
        <f>J203+K203</f>
        <v>0</v>
      </c>
      <c r="M203" s="101"/>
      <c r="N203" s="101"/>
      <c r="O203" s="101"/>
      <c r="P203" s="101"/>
      <c r="Q203" s="101"/>
      <c r="R203" s="101"/>
      <c r="S203" s="101"/>
      <c r="T203" s="101"/>
    </row>
    <row r="204" spans="1:20" x14ac:dyDescent="0.3">
      <c r="A204" s="505"/>
      <c r="B204" s="334"/>
      <c r="C204" s="334"/>
      <c r="D204" s="335"/>
      <c r="E204" s="101"/>
      <c r="F204" s="101"/>
      <c r="G204" s="101"/>
      <c r="H204" s="101"/>
      <c r="I204" s="496"/>
      <c r="J204" s="497"/>
      <c r="K204" s="497"/>
      <c r="L204" s="498"/>
      <c r="M204" s="101"/>
      <c r="N204" s="101"/>
      <c r="O204" s="101"/>
      <c r="P204" s="101"/>
      <c r="Q204" s="101"/>
      <c r="R204" s="101"/>
      <c r="S204" s="101"/>
      <c r="T204" s="101"/>
    </row>
    <row r="205" spans="1:20" ht="15" thickBot="1" x14ac:dyDescent="0.35">
      <c r="A205" s="505" t="s">
        <v>158</v>
      </c>
      <c r="B205" s="334">
        <f>IF('Optimal &lt; 65'!$B$5&lt;65,0,IF(B200&gt;$D$17,0,IF(B200&lt;$D$16,$D$15,$D$15-(B200-$D$16)*15%)))</f>
        <v>0</v>
      </c>
      <c r="C205" s="334">
        <f>IF('Optimal &lt; 65'!$B$5&lt;65,0,IF('Optimal &lt; 65'!$B$4=1,0,IF(C200&gt;$D$17,0,IF(C200&lt;$D$16,$D$15,$D$15-(C200-$D$16)*15%))))</f>
        <v>0</v>
      </c>
      <c r="D205" s="335">
        <f>B205+C205</f>
        <v>0</v>
      </c>
      <c r="E205" s="101">
        <f>D187-D205</f>
        <v>0</v>
      </c>
      <c r="F205" s="101"/>
      <c r="G205" s="101"/>
      <c r="H205" s="101"/>
      <c r="I205" s="500" t="s">
        <v>35</v>
      </c>
      <c r="J205" s="341">
        <f>IF(J200-J201&gt;$I$49,$L$49,IF(J200-J201&gt;$I$48,(J200-J201-$I$48)*$K$48+$L$48,IF(J200-J201&lt;$I$46,0,IF(J200-J201&lt;$I$47,(J200-J201-$I$46)*$K$46,150))))</f>
        <v>0</v>
      </c>
      <c r="K205" s="501">
        <f>IF('Optimisation retraite'!$B$4=1,0,IF(K200-K201&gt;$I$49,$L$49,IF(K200-K201&gt;$I$48,(K200-K201-$I$48)*$K$48+$L$48,IF(K200-K201&lt;=$I$46,0,IF(K200-K201&lt;$I$47,(K200-K201-$I$46)*$K$46,150)))))</f>
        <v>0</v>
      </c>
      <c r="L205" s="508">
        <f>J205+K205</f>
        <v>0</v>
      </c>
      <c r="M205" s="101"/>
      <c r="N205" s="101"/>
      <c r="O205" s="101"/>
      <c r="P205" s="101"/>
      <c r="Q205" s="101"/>
      <c r="R205" s="101"/>
      <c r="S205" s="101"/>
      <c r="T205" s="101"/>
    </row>
    <row r="206" spans="1:20" ht="15" thickBot="1" x14ac:dyDescent="0.35">
      <c r="A206" s="507" t="s">
        <v>159</v>
      </c>
      <c r="B206" s="197"/>
      <c r="C206" s="341">
        <f>IF(AND($J$14=2,$C$23&lt;C200*3%),0,IF(AND($J$14=2,C200*3%&gt;$E$32),$C$32-$E$32,IF(AND($J$14=2,C200&lt;$B$26),$C$23-(B191*3%),IF($J$14=2,$C$23-(C200*3%),IF(AND($J$14=1,('Optimal &lt; 65'!$E$37+'Optimal &lt; 65'!$D$34)*3%&gt;$E$32,$D$32&gt;$E$32),$C$32-$E$32,IF(AND($J$14=1,$D$23&lt;('Optimal &lt; 65'!$E$37+'Optimal &lt; 65'!$D$34)*3%),0,IF(('Optimal &lt; 65'!$E$37+'Optimal &lt; 65'!$D$34)*3%&gt;Seuils!$C$23,0,Seuils!$C$23-('Optimal &lt; 65'!$C$28+'Optimal &lt; 65'!$B$25+'Optimal &lt; 65'!$C$25)*3%)))))))</f>
        <v>1642</v>
      </c>
      <c r="D206" s="512"/>
      <c r="E206">
        <f>E205*$C$6</f>
        <v>0</v>
      </c>
      <c r="F206">
        <f>IF(AND('Optimal &lt; 65'!$B$4=1,'Optimal &lt; 65'!$E$28&lt;Seuils!$B$6),Seuils!E206/(1-Seuils!$C$6),IF(AND('Optimal &lt; 65'!$B$4=1,'Optimal &lt; 65'!$E$28&lt;Seuils!$B$7),Seuils!E206/(1-Seuils!$C$7),IF(AND('Optimal &lt; 65'!$B$4=1,'Optimal &lt; 65'!$E$28&lt;Seuils!$B$8),Seuils!E206/(1-Seuils!$C$8),IF(AND('Optimal &lt; 65'!$B$4=1,'Optimal &lt; 65'!$E$28&gt;Seuils!$A$10),Seuils!E206/(1-Seuils!$C$10),IF('Optimal &lt; 65'!$B$4=1,Seuils!E206/(1-Seuils!$C$9),0)))))</f>
        <v>0</v>
      </c>
      <c r="G206" s="101"/>
      <c r="H206" s="101"/>
      <c r="I206" s="101"/>
      <c r="J206" s="101"/>
      <c r="K206" s="101"/>
      <c r="L206" s="101"/>
      <c r="M206" s="101"/>
      <c r="N206" s="101"/>
      <c r="O206" s="101"/>
      <c r="P206" s="101"/>
      <c r="Q206" s="101"/>
      <c r="R206" s="101"/>
      <c r="S206" s="101"/>
      <c r="T206" s="101"/>
    </row>
    <row r="207" spans="1:20" ht="15" thickBot="1" x14ac:dyDescent="0.35">
      <c r="A207" s="529"/>
      <c r="B207" s="302"/>
      <c r="C207" s="529"/>
      <c r="D207" s="302"/>
      <c r="G207" s="101"/>
      <c r="H207" s="101"/>
      <c r="I207" s="101"/>
      <c r="J207" s="101"/>
      <c r="K207" s="101"/>
      <c r="L207" s="101"/>
      <c r="M207" s="101"/>
      <c r="N207" s="101"/>
      <c r="O207" s="101"/>
      <c r="P207" s="101"/>
      <c r="Q207" s="101"/>
      <c r="R207" s="101"/>
      <c r="S207" s="101"/>
      <c r="T207" s="101"/>
    </row>
    <row r="208" spans="1:20" ht="15.6" x14ac:dyDescent="0.3">
      <c r="A208" s="379" t="s">
        <v>482</v>
      </c>
      <c r="B208" s="340" t="s">
        <v>40</v>
      </c>
      <c r="C208" s="503" t="s">
        <v>41</v>
      </c>
      <c r="D208" s="504"/>
      <c r="I208" s="379" t="s">
        <v>482</v>
      </c>
      <c r="J208" s="340" t="s">
        <v>40</v>
      </c>
      <c r="K208" s="503" t="s">
        <v>41</v>
      </c>
      <c r="L208" s="504">
        <f>'Optimisation retraite'!B127+'Optimisation retraite'!C127</f>
        <v>0</v>
      </c>
      <c r="M208" s="101"/>
      <c r="N208" s="101"/>
      <c r="O208" s="101"/>
      <c r="P208" s="101"/>
      <c r="Q208" s="101"/>
      <c r="R208" s="101"/>
      <c r="S208" s="101"/>
      <c r="T208" s="101"/>
    </row>
    <row r="209" spans="1:20" x14ac:dyDescent="0.3">
      <c r="A209" s="505">
        <f>'2 X &lt; 60'!E28</f>
        <v>36923.449999999997</v>
      </c>
      <c r="B209" s="334">
        <f>A209-C209</f>
        <v>36923.449999999997</v>
      </c>
      <c r="C209" s="334">
        <f>IF('Optimisation retraite'!$B$4=1,0,IF('2 X &lt; 60'!B15+'2 X &lt; 60'!C15=0,'2 X &lt; 60'!E27,IF(A209&gt;=$B$74*2,$B$74,IF(A209&gt;=$B$74+$B$75,A209-$B$74,IF(A209&gt;=$B$75*2,$B$75,IF(A209&gt;=$B$75+$B$76,A209-$B$75,IF(A209&gt;=$B$76*2,$B$76,IF(A209&gt;=$B$76+$B$77,A209-$B$76,IF(A209&gt;$B$77*2,(D112+$D$24+$D$28+$D$32)/1.03,IF(A209&lt;$B$79*2,A209-$B$79,($D$21+$D$24+$D$28)))))))))))</f>
        <v>0</v>
      </c>
      <c r="D209" s="335"/>
      <c r="I209" s="505">
        <f>A209</f>
        <v>36923.449999999997</v>
      </c>
      <c r="J209" s="334">
        <f>I209-K209</f>
        <v>0</v>
      </c>
      <c r="K209" s="334">
        <f>IF(K218&gt;I209-I218,K218,I209-I218+K218)</f>
        <v>36923.449999999997</v>
      </c>
      <c r="L209" s="335">
        <f>I209-'Optimisation retraite'!C126-Seuils!K210-Seuils!J209</f>
        <v>36923.449999999997</v>
      </c>
      <c r="M209" s="101"/>
      <c r="N209" s="101"/>
      <c r="O209" s="101"/>
      <c r="P209" s="101"/>
      <c r="Q209" s="101"/>
      <c r="R209" s="101"/>
      <c r="S209" s="101"/>
      <c r="T209" s="101"/>
    </row>
    <row r="210" spans="1:20" x14ac:dyDescent="0.3">
      <c r="A210" s="496" t="s">
        <v>43</v>
      </c>
      <c r="B210" s="506">
        <f>'2 X &lt; 60'!B9</f>
        <v>0</v>
      </c>
      <c r="C210" s="334">
        <f>'2 X &lt; 60'!C9</f>
        <v>0</v>
      </c>
      <c r="D210" s="335"/>
      <c r="I210" s="496" t="s">
        <v>43</v>
      </c>
      <c r="J210" s="506">
        <f>B210</f>
        <v>0</v>
      </c>
      <c r="K210" s="334">
        <f>C210</f>
        <v>0</v>
      </c>
      <c r="L210" s="335"/>
      <c r="M210" s="101"/>
      <c r="N210" s="101"/>
      <c r="O210" s="101"/>
      <c r="P210" s="101"/>
      <c r="Q210" s="101"/>
      <c r="R210" s="101"/>
      <c r="S210" s="101"/>
      <c r="T210" s="101"/>
    </row>
    <row r="211" spans="1:20" ht="15.6" x14ac:dyDescent="0.3">
      <c r="A211" s="360" t="s">
        <v>133</v>
      </c>
      <c r="B211" s="334"/>
      <c r="C211" s="334"/>
      <c r="D211" s="335"/>
      <c r="I211" s="505"/>
      <c r="J211" s="334">
        <f>B211</f>
        <v>0</v>
      </c>
      <c r="K211" s="334"/>
      <c r="L211" s="335"/>
      <c r="M211" s="101"/>
      <c r="N211" s="101"/>
      <c r="O211" s="101"/>
      <c r="P211" s="101"/>
      <c r="Q211" s="101"/>
      <c r="R211" s="101"/>
      <c r="S211" s="101"/>
      <c r="T211" s="101"/>
    </row>
    <row r="212" spans="1:20" x14ac:dyDescent="0.3">
      <c r="A212" s="505" t="s">
        <v>157</v>
      </c>
      <c r="B212" s="334">
        <f>IF(B209-B211&gt;$A$9,(B209-B211-$A$9)*$C$9+$D$9,IF(B209-B211&gt;$A$8,(B209-B211-$A$8)*$C$8+$D$8,IF(B209-B211&gt;$A$7,(B209-B211-$A$7)*$C$7+$D$7,B209*$C$6)))</f>
        <v>5538.517499999999</v>
      </c>
      <c r="C212" s="334">
        <f>IF('Optimisation retraite'!B103=1,0,IF(C209&gt;$A$8,(C209-$A$8)*$C$8+$D$8,IF(C209&gt;$A$7,(C209-$A$7)*$C$7+$D$7,C209*$C$6)))</f>
        <v>0</v>
      </c>
      <c r="D212" s="335">
        <f>B212+C212</f>
        <v>5538.517499999999</v>
      </c>
      <c r="I212" s="496" t="s">
        <v>157</v>
      </c>
      <c r="J212" s="334">
        <f>IF(J209-J211&gt;$I$9,(J209-J211-$I$9)*$K$9+$L$9,IF(J209-J211&gt;$I$8,(J209-J211-$I$8)*$K$8+$L$8,IF(J209-J211&gt;$I$7,(J209-J211-$I$7)*$K$7+$L$7,J209*$K$6)))</f>
        <v>0</v>
      </c>
      <c r="K212" s="334">
        <f>IF('Optimisation retraite'!$B$4=1,0,IF(K209&gt;$I$8,(K209-$I$8)*$K$8+$L$8,IF(K209&gt;$I$7,(K209-$I$7)*$K$7+$L$7,K209*$C$6)))</f>
        <v>0</v>
      </c>
      <c r="L212" s="335">
        <f>J212+K212</f>
        <v>0</v>
      </c>
      <c r="M212" s="101"/>
      <c r="N212" s="101"/>
      <c r="O212" s="101"/>
      <c r="P212" s="101"/>
      <c r="Q212" s="101"/>
      <c r="R212" s="101"/>
      <c r="S212" s="101"/>
      <c r="T212" s="101"/>
    </row>
    <row r="213" spans="1:20" x14ac:dyDescent="0.3">
      <c r="A213" s="505"/>
      <c r="B213" s="334"/>
      <c r="C213" s="334"/>
      <c r="D213" s="335"/>
      <c r="I213" s="505"/>
      <c r="J213" s="334"/>
      <c r="K213" s="334"/>
      <c r="L213" s="335"/>
      <c r="M213" s="101"/>
      <c r="N213" s="101"/>
      <c r="O213" s="101"/>
      <c r="P213" s="101"/>
      <c r="Q213" s="101"/>
      <c r="R213" s="101"/>
      <c r="S213" s="101"/>
      <c r="T213" s="101"/>
    </row>
    <row r="214" spans="1:20" ht="15" thickBot="1" x14ac:dyDescent="0.35">
      <c r="A214" s="505" t="s">
        <v>158</v>
      </c>
      <c r="B214" s="334"/>
      <c r="C214" s="334"/>
      <c r="D214" s="335">
        <f>B214+C214</f>
        <v>0</v>
      </c>
      <c r="E214">
        <f>D196-D214</f>
        <v>0</v>
      </c>
      <c r="H214">
        <f>L109-M109</f>
        <v>0</v>
      </c>
      <c r="I214" s="507" t="s">
        <v>35</v>
      </c>
      <c r="J214" s="341">
        <f>IF(J209-J210&gt;$I$49,$L$49,IF(J209-J210&gt;$I$48,(J209-J210-$I$48)*$K$48+$L$48,IF(J209-J210&lt;$I$46,0,IF(J209-J210&lt;$I$47,(J209-J210-$I$46)*$K$46,150))))</f>
        <v>0</v>
      </c>
      <c r="K214" s="501">
        <f>IF('Optimisation retraite'!$B$4=1,0,IF(K209-K210&gt;$I$49,$L$49,IF(K209-K210&gt;$I$48,(K209-K210-$I$48)*$K$48+$L$48,IF(K209-K210&lt;=$I$46,0,IF(K209-K210&lt;$I$47,(K209-K210-$I$46)*$K$46,150)))))</f>
        <v>0</v>
      </c>
      <c r="L214" s="508">
        <f>J214+K214</f>
        <v>0</v>
      </c>
      <c r="M214" s="101"/>
      <c r="N214" s="101"/>
      <c r="O214" s="101"/>
      <c r="P214" s="101"/>
      <c r="Q214" s="101"/>
      <c r="R214" s="101"/>
      <c r="S214" s="101"/>
      <c r="T214" s="101"/>
    </row>
    <row r="215" spans="1:20" ht="15" thickBot="1" x14ac:dyDescent="0.35">
      <c r="A215" s="507" t="s">
        <v>159</v>
      </c>
      <c r="B215" s="341"/>
      <c r="C215" s="341">
        <f>IF(AND($J$14=2,$C$23&lt;C209*3%),0,IF(AND($J$14=2,C209*3%&gt;$E$23),$C$23-$E$23,IF(AND($J$14=2,C209&lt;$B$17),$C$23-(B200*3%),IF($J$14=2,$C$23-(C209*3%),IF(AND($J$14=1,('Optimal &lt; 65'!$E$28+'Optimal &lt; 65'!$D$25)*3%&gt;$E$23,$D$23&gt;$E$23),$C$23-$E$23,IF(AND($J$14=1,$D$23&lt;('Optimal &lt; 65'!$E$28+'Optimal &lt; 65'!$D$25)*3%),0,IF(('Optimal &lt; 65'!$E$28+'Optimal &lt; 65'!$D$25)*3%&gt;Seuils!$C$23,0,Seuils!$C$23-('Optimal &lt; 65'!$E$28+'Optimal &lt; 65'!$D$25)*3%)))))))</f>
        <v>451.90480000000025</v>
      </c>
      <c r="D215" s="508"/>
      <c r="E215">
        <f>E214*$C$6</f>
        <v>0</v>
      </c>
      <c r="F215">
        <f>IF(AND('Optimal &lt; 65'!$B$4=1,'Optimal &lt; 65'!$E$28&lt;Seuils!$B$6),Seuils!E215/(1-Seuils!$C$6),IF(AND('Optimal &lt; 65'!$B$4=1,'Optimal &lt; 65'!$E$28&lt;Seuils!$B$7),Seuils!E215/(1-Seuils!$C$7),IF(AND('Optimal &lt; 65'!$B$4=1,'Optimal &lt; 65'!$E$28&lt;Seuils!$B$8),Seuils!E215/(1-Seuils!$C$8),IF(AND('Optimal &lt; 65'!$B$4=1,'Optimal &lt; 65'!$E$28&gt;Seuils!$A$10),Seuils!E215/(1-Seuils!$C$10),IF('Optimal &lt; 65'!$B$4=1,Seuils!E215/(1-Seuils!$C$9),0)))))</f>
        <v>0</v>
      </c>
      <c r="G215">
        <f>IF(AND('Optimal &lt; 65'!B103=1,'Optimal &lt; 65'!E125&lt;Seuils!J97),Seuils!E215/Seuils!K97,IF(AND('Optimal &lt; 65'!B103=1,'Optimal &lt; 65'!E125&lt;Seuils!J98),Seuils!E215/Seuils!K98,IF(AND('Optimal &lt; 65'!B103=1,'Optimal &lt; 65'!E125&gt;Seuils!I100),Seuils!E215/Seuils!K100,IF('Optimal &lt; 65'!B103=1,Seuils!E215/Seuils!K99,0))))</f>
        <v>0</v>
      </c>
      <c r="H215">
        <f>H214*K97</f>
        <v>0</v>
      </c>
      <c r="M215" s="101"/>
      <c r="N215" s="101"/>
      <c r="O215" s="101"/>
      <c r="P215" s="101"/>
      <c r="Q215" s="101"/>
      <c r="R215" s="101"/>
      <c r="S215" s="101"/>
      <c r="T215" s="101"/>
    </row>
    <row r="216" spans="1:20" ht="15" thickBot="1" x14ac:dyDescent="0.35">
      <c r="A216" s="101"/>
      <c r="B216" s="101"/>
      <c r="C216" s="101"/>
      <c r="D216" s="101"/>
      <c r="E216" s="101">
        <f>E215+H215</f>
        <v>0</v>
      </c>
      <c r="F216">
        <f>IF(AND('Optimal &lt; 65'!$B$4=1,'Optimal &lt; 65'!$E$28&lt;Seuils!$B$6),Seuils!E216/(1-Seuils!$C$6),IF(AND('Optimal &lt; 65'!$B$4=1,'Optimal &lt; 65'!$E$28&lt;Seuils!$B$7),Seuils!E216/(1-Seuils!$C$7),IF(AND('Optimal &lt; 65'!$B$4=1,'Optimal &lt; 65'!$E$28&lt;Seuils!$B$8),Seuils!E216/(1-Seuils!$C$8),IF(AND('Optimal &lt; 65'!$B$4=1,'Optimal &lt; 65'!$E$28&gt;Seuils!$A$10),Seuils!E216/(1-Seuils!$C$10),IF('Optimal &lt; 65'!$B$4=1,Seuils!E216/(1-Seuils!$C$9),0)))))</f>
        <v>0</v>
      </c>
      <c r="G216" s="101"/>
      <c r="H216" s="101"/>
      <c r="I216" s="101"/>
      <c r="J216" s="101"/>
      <c r="K216" s="101"/>
      <c r="L216" s="101"/>
      <c r="M216" s="101"/>
      <c r="N216" s="101"/>
      <c r="O216" s="101"/>
      <c r="P216" s="101"/>
      <c r="Q216" s="101"/>
      <c r="R216" s="101"/>
      <c r="S216" s="101"/>
      <c r="T216" s="101"/>
    </row>
    <row r="217" spans="1:20" ht="15.6" x14ac:dyDescent="0.3">
      <c r="A217" s="379" t="s">
        <v>483</v>
      </c>
      <c r="B217" s="340" t="s">
        <v>40</v>
      </c>
      <c r="C217" s="503" t="s">
        <v>41</v>
      </c>
      <c r="D217" s="509"/>
      <c r="E217" s="101"/>
      <c r="F217" s="101"/>
      <c r="G217" s="101"/>
      <c r="H217" s="101"/>
      <c r="I217" s="379" t="s">
        <v>483</v>
      </c>
      <c r="J217" s="493" t="s">
        <v>40</v>
      </c>
      <c r="K217" s="494" t="s">
        <v>41</v>
      </c>
      <c r="L217" s="495"/>
      <c r="M217" s="101"/>
      <c r="N217" s="101"/>
      <c r="O217" s="101"/>
      <c r="P217" s="101"/>
      <c r="Q217" s="101"/>
      <c r="R217" s="101"/>
      <c r="S217" s="101"/>
      <c r="T217" s="101"/>
    </row>
    <row r="218" spans="1:20" x14ac:dyDescent="0.3">
      <c r="A218" s="510">
        <f>'2 X &lt; 60'!C28</f>
        <v>0</v>
      </c>
      <c r="B218" s="334">
        <f>A218-C218</f>
        <v>0</v>
      </c>
      <c r="C218" s="190">
        <f>IF('Optimisation retraite'!$B$4=1,0,IF(A218&gt;=$B$74*2,$B$74,IF(A218&gt;=$B$74+$B$75,A218-$B$74,IF(A218&gt;=$B$75*2,$B$75,IF(A218&gt;=$B$75+$B$76,A218-$B$75,IF(A218&gt;=$B$76*2,$B$76,IF(A218&gt;=$B$76+$B$77,A218-$B$76,IF(A218&gt;$B$77*2,($D$12+$C$15+$C$19+$C$23)/1.03,IF('2 X &lt; 60'!D15=0,0,IF(A218&lt;$B$79*2,B19,($D$12+$C$15+$C$19)))))))))))</f>
        <v>0</v>
      </c>
      <c r="D218" s="192"/>
      <c r="E218" s="101"/>
      <c r="F218" s="101"/>
      <c r="G218" s="101"/>
      <c r="H218" s="101"/>
      <c r="I218" s="496">
        <f>A218</f>
        <v>0</v>
      </c>
      <c r="J218" s="497">
        <f>I218-K218</f>
        <v>0</v>
      </c>
      <c r="K218" s="497">
        <f>IF('Optimisation retraite'!$B$4=1,0,IF('2 X &lt; 60'!H8&lt;65,'2 X &lt; 60'!C26,IF(I218&gt;=$J$72*2,$J$72,IF(I218&gt;=$J$72+$J$73,$J$73,IF(I218&gt;=$J$72+$J$74,I218-$J$72,IF(I218&gt;=$J$74+$J$73,$J$74,IF(I218&gt;=$J$74*2,$J$74,IF(I218&gt;$J$74+$J$76,I218-$J$74,IF(I218-$J$79-$K$79&gt;=$J$75*2,$J$76,IF(I218&gt;$J$76*2,$J$76,IF(AND(I218&gt;$J$74,I218-$J$79-$K$79&lt;$J$75*2),I218-($J$75+J210),IF(I218&gt;=$J$76+$J$77*2,I218-$J$76,IF(I218&gt;=$J$76+$J$77,I218-$J$76,IF(I218&gt;=$J$77*2+K210,$J$77+K219,IF('2 X &lt; 60'!D15=0,0,I218-($J$77+$J$130))))))))))))))))</f>
        <v>0</v>
      </c>
      <c r="L218" s="498"/>
      <c r="M218" s="101"/>
      <c r="N218" s="101"/>
      <c r="O218" s="101"/>
      <c r="P218" s="101"/>
      <c r="Q218" s="101"/>
      <c r="R218" s="101"/>
      <c r="S218" s="101"/>
      <c r="T218" s="101"/>
    </row>
    <row r="219" spans="1:20" x14ac:dyDescent="0.3">
      <c r="A219" s="496" t="s">
        <v>43</v>
      </c>
      <c r="B219" s="511">
        <f>B210</f>
        <v>0</v>
      </c>
      <c r="C219" s="190">
        <f>C210</f>
        <v>0</v>
      </c>
      <c r="D219" s="192"/>
      <c r="E219" s="101"/>
      <c r="F219" s="101"/>
      <c r="G219" s="101"/>
      <c r="H219" s="101"/>
      <c r="I219" s="496" t="s">
        <v>43</v>
      </c>
      <c r="J219" s="499">
        <f>J210</f>
        <v>0</v>
      </c>
      <c r="K219" s="497">
        <f>IF('Optimisation retraite'!B115=1,0,K210)</f>
        <v>0</v>
      </c>
      <c r="L219" s="498"/>
      <c r="M219" s="101"/>
      <c r="N219" s="101"/>
      <c r="O219" s="101"/>
      <c r="P219" s="101"/>
      <c r="Q219" s="101"/>
      <c r="R219" s="101"/>
      <c r="S219" s="101"/>
      <c r="T219" s="101"/>
    </row>
    <row r="220" spans="1:20" ht="15.6" x14ac:dyDescent="0.3">
      <c r="A220" s="360" t="s">
        <v>133</v>
      </c>
      <c r="B220" s="190">
        <f>B211</f>
        <v>0</v>
      </c>
      <c r="C220" s="190"/>
      <c r="D220" s="192"/>
      <c r="E220" s="101"/>
      <c r="F220" s="101"/>
      <c r="G220" s="101"/>
      <c r="H220" s="101"/>
      <c r="I220" s="496"/>
      <c r="J220" s="497">
        <f>B220</f>
        <v>0</v>
      </c>
      <c r="K220" s="497"/>
      <c r="L220" s="498"/>
      <c r="M220" s="101"/>
      <c r="N220" s="101"/>
      <c r="O220" s="101"/>
      <c r="P220" s="101"/>
      <c r="Q220" s="101"/>
      <c r="R220" s="101"/>
      <c r="S220" s="101"/>
      <c r="T220" s="101"/>
    </row>
    <row r="221" spans="1:20" x14ac:dyDescent="0.3">
      <c r="A221" s="505" t="s">
        <v>157</v>
      </c>
      <c r="B221" s="334">
        <f>IF(B218-B220&gt;$A$9,(B218-B220-$A$9)*$C$9+$D$9,IF(B218-B220&gt;$A$8,(B218-B220-$A$8)*$C$8+$D$8,IF(B218-B220&gt;$A$7,(B218-B220-$A$7)*$C$7+$D$7,B218*$C$6)))</f>
        <v>0</v>
      </c>
      <c r="C221" s="334">
        <f>IF('Optimisation retraite'!B115=1,0,IF(C218&gt;$A$8,(C218-$A$8)*$C$8+$D$8,IF(C218&gt;$A$7,(C218-$A$7)*$C$7+$D$7,C218*$C$6)))</f>
        <v>0</v>
      </c>
      <c r="D221" s="335">
        <f>B221+C221</f>
        <v>0</v>
      </c>
      <c r="E221" s="101"/>
      <c r="F221" s="101"/>
      <c r="G221" s="101"/>
      <c r="H221" s="101"/>
      <c r="I221" s="496" t="s">
        <v>157</v>
      </c>
      <c r="J221" s="497">
        <f>IF(J218-J220&gt;$I$9,(J218-J220-$I$9)*$K$9+$L$9,IF(J218-J220&gt;$I$8,(J218-J220-$I$8)*$K$8+$L$8,IF(J218-J220&gt;$I$7,(J218-J220-$I$7)*$K$7+$L$7,J218*$K$6)))</f>
        <v>0</v>
      </c>
      <c r="K221" s="497">
        <f>IF('Optimisation retraite'!B115=1,0,IF(K218&gt;$I$8,(K218-$I$8)*$K$8+$L$8,IF(K218&gt;$I$7,(K218-$I$7)*$K$7+$L$7,K218*$C$6)))</f>
        <v>0</v>
      </c>
      <c r="L221" s="498">
        <f>J221+K221</f>
        <v>0</v>
      </c>
      <c r="M221" s="101"/>
      <c r="N221" s="101"/>
      <c r="O221" s="101"/>
      <c r="P221" s="101"/>
      <c r="Q221" s="101"/>
      <c r="R221" s="101"/>
      <c r="S221" s="101"/>
      <c r="T221" s="101"/>
    </row>
    <row r="222" spans="1:20" x14ac:dyDescent="0.3">
      <c r="A222" s="505"/>
      <c r="B222" s="334"/>
      <c r="C222" s="334"/>
      <c r="D222" s="335"/>
      <c r="E222" s="101"/>
      <c r="F222" s="101"/>
      <c r="G222" s="101"/>
      <c r="H222" s="101"/>
      <c r="I222" s="496"/>
      <c r="J222" s="497"/>
      <c r="K222" s="497"/>
      <c r="L222" s="498"/>
      <c r="M222" s="101"/>
      <c r="N222" s="101"/>
      <c r="O222" s="101"/>
      <c r="P222" s="101"/>
      <c r="Q222" s="101"/>
      <c r="R222" s="101"/>
      <c r="S222" s="101"/>
      <c r="T222" s="101"/>
    </row>
    <row r="223" spans="1:20" ht="15" thickBot="1" x14ac:dyDescent="0.35">
      <c r="A223" s="505" t="s">
        <v>158</v>
      </c>
      <c r="B223" s="334">
        <f>IF('Optimal &lt; 65'!$B$5&lt;65,0,IF(B218&gt;$D$17,0,IF(B218&lt;$D$16,$D$15,$D$15-(B218-$D$16)*15%)))</f>
        <v>0</v>
      </c>
      <c r="C223" s="334">
        <f>IF('Optimal &lt; 65'!$B$5&lt;65,0,IF('Optimal &lt; 65'!$B$4=1,0,IF(C218&gt;$D$17,0,IF(C218&lt;$D$16,$D$15,$D$15-(C218-$D$16)*15%))))</f>
        <v>0</v>
      </c>
      <c r="D223" s="335">
        <f>B223+C223</f>
        <v>0</v>
      </c>
      <c r="E223" s="101">
        <f>D205-D223</f>
        <v>0</v>
      </c>
      <c r="F223" s="101"/>
      <c r="G223" s="101"/>
      <c r="H223" s="101"/>
      <c r="I223" s="500" t="s">
        <v>35</v>
      </c>
      <c r="J223" s="341">
        <f>IF(J218-J219&gt;$I$49,$L$49,IF(J218-J219&gt;$I$48,(J218-J219-$I$48)*$K$48+$L$48,IF(J218-J219&lt;$I$46,0,IF(J218-J219&lt;$I$47,(J218-J219-$I$46)*$K$46,150))))</f>
        <v>0</v>
      </c>
      <c r="K223" s="501">
        <f>IF('Optimisation retraite'!$B$4=1,0,IF(K218-K219&gt;$I$49,$L$49,IF(K218-K219&gt;$I$48,(K218-K219-$I$48)*$K$48+$L$48,IF(K218-K219&lt;=$I$46,0,IF(K218-K219&lt;$I$47,(K218-K219-$I$46)*$K$46,150)))))</f>
        <v>0</v>
      </c>
      <c r="L223" s="508">
        <f>J223+K223</f>
        <v>0</v>
      </c>
      <c r="M223" s="101"/>
      <c r="N223" s="101"/>
      <c r="O223" s="101"/>
      <c r="P223" s="101"/>
      <c r="Q223" s="101"/>
      <c r="R223" s="101"/>
      <c r="S223" s="101"/>
      <c r="T223" s="101"/>
    </row>
    <row r="224" spans="1:20" ht="15" thickBot="1" x14ac:dyDescent="0.35">
      <c r="A224" s="507" t="s">
        <v>159</v>
      </c>
      <c r="B224" s="197"/>
      <c r="C224" s="341">
        <f>IF(AND($J$14=2,$C$23&lt;C218*3%),0,IF(AND($J$14=2,C218*3%&gt;$E$32),$C$32-$E$32,IF(AND($J$14=2,C218&lt;$B$26),$C$23-(B209*3%),IF($J$14=2,$C$23-(C218*3%),IF(AND($J$14=1,('Optimal &lt; 65'!$E$37+'Optimal &lt; 65'!$D$34)*3%&gt;$E$32,$D$32&gt;$E$32),$C$32-$E$32,IF(AND($J$14=1,$D$23&lt;('Optimal &lt; 65'!$E$37+'Optimal &lt; 65'!$D$34)*3%),0,IF(('Optimal &lt; 65'!$E$37+'Optimal &lt; 65'!$D$34)*3%&gt;Seuils!$C$23,0,Seuils!$C$23-('Optimal &lt; 65'!$C$28+'Optimal &lt; 65'!$B$25+'Optimal &lt; 65'!$C$25)*3%)))))))</f>
        <v>1642</v>
      </c>
      <c r="D224" s="512"/>
      <c r="E224">
        <f>E223*$C$6</f>
        <v>0</v>
      </c>
      <c r="F224">
        <f>IF(AND('Optimal &lt; 65'!$B$4=1,'Optimal &lt; 65'!$E$28&lt;Seuils!$B$6),Seuils!E224/(1-Seuils!$C$6),IF(AND('Optimal &lt; 65'!$B$4=1,'Optimal &lt; 65'!$E$28&lt;Seuils!$B$7),Seuils!E224/(1-Seuils!$C$7),IF(AND('Optimal &lt; 65'!$B$4=1,'Optimal &lt; 65'!$E$28&lt;Seuils!$B$8),Seuils!E224/(1-Seuils!$C$8),IF(AND('Optimal &lt; 65'!$B$4=1,'Optimal &lt; 65'!$E$28&gt;Seuils!$A$10),Seuils!E224/(1-Seuils!$C$10),IF('Optimal &lt; 65'!$B$4=1,Seuils!E224/(1-Seuils!$C$9),0)))))</f>
        <v>0</v>
      </c>
      <c r="G224" s="101"/>
      <c r="H224" s="101"/>
      <c r="I224" s="101"/>
      <c r="J224" s="101"/>
      <c r="K224" s="101"/>
      <c r="L224" s="101"/>
      <c r="M224" s="101"/>
      <c r="N224" s="101"/>
      <c r="O224" s="101"/>
      <c r="P224" s="101"/>
      <c r="Q224" s="101"/>
      <c r="R224" s="101"/>
      <c r="S224" s="101"/>
      <c r="T224" s="101"/>
    </row>
    <row r="225" spans="1:20" ht="15" thickBot="1" x14ac:dyDescent="0.35">
      <c r="A225" s="584"/>
      <c r="B225" s="585"/>
      <c r="C225" s="586"/>
      <c r="D225" s="587"/>
      <c r="G225" s="101"/>
      <c r="H225" s="101"/>
      <c r="I225" s="101"/>
      <c r="J225" s="101"/>
      <c r="K225" s="101"/>
      <c r="L225" s="101"/>
      <c r="M225" s="101"/>
      <c r="N225" s="101"/>
      <c r="O225" s="101"/>
      <c r="P225" s="101"/>
      <c r="Q225" s="101"/>
      <c r="R225" s="101"/>
      <c r="S225" s="101"/>
      <c r="T225" s="101"/>
    </row>
    <row r="226" spans="1:20" ht="15.6" x14ac:dyDescent="0.3">
      <c r="A226" s="379" t="s">
        <v>410</v>
      </c>
      <c r="B226" s="340" t="s">
        <v>40</v>
      </c>
      <c r="C226" s="503" t="s">
        <v>41</v>
      </c>
      <c r="D226" s="504"/>
      <c r="I226" s="379" t="str">
        <f>A226</f>
        <v>Optimal actuel - FERR</v>
      </c>
      <c r="J226" s="340" t="s">
        <v>40</v>
      </c>
      <c r="K226" s="503" t="s">
        <v>41</v>
      </c>
      <c r="L226" s="504">
        <f>'Optimisation retraite'!B127+'Optimisation retraite'!C127</f>
        <v>0</v>
      </c>
      <c r="M226" s="101"/>
      <c r="N226" s="101"/>
      <c r="O226" s="101"/>
      <c r="P226" s="101"/>
      <c r="Q226" s="101"/>
      <c r="R226" s="101"/>
      <c r="S226" s="101"/>
      <c r="T226" s="101"/>
    </row>
    <row r="227" spans="1:20" x14ac:dyDescent="0.3">
      <c r="A227" s="505">
        <f>'Optimal actuel'!E27</f>
        <v>39669.839999999997</v>
      </c>
      <c r="B227" s="334">
        <f>A227-C227</f>
        <v>39669.839999999997</v>
      </c>
      <c r="C227" s="334">
        <f>IF('Optimisation retraite'!$B$4=1,0,IF(AND('Optimal actuel'!C15=0,'Optimal actuel'!B15=0),'Optimal actuel'!C25,IF(AND('Optimal actuel'!B15&gt;0,'Optimal actuel'!C26+'Optimal actuel'!B15/2&lt;Seuils!B6),'Optimal actuel'!C26+'Optimal actuel'!B15/2,IF(A227&gt;=$B$74*2,$B$74,IF(A227&gt;=$B$74+$B$75,A227-$B$74,IF(A227&gt;=$B$75*2,$B$75,IF(A227&gt;=$B$75+$B$76,A227-$B$75,IF(A227&gt;=$B$76*2,$B$76,IF(A227&gt;=$B$76+$B$77,A227-$B$76,IF(A227&gt;$B$77*2,($D$12+$C$15+$C$19+$C$23)/1.03,IF(A227&lt;$B$79*2,A227-$B$17,($D$12+$C$15+$C$19))))))))))))</f>
        <v>0</v>
      </c>
      <c r="D227" s="335"/>
      <c r="I227" s="505">
        <f>A227</f>
        <v>39669.839999999997</v>
      </c>
      <c r="J227" s="334">
        <f>I227-K227</f>
        <v>39669.839999999997</v>
      </c>
      <c r="K227" s="334">
        <f>IF('Optimal actuel'!B4=1,0,IF(AND('Optimal actuel'!B4=2,'Optimal actuel'!H8&lt;65,'Optimal actuel'!C25&lt;'Optimal actuel'!B25),'Optimal actuel'!C25+'Optimal actuel'!D14-'Optimal actuel'!D15,IF(AND('Optimal actuel'!B4=2,'Optimal actuel'!H8&lt;65,'Optimal actuel'!C15-'Optimal actuel'!B15&gt;'Optimal actuel'!D14-'Optimal actuel'!D15,'Optimal actuel'!C15),'Optimal actuel'!C25+'Optimal actuel'!D14-'Optimal actuel'!D15,'Optimal actuel'!P13)))</f>
        <v>0</v>
      </c>
      <c r="L227" s="335">
        <f>I227-'Optimisation retraite'!C126-Seuils!K228-Seuils!J227</f>
        <v>0</v>
      </c>
      <c r="M227" s="101"/>
      <c r="N227" s="101"/>
      <c r="O227" s="101"/>
      <c r="P227" s="101"/>
      <c r="Q227" s="101"/>
      <c r="R227" s="101"/>
      <c r="S227" s="101"/>
      <c r="T227" s="101"/>
    </row>
    <row r="228" spans="1:20" x14ac:dyDescent="0.3">
      <c r="A228" s="496" t="s">
        <v>43</v>
      </c>
      <c r="B228" s="506">
        <f>'Optimal actuel'!B9</f>
        <v>0</v>
      </c>
      <c r="C228" s="334">
        <f>'Optimal actuel'!C9</f>
        <v>0</v>
      </c>
      <c r="D228" s="335"/>
      <c r="I228" s="496" t="s">
        <v>43</v>
      </c>
      <c r="J228" s="506">
        <f>B228</f>
        <v>0</v>
      </c>
      <c r="K228" s="334">
        <f>C228</f>
        <v>0</v>
      </c>
      <c r="L228" s="335"/>
      <c r="M228" s="101"/>
      <c r="N228" s="101"/>
      <c r="O228" s="101"/>
      <c r="P228" s="101"/>
      <c r="Q228" s="101"/>
      <c r="R228" s="101"/>
      <c r="S228" s="101"/>
      <c r="T228" s="101"/>
    </row>
    <row r="229" spans="1:20" ht="15.6" x14ac:dyDescent="0.3">
      <c r="A229" s="360" t="s">
        <v>133</v>
      </c>
      <c r="B229" s="334">
        <v>0</v>
      </c>
      <c r="C229" s="334"/>
      <c r="D229" s="335"/>
      <c r="I229" s="505"/>
      <c r="J229" s="334">
        <f>B229</f>
        <v>0</v>
      </c>
      <c r="K229" s="334"/>
      <c r="L229" s="335"/>
      <c r="M229" s="101"/>
      <c r="N229" s="101"/>
      <c r="O229" s="101"/>
      <c r="P229" s="101"/>
      <c r="Q229" s="101"/>
      <c r="R229" s="101"/>
      <c r="S229" s="101"/>
      <c r="T229" s="101"/>
    </row>
    <row r="230" spans="1:20" x14ac:dyDescent="0.3">
      <c r="A230" s="505" t="s">
        <v>157</v>
      </c>
      <c r="B230" s="334">
        <f>IF(B227-B229&gt;$A$9,(B227-B229-$A$9)*$C$9+$D$9,IF(B227-B229&gt;$A$8,(B227-B229-$A$8)*$C$8+$D$8,IF(B227-B229&gt;$A$7,(B227-B229-$A$7)*$C$7+$D$7,B227*$C$6)))</f>
        <v>5950.4759999999997</v>
      </c>
      <c r="C230" s="334">
        <f>IF('Optimisation retraite'!B103=1,0,IF(C227&gt;$A$8,(C227-$A$8)*$C$8+$D$8,IF(C227&gt;$A$7,(C227-$A$7)*$C$7+$D$7,C227*$C$6)))</f>
        <v>0</v>
      </c>
      <c r="D230" s="335">
        <f>B230+C230</f>
        <v>5950.4759999999997</v>
      </c>
      <c r="I230" s="496" t="s">
        <v>157</v>
      </c>
      <c r="J230" s="497">
        <f>IF(J227-J229&gt;$I$9,(J227-J229-$I$9)*$K$9+$L$9,IF(J227-J229&gt;$I$8,(J227-J229-$I$8)*$K$8+$L$8,IF(J227-J229&gt;$I$7,(J227-J229-$I$7)*$K$7+$L$7,J227*$K$6)))</f>
        <v>5950.4759999999997</v>
      </c>
      <c r="K230" s="334">
        <f>IF('Optimisation retraite'!$B$4=1,0,IF(K227&gt;$I$8,(K227-$I$8)*$K$8+$L$8,IF(K227&gt;$I$7,(K227-$I$7)*$K$7+$L$7,K227*$C$6)))</f>
        <v>0</v>
      </c>
      <c r="L230" s="335">
        <f>J230+K230</f>
        <v>5950.4759999999997</v>
      </c>
      <c r="M230" s="101"/>
      <c r="N230" s="101"/>
      <c r="O230" s="101"/>
      <c r="P230" s="101"/>
      <c r="Q230" s="101"/>
      <c r="R230" s="101"/>
      <c r="S230" s="101"/>
      <c r="T230" s="101"/>
    </row>
    <row r="231" spans="1:20" x14ac:dyDescent="0.3">
      <c r="A231" s="505"/>
      <c r="B231" s="334"/>
      <c r="C231" s="334"/>
      <c r="D231" s="335"/>
      <c r="I231" s="505"/>
      <c r="J231" s="334"/>
      <c r="K231" s="334"/>
      <c r="L231" s="335"/>
      <c r="M231" s="101"/>
      <c r="N231" s="101"/>
      <c r="O231" s="101"/>
      <c r="P231" s="101"/>
      <c r="Q231" s="101"/>
      <c r="R231" s="101"/>
      <c r="S231" s="101"/>
      <c r="T231" s="101"/>
    </row>
    <row r="232" spans="1:20" ht="15" thickBot="1" x14ac:dyDescent="0.35">
      <c r="A232" s="505" t="s">
        <v>158</v>
      </c>
      <c r="B232" s="334">
        <f>IF('Optimal actuel'!B7&lt;65,0,IF(B227&gt;$D$17,0,IF(B227&lt;$D$16,$D$15,$D$15-(B227-$D$16)*15%)))</f>
        <v>7596.4740000000002</v>
      </c>
      <c r="C232" s="334">
        <f>IF('Optimal actuel'!C7&lt;65,0,IF('Optimisation retraite'!B103=1,0,IF(C227&gt;$D$17,0,IF(C227&lt;$D$16,$D$15,$D$15-(C227-$D$16)*15%))))</f>
        <v>0</v>
      </c>
      <c r="D232" s="335">
        <f>B232+C232</f>
        <v>7596.4740000000002</v>
      </c>
      <c r="E232">
        <f>D196-D232</f>
        <v>-7596.4740000000002</v>
      </c>
      <c r="H232">
        <f>L109-M109</f>
        <v>0</v>
      </c>
      <c r="I232" s="507" t="s">
        <v>35</v>
      </c>
      <c r="J232" s="341">
        <f>IF(J227-J228&gt;$I$49,$L$49,IF(J227-J228&gt;$I$48,(J227-J228-$I$48)*$K$48+$L$48,IF(J227-J228&lt;$I$46,0,IF(J227-J228&lt;$I$47,(J227-J228-$I$46)*$K$46,150))))</f>
        <v>150</v>
      </c>
      <c r="K232" s="501">
        <f>IF('Optimisation retraite'!$B$4=1,0,IF(K227-K228&gt;$I$49,$L$49,IF(K227-K228&gt;$I$48,(K227-K228-$I$48)*$K$48+$L$48,IF(K227-K228&lt;=$I$46,0,IF(K227-K228&lt;$I$47,(K227-K228-$I$46)*$K$46,150)))))</f>
        <v>0</v>
      </c>
      <c r="L232" s="508">
        <f>J232+K232</f>
        <v>150</v>
      </c>
      <c r="M232" s="101"/>
      <c r="N232" s="101"/>
      <c r="O232" s="101"/>
      <c r="P232" s="101"/>
      <c r="Q232" s="101"/>
      <c r="R232" s="101"/>
      <c r="S232" s="101"/>
      <c r="T232" s="101"/>
    </row>
    <row r="233" spans="1:20" ht="15" thickBot="1" x14ac:dyDescent="0.35">
      <c r="A233" s="507" t="s">
        <v>159</v>
      </c>
      <c r="B233" s="341"/>
      <c r="C233" s="341">
        <f>IF(AND($J$14=2,$C$23&lt;C227*3%),0,IF(AND($J$14=2,C227*3%&gt;$E$23),$C$23-$E$23,IF(AND($J$14=2,C227&lt;$B$17),$C$23-(B200*3%),IF($J$14=2,$C$23-(C227*3%),IF(AND($J$14=1,('Optimal &lt; 65'!$E$28+'Optimal &lt; 65'!$D$25)*3%&gt;$E$23,$D$23&gt;$E$23),$C$23-$E$23,IF(AND($J$14=1,$D$23&lt;('Optimal &lt; 65'!$E$28+'Optimal &lt; 65'!$D$25)*3%),0,IF(('Optimal &lt; 65'!$E$28+'Optimal &lt; 65'!$D$25)*3%&gt;Seuils!$C$23,0,Seuils!$C$23-('Optimal &lt; 65'!$E$28+'Optimal &lt; 65'!$D$25)*3%)))))))</f>
        <v>451.90480000000025</v>
      </c>
      <c r="D233" s="508"/>
      <c r="E233">
        <f>E232*$C$6</f>
        <v>-1139.4711</v>
      </c>
      <c r="F233">
        <f>IF(AND('Optimal &lt; 65'!$B$4=1,'Optimal &lt; 65'!$E$28&lt;Seuils!$B$6),Seuils!E233/(1-Seuils!$C$6),IF(AND('Optimal &lt; 65'!$B$4=1,'Optimal &lt; 65'!$E$28&lt;Seuils!$B$7),Seuils!E233/(1-Seuils!$C$7),IF(AND('Optimal &lt; 65'!$B$4=1,'Optimal &lt; 65'!$E$28&lt;Seuils!$B$8),Seuils!E233/(1-Seuils!$C$8),IF(AND('Optimal &lt; 65'!$B$4=1,'Optimal &lt; 65'!$E$28&gt;Seuils!$A$10),Seuils!E233/(1-Seuils!$C$10),IF('Optimal &lt; 65'!$B$4=1,Seuils!E233/(1-Seuils!$C$9),0)))))</f>
        <v>-1340.5542352941177</v>
      </c>
      <c r="G233">
        <f>IF(AND('Optimal &lt; 65'!B103=1,'Optimal &lt; 65'!E125&lt;Seuils!J97),Seuils!E233/Seuils!K97,IF(AND('Optimal &lt; 65'!B103=1,'Optimal &lt; 65'!E125&lt;Seuils!J98),Seuils!E233/Seuils!K98,IF(AND('Optimal &lt; 65'!B103=1,'Optimal &lt; 65'!E125&gt;Seuils!I100),Seuils!E233/Seuils!K100,IF('Optimal &lt; 65'!B103=1,Seuils!E233/Seuils!K99,0))))</f>
        <v>0</v>
      </c>
      <c r="H233">
        <f>H232*K97</f>
        <v>0</v>
      </c>
      <c r="M233" s="101"/>
      <c r="N233" s="101"/>
      <c r="O233" s="101"/>
      <c r="P233" s="101"/>
      <c r="Q233" s="101"/>
      <c r="R233" s="101"/>
      <c r="S233" s="101"/>
      <c r="T233" s="101"/>
    </row>
    <row r="234" spans="1:20" ht="15" thickBot="1" x14ac:dyDescent="0.35">
      <c r="A234" s="101"/>
      <c r="B234" s="101"/>
      <c r="C234" s="101"/>
      <c r="D234" s="101"/>
      <c r="E234" s="101">
        <f>E233+H233</f>
        <v>-1139.4711</v>
      </c>
      <c r="F234">
        <f>IF(AND('Optimal &lt; 65'!$B$4=1,'Optimal &lt; 65'!$E$28&lt;Seuils!$B$6),Seuils!E234/(1-Seuils!$C$6),IF(AND('Optimal &lt; 65'!$B$4=1,'Optimal &lt; 65'!$E$28&lt;Seuils!$B$7),Seuils!E234/(1-Seuils!$C$7),IF(AND('Optimal &lt; 65'!$B$4=1,'Optimal &lt; 65'!$E$28&lt;Seuils!$B$8),Seuils!E234/(1-Seuils!$C$8),IF(AND('Optimal &lt; 65'!$B$4=1,'Optimal &lt; 65'!$E$28&gt;Seuils!$A$10),Seuils!E234/(1-Seuils!$C$10),IF('Optimal &lt; 65'!$B$4=1,Seuils!E234/(1-Seuils!$C$9),0)))))</f>
        <v>-1340.5542352941177</v>
      </c>
      <c r="G234" s="101"/>
      <c r="H234" s="101"/>
      <c r="I234" s="101"/>
      <c r="J234" s="101"/>
      <c r="K234" s="101"/>
      <c r="L234" s="101"/>
      <c r="M234" s="101"/>
      <c r="N234" s="101"/>
      <c r="O234" s="101"/>
      <c r="P234" s="101"/>
      <c r="Q234" s="101"/>
      <c r="R234" s="101"/>
      <c r="S234" s="101"/>
      <c r="T234" s="101"/>
    </row>
    <row r="235" spans="1:20" ht="15.6" x14ac:dyDescent="0.3">
      <c r="A235" s="379" t="s">
        <v>411</v>
      </c>
      <c r="B235" s="340" t="s">
        <v>40</v>
      </c>
      <c r="C235" s="503" t="s">
        <v>41</v>
      </c>
      <c r="D235" s="509"/>
      <c r="E235" s="101"/>
      <c r="F235" s="101"/>
      <c r="G235" s="101"/>
      <c r="H235" s="101"/>
      <c r="I235" s="379" t="str">
        <f>A235</f>
        <v>Optimal actuel - CELI</v>
      </c>
      <c r="J235" s="493" t="s">
        <v>40</v>
      </c>
      <c r="K235" s="494" t="s">
        <v>41</v>
      </c>
      <c r="L235" s="495"/>
      <c r="M235" s="101"/>
      <c r="N235" s="101"/>
      <c r="O235" s="101"/>
      <c r="P235" s="101"/>
      <c r="Q235" s="101"/>
      <c r="R235" s="101"/>
      <c r="S235" s="101"/>
      <c r="T235" s="101"/>
    </row>
    <row r="236" spans="1:20" x14ac:dyDescent="0.3">
      <c r="A236" s="510">
        <f>'Optimal actuel'!C27</f>
        <v>0</v>
      </c>
      <c r="B236" s="334">
        <f>A236-C236</f>
        <v>0</v>
      </c>
      <c r="C236" s="190">
        <f>IF('Optimisation retraite'!$B$4=1,0,IF(AND('Optimal actuel'!C15=0,'Optimal actuel'!B15=0),'Optimal actuel'!C25,IF(AND('Optimal actuel'!B15&gt;0,'Optimal actuel'!C26+'Optimal actuel'!B15/2&lt;Seuils!B6),'Optimal actuel'!C26+'Optimal actuel'!B15/2,IF(A236&gt;=$B$74*2,$B$74,IF(A236&gt;=$B$74+$B$75,A236-$B$74,IF(A236&gt;=$B$75*2,$B$75,IF(A236&gt;=$B$75+$B$76,A236-$B$75,IF(A236&gt;=$B$76*2,$B$76,IF(A236&gt;=$B$76+$B$77,A236-$B$76,IF(A236&gt;$B$77*2,($D$12+$C$15+$C$19+$C$23)/1.03,IF(A236&lt;$B$79*2,A236-$B$17,($D$12+$C$15+$C$19))))))))))))</f>
        <v>0</v>
      </c>
      <c r="D236" s="192"/>
      <c r="E236" s="101"/>
      <c r="F236" s="101"/>
      <c r="G236" s="101"/>
      <c r="H236" s="101"/>
      <c r="I236" s="496">
        <f>A236</f>
        <v>0</v>
      </c>
      <c r="J236" s="497">
        <f>I236-K236</f>
        <v>0</v>
      </c>
      <c r="K236" s="497">
        <f>IF(AND('Optimal actuel'!B4=2,'Optimal actuel'!B7&lt;65,'Optimal actuel'!C7&lt;65),'Optimal actuel'!C15+'Optimal actuel'!C17,IF('Optimisation retraite'!$B$4=1,0,IF(I236&gt;=$J$72*2,$J$72,IF(I236&gt;=$J$72+$J$73,$J$73,IF(I236&gt;=$J$72+$J$74,I236-$J$72,IF(I236&gt;=$J$74+$J$73,$J$74,IF(I236&gt;=$J$74*2,$J$74,IF(I236&gt;$J$74+$J$76,I236-$J$74,IF(I236-$J$79-$K$79&gt;=$J$75*2,$J$76,IF(I236&gt;$J$76*2,$J$76,IF(AND(I236&gt;$J$74,I236-$J$79-$K$79&lt;$J$75*2),I236-($J$75+J228),IF(I236&gt;=$J$76+$J$77*2,I236-$J$76,IF(I236&gt;=$J$76+$J$77,I236-$J$76,IF(I236&gt;=$J$77*2+K228,$J$77+K237,I236-($J$77+$J$130)))))))))))))))</f>
        <v>0</v>
      </c>
      <c r="L236" s="498"/>
      <c r="M236" s="101"/>
      <c r="N236" s="101"/>
      <c r="O236" s="101"/>
      <c r="P236" s="101"/>
      <c r="Q236" s="101"/>
      <c r="R236" s="101"/>
      <c r="S236" s="101"/>
      <c r="T236" s="101"/>
    </row>
    <row r="237" spans="1:20" x14ac:dyDescent="0.3">
      <c r="A237" s="496" t="s">
        <v>43</v>
      </c>
      <c r="B237" s="511">
        <f>B228</f>
        <v>0</v>
      </c>
      <c r="C237" s="190">
        <f>C228</f>
        <v>0</v>
      </c>
      <c r="D237" s="192"/>
      <c r="E237" s="101"/>
      <c r="F237" s="101"/>
      <c r="G237" s="101"/>
      <c r="H237" s="101"/>
      <c r="I237" s="496" t="s">
        <v>43</v>
      </c>
      <c r="J237" s="499">
        <f>J228</f>
        <v>0</v>
      </c>
      <c r="K237" s="497">
        <f>IF('Optimisation retraite'!B115=1,0,K228)</f>
        <v>0</v>
      </c>
      <c r="L237" s="498"/>
      <c r="M237" s="101"/>
      <c r="N237" s="101"/>
      <c r="O237" s="101"/>
      <c r="P237" s="101"/>
      <c r="Q237" s="101"/>
      <c r="R237" s="101"/>
      <c r="S237" s="101"/>
      <c r="T237" s="101"/>
    </row>
    <row r="238" spans="1:20" ht="15.6" x14ac:dyDescent="0.3">
      <c r="A238" s="360" t="s">
        <v>133</v>
      </c>
      <c r="B238" s="190">
        <f>B229</f>
        <v>0</v>
      </c>
      <c r="C238" s="190"/>
      <c r="D238" s="192"/>
      <c r="E238" s="101"/>
      <c r="F238" s="101"/>
      <c r="G238" s="101"/>
      <c r="H238" s="101"/>
      <c r="I238" s="496"/>
      <c r="J238" s="497">
        <f>B238</f>
        <v>0</v>
      </c>
      <c r="K238" s="497"/>
      <c r="L238" s="498"/>
      <c r="M238" s="101"/>
      <c r="N238" s="101"/>
      <c r="O238" s="101"/>
      <c r="P238" s="101"/>
      <c r="Q238" s="101"/>
      <c r="R238" s="101"/>
      <c r="S238" s="101"/>
      <c r="T238" s="101"/>
    </row>
    <row r="239" spans="1:20" x14ac:dyDescent="0.3">
      <c r="A239" s="505" t="s">
        <v>157</v>
      </c>
      <c r="B239" s="334">
        <f>IF(B236-B238&gt;$A$9,(B236-B238-$A$9)*$C$9+$D$9,IF(B236-B238&gt;$A$8,(B236-B238-$A$8)*$C$8+$D$8,IF(B236-B238&gt;$A$7,(B236-B238-$A$7)*$C$7+$D$7,B236*$C$6)))</f>
        <v>0</v>
      </c>
      <c r="C239" s="334">
        <f>IF('Optimisation retraite'!B115=1,0,IF(C236&gt;$A$8,(C236-$A$8)*$C$8+$D$8,IF(C236&gt;$A$7,(C236-$A$7)*$C$7+$D$7,C236*$C$6)))</f>
        <v>0</v>
      </c>
      <c r="D239" s="335">
        <f>B239+C239</f>
        <v>0</v>
      </c>
      <c r="E239" s="101"/>
      <c r="F239" s="101"/>
      <c r="G239" s="101"/>
      <c r="H239" s="101"/>
      <c r="I239" s="496" t="s">
        <v>157</v>
      </c>
      <c r="J239" s="497">
        <f>IF(J236-J238&gt;$I$9,(J236-J238-$I$9)*$K$9+$L$9,IF(J236-J238&gt;$I$8,(J236-J238-$I$8)*$K$8+$L$8,IF(J236-J238&gt;$I$7,(J236-J238-$I$7)*$K$7+$L$7,J236*$K$6)))</f>
        <v>0</v>
      </c>
      <c r="K239" s="497">
        <f>IF('Optimisation retraite'!B115=1,0,IF(K236&gt;$I$8,(K236-$I$8)*$K$8+$L$8,IF(K236&gt;$I$7,(K236-$I$7)*$K$7+$L$7,K236*$C$6)))</f>
        <v>0</v>
      </c>
      <c r="L239" s="498">
        <f>J239+K239</f>
        <v>0</v>
      </c>
      <c r="M239" s="101"/>
      <c r="N239" s="101"/>
      <c r="O239" s="101"/>
      <c r="P239" s="101"/>
      <c r="Q239" s="101"/>
      <c r="R239" s="101"/>
      <c r="S239" s="101"/>
      <c r="T239" s="101"/>
    </row>
    <row r="240" spans="1:20" x14ac:dyDescent="0.3">
      <c r="A240" s="505"/>
      <c r="B240" s="334"/>
      <c r="C240" s="334"/>
      <c r="D240" s="335"/>
      <c r="E240" s="101"/>
      <c r="F240" s="101"/>
      <c r="G240" s="101"/>
      <c r="H240" s="101"/>
      <c r="I240" s="496"/>
      <c r="J240" s="497"/>
      <c r="K240" s="497"/>
      <c r="L240" s="498"/>
      <c r="M240" s="101"/>
      <c r="N240" s="101"/>
      <c r="O240" s="101"/>
      <c r="P240" s="101"/>
      <c r="Q240" s="101"/>
      <c r="R240" s="101"/>
      <c r="S240" s="101"/>
      <c r="T240" s="101"/>
    </row>
    <row r="241" spans="1:20" ht="15" thickBot="1" x14ac:dyDescent="0.35">
      <c r="A241" s="505" t="s">
        <v>158</v>
      </c>
      <c r="B241" s="334">
        <f>IF('Optimal actuel'!B7&lt;65,0,IF(B236&gt;$D$17,0,IF(B236&lt;$D$16,$D$15,$D$15-(B236-$D$16)*15%)))</f>
        <v>7713</v>
      </c>
      <c r="C241" s="334">
        <f>IF('Optimal actuel'!C7&lt;65,0,IF('Optimal &lt; 65'!$B$4=1,0,IF(C236&gt;$D$17,0,IF(C236&lt;$D$16,$D$15,$D$15-(C236-$D$16)*15%))))</f>
        <v>0</v>
      </c>
      <c r="D241" s="335">
        <f>B241+C241</f>
        <v>7713</v>
      </c>
      <c r="E241" s="101">
        <f>D205-D241</f>
        <v>-7713</v>
      </c>
      <c r="F241" s="101"/>
      <c r="G241" s="101"/>
      <c r="H241" s="101"/>
      <c r="I241" s="500" t="s">
        <v>35</v>
      </c>
      <c r="J241" s="341">
        <f>IF(J236-J237&gt;$I$49,$L$49,IF(J236-J237&gt;$I$48,(J236-J237-$I$48)*$K$48+$L$48,IF(J236-J237&lt;$I$46,0,IF(J236-J237&lt;$I$47,(J236-J237-$I$46)*$K$46,150))))</f>
        <v>0</v>
      </c>
      <c r="K241" s="501">
        <f>IF('Optimisation retraite'!$B$4=1,0,IF(K236-K237&gt;$I$49,$L$49,IF(K236-K237&gt;$I$48,(K236-K237-$I$48)*$K$48+$L$48,IF(K236-K237&lt;=$I$46,0,IF(K236-K237&lt;$I$47,(K236-K237-$I$46)*$K$46,150)))))</f>
        <v>0</v>
      </c>
      <c r="L241" s="508">
        <f>J241+K241</f>
        <v>0</v>
      </c>
      <c r="M241" s="101"/>
      <c r="N241" s="101"/>
      <c r="O241" s="101"/>
      <c r="P241" s="101"/>
      <c r="Q241" s="101"/>
      <c r="R241" s="101"/>
      <c r="S241" s="101"/>
      <c r="T241" s="101"/>
    </row>
    <row r="242" spans="1:20" ht="15" thickBot="1" x14ac:dyDescent="0.35">
      <c r="A242" s="507" t="s">
        <v>159</v>
      </c>
      <c r="B242" s="197"/>
      <c r="C242" s="341">
        <f>IF(AND($J$14=2,$C$23&lt;C236*3%),0,IF(AND($J$14=2,C236*3%&gt;$E$32),$C$32-$E$32,IF(AND($J$14=2,C236&lt;$B$26),$C$23-(B227*3%),IF($J$14=2,$C$23-(C236*3%),IF(AND($J$14=1,('Optimal &lt; 65'!$E$37+'Optimal &lt; 65'!$D$34)*3%&gt;$E$32,$D$32&gt;$E$32),$C$32-$E$32,IF(AND($J$14=1,$D$23&lt;('Optimal &lt; 65'!$E$37+'Optimal &lt; 65'!$D$34)*3%),0,IF(('Optimal &lt; 65'!$E$37+'Optimal &lt; 65'!$D$34)*3%&gt;Seuils!$C$23,0,Seuils!$C$23-('Optimal &lt; 65'!$C$28+'Optimal &lt; 65'!$B$25+'Optimal &lt; 65'!$C$25)*3%)))))))</f>
        <v>1642</v>
      </c>
      <c r="D242" s="512"/>
      <c r="E242">
        <f>E241*$C$6</f>
        <v>-1156.95</v>
      </c>
      <c r="F242">
        <f>IF(AND('Optimal &lt; 65'!$B$4=1,'Optimal &lt; 65'!$E$28&lt;Seuils!$B$6),Seuils!E242/(1-Seuils!$C$6),IF(AND('Optimal &lt; 65'!$B$4=1,'Optimal &lt; 65'!$E$28&lt;Seuils!$B$7),Seuils!E242/(1-Seuils!$C$7),IF(AND('Optimal &lt; 65'!$B$4=1,'Optimal &lt; 65'!$E$28&lt;Seuils!$B$8),Seuils!E242/(1-Seuils!$C$8),IF(AND('Optimal &lt; 65'!$B$4=1,'Optimal &lt; 65'!$E$28&gt;Seuils!$A$10),Seuils!E242/(1-Seuils!$C$10),IF('Optimal &lt; 65'!$B$4=1,Seuils!E242/(1-Seuils!$C$9),0)))))</f>
        <v>-1361.1176470588236</v>
      </c>
      <c r="G242" s="101"/>
      <c r="H242" s="101"/>
      <c r="I242" s="101"/>
      <c r="J242" s="101"/>
      <c r="K242" s="101"/>
      <c r="L242" s="101"/>
      <c r="M242" s="101"/>
      <c r="N242" s="101"/>
      <c r="O242" s="101"/>
      <c r="P242" s="101"/>
      <c r="Q242" s="101"/>
      <c r="R242" s="101"/>
      <c r="S242" s="101"/>
      <c r="T242" s="101"/>
    </row>
    <row r="243" spans="1:20" x14ac:dyDescent="0.3">
      <c r="A243" s="529"/>
      <c r="B243" s="302"/>
      <c r="C243" s="529"/>
      <c r="D243" s="302"/>
      <c r="G243" s="101"/>
      <c r="H243" s="101"/>
      <c r="I243" s="101"/>
      <c r="J243" s="101"/>
      <c r="K243" s="101"/>
      <c r="L243" s="101"/>
      <c r="M243" s="101"/>
      <c r="N243" s="101"/>
      <c r="O243" s="101"/>
      <c r="P243" s="101"/>
      <c r="Q243" s="101"/>
      <c r="R243" s="101"/>
      <c r="S243" s="101"/>
      <c r="T243" s="101"/>
    </row>
    <row r="244" spans="1:20" x14ac:dyDescent="0.3">
      <c r="A244" s="529"/>
      <c r="B244" s="302"/>
      <c r="C244" s="529"/>
      <c r="D244" s="302"/>
      <c r="G244" s="101"/>
      <c r="H244" s="101"/>
      <c r="I244" s="101"/>
      <c r="J244" s="101"/>
      <c r="K244" s="101"/>
      <c r="L244" s="101"/>
      <c r="M244" s="101"/>
      <c r="N244" s="101"/>
      <c r="O244" s="101"/>
      <c r="P244" s="101"/>
      <c r="Q244" s="101"/>
      <c r="R244" s="101"/>
      <c r="S244" s="101"/>
      <c r="T244" s="101"/>
    </row>
    <row r="245" spans="1:20" x14ac:dyDescent="0.3">
      <c r="A245" s="529"/>
      <c r="B245" s="302"/>
      <c r="C245" s="529"/>
      <c r="D245" s="302"/>
      <c r="G245" s="101"/>
      <c r="H245" s="101"/>
      <c r="I245" s="101"/>
      <c r="J245" s="101"/>
      <c r="K245" s="101"/>
      <c r="L245" s="101"/>
      <c r="M245" s="101"/>
      <c r="N245" s="101"/>
      <c r="O245" s="101"/>
      <c r="P245" s="101"/>
      <c r="Q245" s="101"/>
      <c r="R245" s="101"/>
      <c r="S245" s="101"/>
      <c r="T245" s="101"/>
    </row>
    <row r="246" spans="1:20" x14ac:dyDescent="0.3">
      <c r="A246" s="529"/>
      <c r="B246" s="302"/>
      <c r="C246" s="529"/>
      <c r="D246" s="302"/>
      <c r="G246" s="101"/>
      <c r="H246" s="101"/>
      <c r="I246" s="101"/>
      <c r="J246" s="101"/>
      <c r="K246" s="101"/>
      <c r="L246" s="101"/>
      <c r="M246" s="101"/>
      <c r="N246" s="101"/>
      <c r="O246" s="101"/>
      <c r="P246" s="101"/>
      <c r="Q246" s="101"/>
      <c r="R246" s="101"/>
      <c r="S246" s="101"/>
      <c r="T246" s="101"/>
    </row>
    <row r="247" spans="1:20" x14ac:dyDescent="0.3">
      <c r="A247" s="529"/>
      <c r="B247" s="302"/>
      <c r="C247" s="529"/>
      <c r="D247" s="302"/>
      <c r="G247" s="101"/>
      <c r="H247" s="101"/>
      <c r="I247" s="101"/>
      <c r="J247" s="101"/>
      <c r="K247" s="101"/>
      <c r="L247" s="101"/>
      <c r="M247" s="101"/>
      <c r="N247" s="101"/>
      <c r="O247" s="101"/>
      <c r="P247" s="101"/>
      <c r="Q247" s="101"/>
      <c r="R247" s="101"/>
      <c r="S247" s="101"/>
      <c r="T247" s="101"/>
    </row>
    <row r="248" spans="1:20" x14ac:dyDescent="0.3">
      <c r="A248" s="529"/>
      <c r="B248" s="302"/>
      <c r="C248" s="529"/>
      <c r="D248" s="302"/>
      <c r="G248" s="101"/>
      <c r="H248" s="101"/>
      <c r="I248" s="101"/>
      <c r="J248" s="101"/>
      <c r="K248" s="101"/>
      <c r="L248" s="101"/>
      <c r="M248" s="101"/>
      <c r="N248" s="101"/>
      <c r="O248" s="101"/>
      <c r="P248" s="101"/>
      <c r="Q248" s="101"/>
      <c r="R248" s="101"/>
      <c r="S248" s="101"/>
      <c r="T248" s="101"/>
    </row>
    <row r="249" spans="1:20" x14ac:dyDescent="0.3">
      <c r="A249" s="529"/>
      <c r="B249" s="302"/>
      <c r="C249" s="529"/>
      <c r="D249" s="302"/>
      <c r="G249" s="101"/>
      <c r="H249" s="101"/>
      <c r="I249" s="101"/>
      <c r="J249" s="101"/>
      <c r="K249" s="101"/>
      <c r="L249" s="101"/>
      <c r="M249" s="101"/>
      <c r="N249" s="101"/>
      <c r="O249" s="101"/>
      <c r="P249" s="101"/>
      <c r="Q249" s="101"/>
      <c r="R249" s="101"/>
      <c r="S249" s="101"/>
      <c r="T249" s="101"/>
    </row>
    <row r="250" spans="1:20" x14ac:dyDescent="0.3">
      <c r="A250" s="529"/>
      <c r="B250" s="302"/>
      <c r="C250" s="529"/>
      <c r="D250" s="302"/>
      <c r="G250" s="101"/>
      <c r="H250" s="101"/>
      <c r="I250" s="101"/>
      <c r="J250" s="101"/>
      <c r="K250" s="101"/>
      <c r="L250" s="101"/>
      <c r="M250" s="101"/>
      <c r="N250" s="101"/>
      <c r="O250" s="101"/>
      <c r="P250" s="101"/>
      <c r="Q250" s="101"/>
      <c r="R250" s="101"/>
      <c r="S250" s="101"/>
      <c r="T250" s="101"/>
    </row>
    <row r="251" spans="1:20" x14ac:dyDescent="0.3">
      <c r="A251" s="529"/>
      <c r="B251" s="302"/>
      <c r="C251" s="529"/>
      <c r="D251" s="302"/>
      <c r="G251" s="101"/>
      <c r="H251" s="101"/>
      <c r="I251" s="101"/>
      <c r="J251" s="101"/>
      <c r="K251" s="101"/>
      <c r="L251" s="101"/>
      <c r="M251" s="101"/>
      <c r="N251" s="101"/>
      <c r="O251" s="101"/>
      <c r="P251" s="101"/>
      <c r="Q251" s="101"/>
      <c r="R251" s="101"/>
      <c r="S251" s="101"/>
      <c r="T251" s="101"/>
    </row>
    <row r="252" spans="1:20" x14ac:dyDescent="0.3">
      <c r="A252" s="529"/>
      <c r="B252" s="302"/>
      <c r="C252" s="529"/>
      <c r="D252" s="302"/>
      <c r="G252" s="101"/>
      <c r="H252" s="101"/>
      <c r="I252" s="101"/>
      <c r="J252" s="101"/>
      <c r="K252" s="101"/>
      <c r="L252" s="101"/>
      <c r="M252" s="101"/>
      <c r="N252" s="101"/>
      <c r="O252" s="101"/>
      <c r="P252" s="101"/>
      <c r="Q252" s="101"/>
      <c r="R252" s="101"/>
      <c r="S252" s="101"/>
      <c r="T252" s="101"/>
    </row>
    <row r="253" spans="1:20" x14ac:dyDescent="0.3">
      <c r="A253" s="529"/>
      <c r="B253" s="302"/>
      <c r="C253" s="529"/>
      <c r="D253" s="302"/>
      <c r="G253" s="101"/>
      <c r="H253" s="101"/>
      <c r="I253" s="101"/>
      <c r="J253" s="101"/>
      <c r="K253" s="101"/>
      <c r="L253" s="101"/>
      <c r="M253" s="101"/>
      <c r="N253" s="101"/>
      <c r="O253" s="101"/>
      <c r="P253" s="101"/>
      <c r="Q253" s="101"/>
      <c r="R253" s="101"/>
      <c r="S253" s="101"/>
      <c r="T253" s="101"/>
    </row>
    <row r="254" spans="1:20" x14ac:dyDescent="0.3">
      <c r="A254" s="529"/>
      <c r="B254" s="302"/>
      <c r="C254" s="529"/>
      <c r="D254" s="302"/>
      <c r="G254" s="101"/>
      <c r="H254" s="101"/>
      <c r="I254" s="101"/>
      <c r="J254" s="101"/>
      <c r="K254" s="101"/>
      <c r="L254" s="101"/>
      <c r="M254" s="101"/>
      <c r="N254" s="101"/>
      <c r="O254" s="101"/>
      <c r="P254" s="101"/>
      <c r="Q254" s="101"/>
      <c r="R254" s="101"/>
      <c r="S254" s="101"/>
      <c r="T254" s="101"/>
    </row>
    <row r="255" spans="1:20" x14ac:dyDescent="0.3">
      <c r="A255" s="529"/>
      <c r="B255" s="302"/>
      <c r="C255" s="529"/>
      <c r="D255" s="302"/>
      <c r="G255" s="101"/>
      <c r="H255" s="101"/>
      <c r="I255" s="101"/>
      <c r="J255" s="101"/>
      <c r="K255" s="101"/>
      <c r="L255" s="101"/>
      <c r="M255" s="101"/>
      <c r="N255" s="101"/>
      <c r="O255" s="101"/>
      <c r="P255" s="101"/>
      <c r="Q255" s="101"/>
      <c r="R255" s="101"/>
      <c r="S255" s="101"/>
      <c r="T255" s="101"/>
    </row>
    <row r="256" spans="1:20" x14ac:dyDescent="0.3">
      <c r="A256" s="529"/>
      <c r="B256" s="302"/>
      <c r="C256" s="529"/>
      <c r="D256" s="302"/>
      <c r="G256" s="101"/>
      <c r="H256" s="101"/>
      <c r="I256" s="101"/>
      <c r="J256" s="101"/>
      <c r="K256" s="101"/>
      <c r="L256" s="101"/>
      <c r="M256" s="101"/>
      <c r="N256" s="101"/>
      <c r="O256" s="101"/>
      <c r="P256" s="101"/>
      <c r="Q256" s="101"/>
      <c r="R256" s="101"/>
      <c r="S256" s="101"/>
      <c r="T256" s="101"/>
    </row>
    <row r="257" spans="1:20" x14ac:dyDescent="0.3">
      <c r="A257" s="529"/>
      <c r="B257" s="302"/>
      <c r="C257" s="529"/>
      <c r="D257" s="302"/>
      <c r="G257" s="101"/>
      <c r="H257" s="101"/>
      <c r="I257" s="101"/>
      <c r="J257" s="101"/>
      <c r="K257" s="101"/>
      <c r="L257" s="101"/>
      <c r="M257" s="101"/>
      <c r="N257" s="101"/>
      <c r="O257" s="101"/>
      <c r="P257" s="101"/>
      <c r="Q257" s="101"/>
      <c r="R257" s="101"/>
      <c r="S257" s="101"/>
      <c r="T257" s="101"/>
    </row>
    <row r="258" spans="1:20" x14ac:dyDescent="0.3">
      <c r="A258" s="529"/>
      <c r="B258" s="302"/>
      <c r="C258" s="529"/>
      <c r="D258" s="302"/>
      <c r="G258" s="101"/>
      <c r="H258" s="101"/>
      <c r="I258" s="101"/>
      <c r="J258" s="101"/>
      <c r="K258" s="101"/>
      <c r="L258" s="101"/>
      <c r="M258" s="101"/>
      <c r="N258" s="101"/>
      <c r="O258" s="101"/>
      <c r="P258" s="101"/>
      <c r="Q258" s="101"/>
      <c r="R258" s="101"/>
      <c r="S258" s="101"/>
      <c r="T258" s="101"/>
    </row>
    <row r="259" spans="1:20" x14ac:dyDescent="0.3">
      <c r="A259" s="529"/>
      <c r="B259" s="302"/>
      <c r="C259" s="529"/>
      <c r="D259" s="302"/>
      <c r="G259" s="101"/>
      <c r="H259" s="101"/>
      <c r="I259" s="101"/>
      <c r="J259" s="101"/>
      <c r="K259" s="101"/>
      <c r="L259" s="101"/>
      <c r="M259" s="101"/>
      <c r="N259" s="101"/>
      <c r="O259" s="101"/>
      <c r="P259" s="101"/>
      <c r="Q259" s="101"/>
      <c r="R259" s="101"/>
      <c r="S259" s="101"/>
      <c r="T259" s="101"/>
    </row>
    <row r="260" spans="1:20" x14ac:dyDescent="0.3">
      <c r="A260" s="529"/>
      <c r="B260" s="302"/>
      <c r="C260" s="529"/>
      <c r="D260" s="302"/>
      <c r="G260" s="101"/>
      <c r="H260" s="101"/>
      <c r="I260" s="101"/>
      <c r="J260" s="101"/>
      <c r="K260" s="101"/>
      <c r="L260" s="101"/>
      <c r="M260" s="101"/>
      <c r="N260" s="101"/>
      <c r="O260" s="101"/>
      <c r="P260" s="101"/>
      <c r="Q260" s="101"/>
      <c r="R260" s="101"/>
      <c r="S260" s="101"/>
      <c r="T260" s="101"/>
    </row>
    <row r="261" spans="1:20" x14ac:dyDescent="0.3">
      <c r="A261" s="529"/>
      <c r="B261" s="302"/>
      <c r="C261" s="529"/>
      <c r="D261" s="302"/>
      <c r="G261" s="101"/>
      <c r="H261" s="101"/>
      <c r="I261" s="101"/>
      <c r="J261" s="101"/>
      <c r="K261" s="101"/>
      <c r="L261" s="101"/>
      <c r="M261" s="101"/>
      <c r="N261" s="101"/>
      <c r="O261" s="101"/>
      <c r="P261" s="101"/>
      <c r="Q261" s="101"/>
      <c r="R261" s="101"/>
      <c r="S261" s="101"/>
      <c r="T261" s="101"/>
    </row>
    <row r="262" spans="1:20" x14ac:dyDescent="0.3">
      <c r="A262" s="529"/>
      <c r="B262" s="302"/>
      <c r="C262" s="529"/>
      <c r="D262" s="302"/>
      <c r="G262" s="101"/>
      <c r="H262" s="101"/>
      <c r="I262" s="101"/>
      <c r="J262" s="101"/>
      <c r="K262" s="101"/>
      <c r="L262" s="101"/>
      <c r="M262" s="101"/>
      <c r="N262" s="101"/>
      <c r="O262" s="101"/>
      <c r="P262" s="101"/>
      <c r="Q262" s="101"/>
      <c r="R262" s="101"/>
      <c r="S262" s="101"/>
      <c r="T262" s="101"/>
    </row>
    <row r="263" spans="1:20" x14ac:dyDescent="0.3">
      <c r="A263" s="529"/>
      <c r="B263" s="302"/>
      <c r="C263" s="529"/>
      <c r="D263" s="302"/>
      <c r="G263" s="101"/>
      <c r="H263" s="101"/>
      <c r="I263" s="101"/>
      <c r="J263" s="101"/>
      <c r="K263" s="101"/>
      <c r="L263" s="101"/>
      <c r="M263" s="101"/>
      <c r="N263" s="101"/>
      <c r="O263" s="101"/>
      <c r="P263" s="101"/>
      <c r="Q263" s="101"/>
      <c r="R263" s="101"/>
      <c r="S263" s="101"/>
      <c r="T263" s="101"/>
    </row>
    <row r="264" spans="1:20" x14ac:dyDescent="0.3">
      <c r="A264" s="529"/>
      <c r="B264" s="302"/>
      <c r="C264" s="529"/>
      <c r="D264" s="302"/>
      <c r="G264" s="101"/>
      <c r="H264" s="101"/>
      <c r="I264" s="101"/>
      <c r="J264" s="101"/>
      <c r="K264" s="101"/>
      <c r="L264" s="101"/>
      <c r="M264" s="101"/>
      <c r="N264" s="101"/>
      <c r="O264" s="101"/>
      <c r="P264" s="101"/>
      <c r="Q264" s="101"/>
      <c r="R264" s="101"/>
      <c r="S264" s="101"/>
      <c r="T264" s="101"/>
    </row>
    <row r="265" spans="1:20" x14ac:dyDescent="0.3">
      <c r="A265" s="529"/>
      <c r="B265" s="302"/>
      <c r="C265" s="529"/>
      <c r="D265" s="302"/>
      <c r="G265" s="101"/>
      <c r="H265" s="101"/>
      <c r="I265" s="101"/>
      <c r="J265" s="101"/>
      <c r="K265" s="101"/>
      <c r="L265" s="101"/>
      <c r="M265" s="101"/>
      <c r="N265" s="101"/>
      <c r="O265" s="101"/>
      <c r="P265" s="101"/>
      <c r="Q265" s="101"/>
      <c r="R265" s="101"/>
      <c r="S265" s="101"/>
      <c r="T265" s="101"/>
    </row>
    <row r="266" spans="1:20" x14ac:dyDescent="0.3">
      <c r="A266" s="529"/>
      <c r="B266" s="302"/>
      <c r="C266" s="529"/>
      <c r="D266" s="302"/>
      <c r="G266" s="101"/>
      <c r="H266" s="101"/>
      <c r="I266" s="101"/>
      <c r="J266" s="101"/>
      <c r="K266" s="101"/>
      <c r="L266" s="101"/>
      <c r="M266" s="101"/>
      <c r="N266" s="101"/>
      <c r="O266" s="101"/>
      <c r="P266" s="101"/>
      <c r="Q266" s="101"/>
      <c r="R266" s="101"/>
      <c r="S266" s="101"/>
      <c r="T266" s="101"/>
    </row>
    <row r="267" spans="1:20" x14ac:dyDescent="0.3">
      <c r="B267" s="101"/>
      <c r="C267" s="101"/>
      <c r="D267" s="101"/>
      <c r="E267" s="101"/>
      <c r="F267" s="101"/>
      <c r="G267" s="101"/>
      <c r="H267" s="101"/>
      <c r="I267" s="101"/>
      <c r="J267" s="101"/>
      <c r="K267" s="101"/>
      <c r="L267" s="101"/>
      <c r="M267" s="101"/>
      <c r="N267" s="101"/>
      <c r="O267" s="101"/>
      <c r="P267" s="101"/>
      <c r="Q267" s="101"/>
      <c r="R267" s="101"/>
      <c r="S267" s="101"/>
      <c r="T267" s="101"/>
    </row>
    <row r="268" spans="1:20" x14ac:dyDescent="0.3">
      <c r="A268" s="101" t="s">
        <v>176</v>
      </c>
      <c r="B268" s="101" t="s">
        <v>109</v>
      </c>
      <c r="C268" s="101" t="s">
        <v>20</v>
      </c>
      <c r="D268" s="101"/>
      <c r="E268" s="101"/>
      <c r="F268" s="101"/>
      <c r="G268" s="101"/>
      <c r="H268" s="101"/>
      <c r="I268" s="255" t="s">
        <v>108</v>
      </c>
      <c r="J268" s="247" t="s">
        <v>109</v>
      </c>
      <c r="K268" s="247" t="s">
        <v>20</v>
      </c>
      <c r="L268" s="248"/>
      <c r="M268" s="248"/>
      <c r="N268" s="101"/>
      <c r="O268" s="101"/>
      <c r="P268" s="101"/>
      <c r="Q268" s="101"/>
      <c r="R268" s="101"/>
      <c r="S268" s="101"/>
      <c r="T268" s="101"/>
    </row>
    <row r="269" spans="1:20" x14ac:dyDescent="0.3">
      <c r="A269" s="101" t="s">
        <v>110</v>
      </c>
      <c r="B269" s="204">
        <v>2400</v>
      </c>
      <c r="C269" s="204">
        <v>3600</v>
      </c>
      <c r="D269" s="101">
        <f>IF('Optimisation retraite'!$B$4=1,Seuils!B269,Seuils!C269)</f>
        <v>2400</v>
      </c>
      <c r="E269" s="101"/>
      <c r="F269" s="101"/>
      <c r="G269" s="101"/>
      <c r="H269" s="101"/>
      <c r="I269" s="248" t="s">
        <v>110</v>
      </c>
      <c r="J269" s="249">
        <v>2400</v>
      </c>
      <c r="K269" s="249">
        <v>3600</v>
      </c>
      <c r="L269" s="248">
        <f>IF('Optimisation retraite'!$B$4=1,Seuils!J269,Seuils!K269)</f>
        <v>2400</v>
      </c>
      <c r="M269" s="248"/>
      <c r="N269" s="101"/>
      <c r="O269" s="101"/>
      <c r="P269" s="101"/>
      <c r="Q269" s="101"/>
      <c r="R269" s="101"/>
      <c r="S269" s="101"/>
      <c r="T269" s="101"/>
    </row>
    <row r="270" spans="1:20" x14ac:dyDescent="0.3">
      <c r="A270" s="101" t="s">
        <v>118</v>
      </c>
      <c r="B270" s="205">
        <v>0.20499999999999999</v>
      </c>
      <c r="C270" s="205">
        <v>0.20499999999999999</v>
      </c>
      <c r="D270" s="101">
        <f>IF('Optimisation retraite'!$B$4=1,Seuils!B270,Seuils!C270)</f>
        <v>0.20499999999999999</v>
      </c>
      <c r="E270" s="101"/>
      <c r="F270" s="101"/>
      <c r="G270" s="101"/>
      <c r="H270" s="101"/>
      <c r="I270" s="248" t="s">
        <v>111</v>
      </c>
      <c r="J270" s="250">
        <v>0.105</v>
      </c>
      <c r="K270" s="250">
        <v>0.105</v>
      </c>
      <c r="L270" s="248">
        <f>IF('Optimisation retraite'!$B$4=1,Seuils!J270,Seuils!K270)</f>
        <v>0.105</v>
      </c>
      <c r="M270" s="248"/>
      <c r="N270" s="101"/>
      <c r="O270" s="101"/>
      <c r="P270" s="101"/>
      <c r="Q270" s="101"/>
      <c r="R270" s="101"/>
      <c r="S270" s="101"/>
      <c r="T270" s="101"/>
    </row>
    <row r="271" spans="1:20" x14ac:dyDescent="0.3">
      <c r="A271" s="101" t="s">
        <v>111</v>
      </c>
      <c r="B271" s="205">
        <v>0.20499999999999999</v>
      </c>
      <c r="C271" s="205">
        <v>0.20499999999999999</v>
      </c>
      <c r="D271" s="101">
        <f>IF('Optimisation retraite'!$B$4=1,Seuils!B271,Seuils!C271)</f>
        <v>0.20499999999999999</v>
      </c>
      <c r="E271" s="101"/>
      <c r="F271" s="101"/>
      <c r="G271" s="101"/>
      <c r="H271" s="101"/>
      <c r="I271" s="248" t="s">
        <v>112</v>
      </c>
      <c r="J271" s="251">
        <f>(J274-J269)*J270</f>
        <v>873.6</v>
      </c>
      <c r="K271" s="251">
        <f>(K274-K269)*K270</f>
        <v>1363.32</v>
      </c>
      <c r="L271" s="248">
        <f>IF('Optimisation retraite'!$B$4=1,Seuils!J271,Seuils!K271)</f>
        <v>873.6</v>
      </c>
      <c r="M271" s="248"/>
      <c r="N271" s="101"/>
      <c r="O271" s="101"/>
      <c r="P271" s="101"/>
      <c r="Q271" s="101"/>
      <c r="R271" s="101"/>
      <c r="S271" s="101"/>
      <c r="T271" s="101"/>
    </row>
    <row r="272" spans="1:20" x14ac:dyDescent="0.3">
      <c r="A272" s="101" t="s">
        <v>112</v>
      </c>
      <c r="B272" s="207">
        <v>1675.67</v>
      </c>
      <c r="C272" s="207">
        <v>2614.98</v>
      </c>
      <c r="D272" s="101">
        <f>IF('Optimisation retraite'!$B$4=1,Seuils!B272,Seuils!C272)</f>
        <v>1675.67</v>
      </c>
      <c r="E272" s="101"/>
      <c r="F272" s="101"/>
      <c r="G272" s="101"/>
      <c r="H272" s="101"/>
      <c r="I272" s="248" t="s">
        <v>113</v>
      </c>
      <c r="J272" s="252">
        <f>IF($E$12&lt;J269,0,IF($E$12&lt;J274,($E$12-J269)*J270,J271))</f>
        <v>873.6</v>
      </c>
      <c r="K272" s="252">
        <f>IF($E$12&lt;K269,0,IF($E$12&lt;K274,($E$12-K269)*K270,K271))</f>
        <v>926.20499999999993</v>
      </c>
      <c r="L272" s="248">
        <f>IF('Optimisation retraite'!$B$4=1,Seuils!J272,Seuils!K272)</f>
        <v>873.6</v>
      </c>
      <c r="M272" s="248"/>
      <c r="N272" s="101"/>
      <c r="O272" s="101"/>
      <c r="P272" s="101"/>
      <c r="Q272" s="101"/>
      <c r="R272" s="101"/>
      <c r="S272" s="101"/>
      <c r="T272" s="101"/>
    </row>
    <row r="273" spans="1:20" x14ac:dyDescent="0.3">
      <c r="A273" s="101" t="s">
        <v>119</v>
      </c>
      <c r="B273" s="208">
        <f>(B269*B270+B272)/B270</f>
        <v>10574.000000000002</v>
      </c>
      <c r="C273" s="208">
        <f>(C269*C270+C272)/C270</f>
        <v>16356.000000000002</v>
      </c>
      <c r="D273" s="101">
        <f>IF('Optimisation retraite'!$B$4=1,Seuils!B273,Seuils!C273)</f>
        <v>10574.000000000002</v>
      </c>
      <c r="E273" s="101"/>
      <c r="F273" s="101"/>
      <c r="G273" s="101"/>
      <c r="H273" s="101"/>
      <c r="I273" s="248" t="s">
        <v>114</v>
      </c>
      <c r="J273" s="248"/>
      <c r="K273" s="248"/>
      <c r="L273" s="248"/>
      <c r="M273" s="248"/>
      <c r="N273" s="101"/>
      <c r="O273" s="101"/>
      <c r="P273" s="101"/>
      <c r="Q273" s="101"/>
      <c r="R273" s="101"/>
      <c r="S273" s="101"/>
      <c r="T273" s="101"/>
    </row>
    <row r="274" spans="1:20" x14ac:dyDescent="0.3">
      <c r="A274" s="101" t="s">
        <v>114</v>
      </c>
      <c r="B274" s="101"/>
      <c r="C274" s="101"/>
      <c r="D274" s="101"/>
      <c r="E274" s="101"/>
      <c r="F274" s="101"/>
      <c r="G274" s="101"/>
      <c r="H274" s="101"/>
      <c r="I274" s="248" t="s">
        <v>115</v>
      </c>
      <c r="J274" s="253">
        <v>10720</v>
      </c>
      <c r="K274" s="253">
        <v>16584</v>
      </c>
      <c r="L274" s="248">
        <f>IF('Optimisation retraite'!$B$4=1,Seuils!J274,Seuils!K274)</f>
        <v>10720</v>
      </c>
      <c r="M274" s="248"/>
      <c r="N274" s="101"/>
      <c r="O274" s="101"/>
      <c r="P274" s="101"/>
      <c r="Q274" s="101"/>
      <c r="R274" s="101"/>
      <c r="S274" s="101"/>
      <c r="T274" s="101"/>
    </row>
    <row r="275" spans="1:20" x14ac:dyDescent="0.3">
      <c r="A275" s="101" t="s">
        <v>115</v>
      </c>
      <c r="B275" s="210">
        <v>12048.62</v>
      </c>
      <c r="C275" s="210">
        <v>18509.599999999999</v>
      </c>
      <c r="D275" s="101">
        <f>IF('Optimisation retraite'!$B$4=1,Seuils!B275,Seuils!C275)</f>
        <v>12048.62</v>
      </c>
      <c r="E275" s="101"/>
      <c r="F275" s="101"/>
      <c r="G275" s="101"/>
      <c r="H275" s="101"/>
      <c r="I275" s="248" t="s">
        <v>116</v>
      </c>
      <c r="J275" s="254">
        <v>0.1</v>
      </c>
      <c r="K275" s="254">
        <v>0.1</v>
      </c>
      <c r="L275" s="248">
        <f>IF('Optimisation retraite'!B3=1,Seuils!J275,Seuils!K275)</f>
        <v>0.1</v>
      </c>
      <c r="M275" s="248"/>
      <c r="N275" s="101"/>
      <c r="O275" s="101"/>
      <c r="P275" s="101"/>
      <c r="Q275" s="101"/>
      <c r="R275" s="101"/>
      <c r="S275" s="101"/>
      <c r="T275" s="101"/>
    </row>
    <row r="276" spans="1:20" x14ac:dyDescent="0.3">
      <c r="A276" s="101" t="s">
        <v>116</v>
      </c>
      <c r="B276" s="211">
        <v>0.2</v>
      </c>
      <c r="C276" s="211">
        <v>0.2</v>
      </c>
      <c r="D276" s="101">
        <f>IF('Optimisation retraite'!$B$4=1,Seuils!B276,Seuils!C276)</f>
        <v>0.2</v>
      </c>
      <c r="E276" s="101"/>
      <c r="F276" s="101"/>
      <c r="G276" s="101"/>
      <c r="H276" s="101"/>
      <c r="I276" s="255" t="s">
        <v>117</v>
      </c>
      <c r="J276" s="249">
        <f>(J271+(J274*J275))/J275</f>
        <v>19455.999999999996</v>
      </c>
      <c r="K276" s="249">
        <f>(K271+(K274*K275))/K275</f>
        <v>30217.200000000001</v>
      </c>
      <c r="L276" s="248">
        <f>IF('Optimisation retraite'!$B$4=1,Seuils!J276,Seuils!K276)</f>
        <v>19455.999999999996</v>
      </c>
      <c r="M276" s="248"/>
      <c r="N276" s="101"/>
      <c r="O276" s="101"/>
      <c r="P276" s="101"/>
      <c r="Q276" s="101"/>
      <c r="R276" s="101"/>
      <c r="S276" s="101"/>
      <c r="T276" s="101"/>
    </row>
    <row r="277" spans="1:20" x14ac:dyDescent="0.3">
      <c r="A277" s="101" t="s">
        <v>120</v>
      </c>
      <c r="B277" s="204">
        <f>(B272+(B275*B271))/B271</f>
        <v>20222.620000000003</v>
      </c>
      <c r="C277" s="204">
        <f>(C272+(C275*C271))/C271</f>
        <v>31265.599999999999</v>
      </c>
      <c r="D277" s="101">
        <f>IF('Optimisation retraite'!$B$4=1,Seuils!B277,Seuils!C277)</f>
        <v>20222.620000000003</v>
      </c>
      <c r="E277" s="101"/>
      <c r="F277" s="101"/>
      <c r="G277" s="101"/>
      <c r="H277" s="101"/>
      <c r="I277" s="101"/>
      <c r="J277" s="101"/>
      <c r="K277" s="101"/>
      <c r="L277" s="101"/>
      <c r="M277" s="101"/>
      <c r="N277" s="101"/>
      <c r="O277" s="101"/>
      <c r="P277" s="101"/>
      <c r="Q277" s="101"/>
      <c r="R277" s="101"/>
      <c r="S277" s="101"/>
      <c r="T277" s="101"/>
    </row>
    <row r="278" spans="1:20" ht="15.6" x14ac:dyDescent="0.3">
      <c r="A278" s="101"/>
      <c r="B278" s="101"/>
      <c r="C278" s="101"/>
      <c r="D278" s="101"/>
      <c r="E278" s="101"/>
      <c r="F278" s="101"/>
      <c r="G278" s="101"/>
      <c r="H278" s="101"/>
      <c r="I278" s="202"/>
      <c r="J278" s="203"/>
      <c r="K278" s="203"/>
      <c r="L278" s="101"/>
      <c r="M278" s="101"/>
      <c r="N278" s="101"/>
      <c r="O278" s="101"/>
      <c r="P278" s="101"/>
      <c r="Q278" s="101"/>
      <c r="R278" s="101"/>
      <c r="S278" s="101"/>
      <c r="T278" s="101"/>
    </row>
    <row r="279" spans="1:20" x14ac:dyDescent="0.3">
      <c r="A279" s="101"/>
      <c r="B279" s="101"/>
      <c r="C279" s="101"/>
      <c r="D279" s="101"/>
      <c r="E279" s="101"/>
      <c r="F279" s="101"/>
      <c r="G279" s="101"/>
      <c r="H279" s="101"/>
      <c r="I279" s="101"/>
      <c r="J279" s="204"/>
      <c r="K279" s="204"/>
      <c r="L279" s="101"/>
      <c r="M279" s="101"/>
      <c r="N279" s="101"/>
      <c r="O279" s="101"/>
      <c r="P279" s="101"/>
      <c r="Q279" s="101"/>
      <c r="R279" s="101"/>
      <c r="S279" s="101"/>
      <c r="T279" s="101"/>
    </row>
    <row r="280" spans="1:20" x14ac:dyDescent="0.3">
      <c r="A280" s="101"/>
      <c r="B280" s="101"/>
      <c r="C280" s="101"/>
      <c r="D280" s="101"/>
      <c r="E280" s="101"/>
      <c r="F280" s="101"/>
      <c r="G280" s="101"/>
      <c r="H280" s="101"/>
      <c r="I280" s="101"/>
      <c r="J280" s="211"/>
      <c r="K280" s="211"/>
      <c r="L280" s="101"/>
      <c r="M280" s="101"/>
      <c r="N280" s="101"/>
      <c r="O280" s="101"/>
      <c r="P280" s="101"/>
      <c r="Q280" s="101"/>
      <c r="R280" s="101"/>
      <c r="S280" s="101"/>
      <c r="T280" s="101"/>
    </row>
    <row r="281" spans="1:20" x14ac:dyDescent="0.3">
      <c r="A281" s="101"/>
      <c r="B281" s="101"/>
      <c r="C281" s="101"/>
      <c r="D281" s="101"/>
      <c r="E281" s="101"/>
      <c r="F281" s="101"/>
      <c r="G281" s="101"/>
      <c r="H281" s="101"/>
      <c r="I281" s="101"/>
      <c r="J281" s="206"/>
      <c r="K281" s="206"/>
      <c r="L281" s="101"/>
      <c r="M281" s="101"/>
      <c r="N281" s="101"/>
      <c r="O281" s="101"/>
      <c r="P281" s="101"/>
      <c r="Q281" s="101"/>
      <c r="R281" s="101"/>
      <c r="S281" s="101"/>
      <c r="T281" s="101"/>
    </row>
    <row r="282" spans="1:20" x14ac:dyDescent="0.3">
      <c r="A282" s="101"/>
      <c r="B282" s="101"/>
      <c r="C282" s="101"/>
      <c r="D282" s="101"/>
      <c r="E282" s="101"/>
      <c r="F282" s="101"/>
      <c r="G282" s="101"/>
      <c r="H282" s="101"/>
      <c r="I282" s="101"/>
      <c r="J282" s="208"/>
      <c r="K282" s="208"/>
      <c r="L282" s="101"/>
      <c r="M282" s="101"/>
      <c r="N282" s="101"/>
      <c r="O282" s="101"/>
      <c r="P282" s="101"/>
      <c r="Q282" s="101"/>
      <c r="R282" s="101"/>
      <c r="S282" s="101"/>
      <c r="T282" s="101"/>
    </row>
    <row r="283" spans="1:20" ht="21.6" x14ac:dyDescent="0.45">
      <c r="A283" s="212" t="s">
        <v>89</v>
      </c>
      <c r="B283" s="150"/>
      <c r="C283" s="150"/>
      <c r="D283" s="150"/>
      <c r="E283" s="150"/>
      <c r="F283" s="150"/>
      <c r="G283" s="150"/>
      <c r="H283" s="150"/>
      <c r="I283" s="101"/>
      <c r="J283" s="101"/>
      <c r="K283" s="101"/>
      <c r="L283" s="101"/>
      <c r="M283" s="101"/>
      <c r="N283" s="101"/>
      <c r="O283" s="101"/>
      <c r="P283" s="101"/>
      <c r="Q283" s="101"/>
      <c r="R283" s="101"/>
      <c r="S283" s="101"/>
      <c r="T283" s="101"/>
    </row>
    <row r="284" spans="1:20" ht="16.2" thickBot="1" x14ac:dyDescent="0.35">
      <c r="A284" s="150"/>
      <c r="B284" s="150"/>
      <c r="C284" s="150"/>
      <c r="D284" s="150"/>
      <c r="E284" s="150"/>
      <c r="F284" s="150"/>
      <c r="G284" s="150"/>
      <c r="H284" s="150"/>
      <c r="I284" s="101"/>
      <c r="J284" s="209"/>
      <c r="K284" s="209"/>
      <c r="L284" s="101"/>
      <c r="M284" s="101"/>
      <c r="N284" s="101"/>
      <c r="O284" s="101"/>
      <c r="P284" s="101"/>
      <c r="Q284" s="101"/>
      <c r="R284" s="101"/>
      <c r="S284" s="101"/>
      <c r="T284" s="101"/>
    </row>
    <row r="285" spans="1:20" ht="15.6" thickTop="1" x14ac:dyDescent="0.3">
      <c r="A285" s="213" t="s">
        <v>90</v>
      </c>
      <c r="B285" s="214">
        <v>20</v>
      </c>
      <c r="C285" s="214">
        <v>25</v>
      </c>
      <c r="D285" s="214">
        <v>30</v>
      </c>
      <c r="E285" s="214">
        <v>35</v>
      </c>
      <c r="F285" s="214">
        <v>40</v>
      </c>
      <c r="G285" s="214">
        <v>45</v>
      </c>
      <c r="H285" s="215">
        <v>50</v>
      </c>
      <c r="I285" s="101"/>
      <c r="J285" s="211"/>
      <c r="K285" s="211"/>
      <c r="L285" s="101"/>
      <c r="M285" s="101"/>
      <c r="N285" s="101"/>
      <c r="O285" s="101"/>
      <c r="P285" s="101"/>
      <c r="Q285" s="101"/>
      <c r="R285" s="101"/>
      <c r="S285" s="101"/>
      <c r="T285" s="101"/>
    </row>
    <row r="286" spans="1:20" ht="15.6" x14ac:dyDescent="0.3">
      <c r="A286" s="216" t="s">
        <v>91</v>
      </c>
      <c r="B286" s="217">
        <f>H293</f>
        <v>239792.035627565</v>
      </c>
      <c r="C286" s="218">
        <f>B286</f>
        <v>239792.035627565</v>
      </c>
      <c r="D286" s="218">
        <f>B286</f>
        <v>239792.035627565</v>
      </c>
      <c r="E286" s="218">
        <f>B286</f>
        <v>239792.035627565</v>
      </c>
      <c r="F286" s="218">
        <f>B286</f>
        <v>239792.035627565</v>
      </c>
      <c r="G286" s="218">
        <f>B286</f>
        <v>239792.035627565</v>
      </c>
      <c r="H286" s="219">
        <f>B286</f>
        <v>239792.035627565</v>
      </c>
      <c r="I286" s="201"/>
      <c r="J286" s="204"/>
      <c r="K286" s="204"/>
      <c r="L286" s="101"/>
      <c r="M286" s="101"/>
      <c r="N286" s="101"/>
      <c r="O286" s="101"/>
      <c r="P286" s="101"/>
      <c r="Q286" s="101"/>
      <c r="R286" s="101"/>
      <c r="S286" s="101"/>
      <c r="T286" s="101"/>
    </row>
    <row r="287" spans="1:20" ht="15.6" x14ac:dyDescent="0.3">
      <c r="A287" s="216" t="s">
        <v>175</v>
      </c>
      <c r="B287" s="220">
        <f t="shared" ref="B287:C287" si="7">PMT($B$291,65-B285,,-B286)</f>
        <v>1459.6581289737064</v>
      </c>
      <c r="C287" s="220">
        <f t="shared" si="7"/>
        <v>1937.1087534273029</v>
      </c>
      <c r="D287" s="220">
        <f>PMT($B$291,65-D285,,-D286)</f>
        <v>2600.3992346383211</v>
      </c>
      <c r="E287" s="220">
        <f>PMT($B$291,65-E285,,-E286)</f>
        <v>3547.6856591370079</v>
      </c>
      <c r="F287" s="220">
        <f t="shared" ref="F287:H287" si="8">PMT($B$291,65-F285,,-F286)</f>
        <v>4955.3632612040637</v>
      </c>
      <c r="G287" s="220">
        <f t="shared" si="8"/>
        <v>7175.6253501974606</v>
      </c>
      <c r="H287" s="220">
        <f t="shared" si="8"/>
        <v>11029.137296391424</v>
      </c>
      <c r="I287" s="101"/>
      <c r="J287" s="204"/>
      <c r="K287" s="204"/>
      <c r="L287" s="101"/>
      <c r="M287" s="101"/>
      <c r="N287" s="101"/>
      <c r="O287" s="101"/>
      <c r="P287" s="101"/>
      <c r="Q287" s="101"/>
      <c r="R287" s="101"/>
      <c r="S287" s="101"/>
      <c r="T287" s="101"/>
    </row>
    <row r="288" spans="1:20" ht="15.6" x14ac:dyDescent="0.3">
      <c r="A288" s="216" t="s">
        <v>92</v>
      </c>
      <c r="B288" s="221"/>
      <c r="C288" s="222">
        <f>C287/$B$287</f>
        <v>1.3270975682431163</v>
      </c>
      <c r="D288" s="222">
        <f t="shared" ref="D288:H288" si="9">D287/$B$287</f>
        <v>1.7815125220223149</v>
      </c>
      <c r="E288" s="222">
        <f t="shared" si="9"/>
        <v>2.4304908037825301</v>
      </c>
      <c r="F288" s="222">
        <f t="shared" si="9"/>
        <v>3.3948793644496789</v>
      </c>
      <c r="G288" s="222">
        <f t="shared" si="9"/>
        <v>4.9159629969263294</v>
      </c>
      <c r="H288" s="222">
        <f t="shared" si="9"/>
        <v>7.5559729209647672</v>
      </c>
      <c r="I288" s="150"/>
      <c r="J288" s="101"/>
      <c r="K288" s="101"/>
      <c r="L288" s="101"/>
      <c r="M288" s="101"/>
      <c r="N288" s="101"/>
      <c r="O288" s="101"/>
      <c r="P288" s="101"/>
      <c r="Q288" s="101"/>
      <c r="R288" s="101"/>
      <c r="S288" s="101"/>
      <c r="T288" s="101"/>
    </row>
    <row r="289" spans="1:21" ht="16.2" thickBot="1" x14ac:dyDescent="0.35">
      <c r="A289" s="223" t="s">
        <v>93</v>
      </c>
      <c r="B289" s="224">
        <f t="shared" ref="B289:H289" si="10">B287*(66-B285)</f>
        <v>67144.2739327905</v>
      </c>
      <c r="C289" s="224">
        <f t="shared" si="10"/>
        <v>79421.458890519425</v>
      </c>
      <c r="D289" s="224">
        <f t="shared" si="10"/>
        <v>93614.372446979556</v>
      </c>
      <c r="E289" s="224">
        <f t="shared" si="10"/>
        <v>109978.25543324725</v>
      </c>
      <c r="F289" s="224">
        <f t="shared" si="10"/>
        <v>128839.44479130566</v>
      </c>
      <c r="G289" s="224">
        <f t="shared" si="10"/>
        <v>150688.13235414668</v>
      </c>
      <c r="H289" s="225">
        <f t="shared" si="10"/>
        <v>176466.19674226278</v>
      </c>
      <c r="I289" s="150"/>
      <c r="J289" s="101"/>
      <c r="K289" s="101"/>
      <c r="L289" s="101"/>
      <c r="M289" s="101"/>
      <c r="N289" s="101"/>
      <c r="O289" s="101"/>
      <c r="P289" s="101"/>
      <c r="Q289" s="101"/>
      <c r="R289" s="101"/>
      <c r="S289" s="101"/>
      <c r="T289" s="101"/>
    </row>
    <row r="290" spans="1:21" ht="16.2" thickTop="1" x14ac:dyDescent="0.3">
      <c r="A290" s="150"/>
      <c r="B290" s="150"/>
      <c r="C290" s="150"/>
      <c r="D290" s="150"/>
      <c r="E290" s="150"/>
      <c r="F290" s="150"/>
      <c r="G290" s="150"/>
      <c r="H290" s="150"/>
      <c r="I290" s="150"/>
      <c r="J290" s="101" t="s">
        <v>184</v>
      </c>
      <c r="K290" s="101"/>
      <c r="L290" s="101"/>
      <c r="M290" s="101" t="s">
        <v>255</v>
      </c>
      <c r="N290" s="101" t="s">
        <v>361</v>
      </c>
      <c r="O290" s="101"/>
      <c r="P290" s="101"/>
      <c r="Q290" s="101"/>
      <c r="R290" s="101"/>
      <c r="S290" s="101"/>
      <c r="T290" s="101"/>
    </row>
    <row r="291" spans="1:21" ht="15.6" x14ac:dyDescent="0.3">
      <c r="A291" s="150" t="s">
        <v>94</v>
      </c>
      <c r="B291" s="226">
        <f>'Optimisation retraite'!B76</f>
        <v>5.0999999999999997E-2</v>
      </c>
      <c r="C291" s="150"/>
      <c r="D291" s="150"/>
      <c r="E291" s="150"/>
      <c r="F291" s="150"/>
      <c r="G291" s="150"/>
      <c r="H291" s="150"/>
      <c r="I291" s="307">
        <f>95-('Optimal &lt; 65'!H6+'Optimal &lt; 65'!H8)</f>
        <v>30</v>
      </c>
      <c r="J291" t="s">
        <v>84</v>
      </c>
      <c r="K291" t="s">
        <v>185</v>
      </c>
      <c r="L291" s="101" t="s">
        <v>186</v>
      </c>
      <c r="M291" s="101"/>
      <c r="N291" s="101"/>
      <c r="O291" s="101"/>
      <c r="P291" s="101"/>
      <c r="Q291" s="101"/>
      <c r="R291" s="101"/>
      <c r="S291" s="101"/>
      <c r="T291" s="101"/>
    </row>
    <row r="292" spans="1:21" ht="15.6" x14ac:dyDescent="0.3">
      <c r="A292" s="150">
        <v>19</v>
      </c>
      <c r="B292" s="150"/>
      <c r="C292" s="150"/>
      <c r="D292" s="150"/>
      <c r="E292" s="150"/>
      <c r="F292" s="150"/>
      <c r="G292" s="150"/>
      <c r="H292" s="150"/>
      <c r="I292" s="150">
        <f>IF(I291&lt;=25,H344*Seuils!I291/Seuils!I291,(H344*(Seuils!I291-25)+H344*25)/Seuils!I291)</f>
        <v>9927.0487290000056</v>
      </c>
      <c r="J292" s="261">
        <f>K292-L292</f>
        <v>0</v>
      </c>
      <c r="K292" s="261">
        <f>-FV(H296,H297,'Optimisation retraite'!B13+'Optimisation retraite'!C13)</f>
        <v>0</v>
      </c>
      <c r="L292" s="261">
        <f>-FV(H296,H297/2,'Optimisation retraite'!B13+'Optimisation retraite'!C13)</f>
        <v>0</v>
      </c>
      <c r="M292" s="261">
        <f>'Optimisation retraite'!B51+'Optimisation retraite'!B52+'Optimisation retraite'!B53</f>
        <v>6297.7</v>
      </c>
      <c r="N292" s="101">
        <f>IF(I291&lt;=25,'Optimal #1'!B74*Seuils!I291/Seuils!I291,('Optimal #1'!B57*(Seuils!I291-25)+'Optimal #1'!B74*25)/Seuils!I291)</f>
        <v>12308.336257033336</v>
      </c>
      <c r="O292" s="101"/>
      <c r="P292" s="101"/>
      <c r="Q292" s="101"/>
      <c r="R292" s="101"/>
      <c r="S292" s="101"/>
      <c r="T292" s="101"/>
    </row>
    <row r="293" spans="1:21" ht="15.6" x14ac:dyDescent="0.3">
      <c r="A293" s="150">
        <v>20</v>
      </c>
      <c r="B293" s="227">
        <f>B287</f>
        <v>1459.6581289737064</v>
      </c>
      <c r="C293" s="150"/>
      <c r="D293" s="150"/>
      <c r="E293" s="150"/>
      <c r="F293" s="150" t="s">
        <v>95</v>
      </c>
      <c r="G293" s="150"/>
      <c r="H293" s="209">
        <f>I293</f>
        <v>239792.035627565</v>
      </c>
      <c r="I293" s="228">
        <f>IF('Optimisation retraite'!B13+'Optimisation retraite'!C13=0,PV(H299,I291,-I292),PV(H299,I291,-H347))</f>
        <v>239792.035627565</v>
      </c>
      <c r="J293" s="261">
        <f>PV($H$296,$H$297,,-J292)</f>
        <v>0</v>
      </c>
      <c r="K293" s="261">
        <f>PV($H$296,$H$297,,-K292)</f>
        <v>0</v>
      </c>
      <c r="L293" s="261">
        <f>PV($H$296,$H$297,,-L292)</f>
        <v>0</v>
      </c>
      <c r="M293" s="261">
        <f>PV('Optimisation retraite'!B81,I291,-M292)</f>
        <v>152123.59120995662</v>
      </c>
      <c r="N293" s="150">
        <f>IF('Optimisation retraite'!B13+'Optimisation retraite'!C13=0,PV(H299,I291,-N292),PV(H299,I291,-F347))</f>
        <v>297313.03701980511</v>
      </c>
      <c r="O293" s="209">
        <f>'Optimisation retraite'!D80</f>
        <v>417029.62717837392</v>
      </c>
      <c r="Q293" s="101"/>
      <c r="R293" s="101"/>
      <c r="S293" s="101"/>
      <c r="T293" s="101"/>
    </row>
    <row r="294" spans="1:21" ht="15.6" x14ac:dyDescent="0.3">
      <c r="A294" s="229">
        <f>A293+1</f>
        <v>21</v>
      </c>
      <c r="B294" s="230">
        <f>FV($B$291,A294-$A$292,-$B$287,,0)</f>
        <v>2993.7588225250702</v>
      </c>
      <c r="C294" s="150"/>
      <c r="D294" s="150"/>
      <c r="E294" s="150"/>
      <c r="F294" s="150" t="s">
        <v>94</v>
      </c>
      <c r="G294" s="150"/>
      <c r="H294" s="155">
        <f>IF(' Épargne nécessaire'!C6&gt;2,' Épargne nécessaire'!E10,IF(' Épargne nécessaire'!C6=2,' Épargne nécessaire'!E9,' Épargne nécessaire'!E8))</f>
        <v>3.7420000000000002E-2</v>
      </c>
      <c r="I294" s="150"/>
      <c r="J294" s="261">
        <f>J293*(1-'Optimisation retraite'!C67)</f>
        <v>0</v>
      </c>
      <c r="K294" s="101"/>
      <c r="L294" s="101"/>
      <c r="M294" s="101"/>
      <c r="N294" s="150"/>
      <c r="O294" s="155">
        <v>3.7400000000000003E-2</v>
      </c>
      <c r="Q294" s="101" t="s">
        <v>394</v>
      </c>
      <c r="R294" s="101"/>
      <c r="S294" s="101"/>
      <c r="T294" s="101"/>
    </row>
    <row r="295" spans="1:21" ht="15.6" x14ac:dyDescent="0.3">
      <c r="A295" s="229">
        <f t="shared" ref="A295:A338" si="11">A294+1</f>
        <v>22</v>
      </c>
      <c r="B295" s="230">
        <f t="shared" ref="B295:B338" si="12">FV($B$291,A295-$A$292,-$B$287,,0)</f>
        <v>4606.0986514475562</v>
      </c>
      <c r="C295" s="150"/>
      <c r="D295" s="150"/>
      <c r="E295" s="150"/>
      <c r="F295" s="150" t="s">
        <v>96</v>
      </c>
      <c r="G295" s="150"/>
      <c r="H295" s="155">
        <f>0.53*H299+1/H297</f>
        <v>4.1675964582232577E-2</v>
      </c>
      <c r="I295" s="150">
        <f>I292</f>
        <v>9927.0487290000056</v>
      </c>
      <c r="J295" s="101"/>
      <c r="K295" s="101"/>
      <c r="L295" s="101" t="s">
        <v>382</v>
      </c>
      <c r="M295" s="101" t="s">
        <v>383</v>
      </c>
      <c r="N295" s="150"/>
      <c r="O295" s="155">
        <f>0.53*O299+1/O297</f>
        <v>4.1665597834066384E-2</v>
      </c>
      <c r="Q295" s="101" t="s">
        <v>395</v>
      </c>
      <c r="R295" s="101" t="s">
        <v>396</v>
      </c>
      <c r="S295" s="101" t="s">
        <v>484</v>
      </c>
      <c r="T295" s="101"/>
    </row>
    <row r="296" spans="1:21" ht="15.6" x14ac:dyDescent="0.3">
      <c r="A296" s="229">
        <f t="shared" si="11"/>
        <v>23</v>
      </c>
      <c r="B296" s="230">
        <f t="shared" si="12"/>
        <v>6300.6678116450885</v>
      </c>
      <c r="C296" s="150"/>
      <c r="D296" s="150"/>
      <c r="E296" s="150"/>
      <c r="F296" s="150" t="s">
        <v>97</v>
      </c>
      <c r="G296" s="150"/>
      <c r="H296" s="155">
        <f>' Épargne nécessaire'!G7</f>
        <v>2.2499999999999999E-2</v>
      </c>
      <c r="I296" s="150"/>
      <c r="J296" s="101"/>
      <c r="K296" s="101"/>
      <c r="L296" s="261">
        <f>IF(AND('Optimal &lt; 65'!B4=2,'Optimal &lt; 65'!H8&gt;65,'Optimal &lt; 65'!I7&lt;65,'Optimal &lt; 65'!D10+'Optimal &lt; 65'!D15&lt;Seuils!C29,'Optimal &lt; 65'!D10+'Optimal &lt; 65'!D15&gt;Seuils!C30),0,PV(H299,'Optimal &lt; 65'!I8,-'Optimal &lt; 65'!B56))</f>
        <v>0</v>
      </c>
      <c r="M296" s="261">
        <f>PV(H299,'55-60'!I8,-'55-60'!B57)</f>
        <v>0</v>
      </c>
      <c r="N296" s="150"/>
      <c r="O296" s="231">
        <v>2.2499999999999999E-2</v>
      </c>
      <c r="Q296" s="261">
        <f>PV(H299,'conj #1 60-65 &amp; # 2 60-65'!I8,-'conj #1 60-65 &amp; # 2 60-65'!B56)</f>
        <v>0</v>
      </c>
      <c r="R296" s="261">
        <f>PV(H299,'conj #1 60-65 &amp; # 2 55-60'!J8,-'conj #1 60-65 &amp; # 2 55-60'!B56)</f>
        <v>0</v>
      </c>
      <c r="S296" s="261">
        <f>IF(AND('2 X &lt; 60'!B4=2,'2 X &lt; 60'!I7&lt;55),PV(H299,'2 X &lt; 60'!J8,-'2 X &lt; 60'!B56),IF(AND('2 X &lt; 60'!B4=2,'2 X &lt; 60'!B6&gt;54,'2 X &lt; 60'!B6&lt;60,'2 X &lt; 60'!C6&gt;54,'2 X &lt; 60'!C6&lt;60),PV(H299,'2 X &lt; 60'!J8,-'2 X &lt; 60'!B56),0))</f>
        <v>0</v>
      </c>
      <c r="T296" s="101"/>
    </row>
    <row r="297" spans="1:21" ht="15.6" x14ac:dyDescent="0.3">
      <c r="A297" s="229">
        <f t="shared" si="11"/>
        <v>24</v>
      </c>
      <c r="B297" s="230">
        <f t="shared" si="12"/>
        <v>8081.6599990126915</v>
      </c>
      <c r="C297" s="150"/>
      <c r="D297" s="150"/>
      <c r="E297" s="150"/>
      <c r="F297" s="150" t="s">
        <v>98</v>
      </c>
      <c r="G297" s="150"/>
      <c r="H297" s="232">
        <f>'Optimisation retraite'!B83</f>
        <v>29.461701900493281</v>
      </c>
      <c r="I297" s="150"/>
      <c r="J297" s="101"/>
      <c r="K297" s="101"/>
      <c r="L297" s="261">
        <f>IF(AND('Optimal &lt; 65'!B4=2,'Optimal &lt; 65'!H8&gt;65,'Optimal &lt; 65'!I7&lt;65,'Optimal &lt; 65'!D10+'Optimal &lt; 65'!D15&lt;Seuils!C29,'Optimal &lt; 65'!D10+'Optimal &lt; 65'!D15&gt;Seuils!C30),0,PV(H299,'Optimal &lt; 65'!I8,-'Optimal &lt; 65'!D56))</f>
        <v>0</v>
      </c>
      <c r="M297" s="261">
        <f>PV(H299,'55-60'!I8,-'55-60'!D57)</f>
        <v>0</v>
      </c>
      <c r="N297" s="150"/>
      <c r="O297" s="232">
        <f>H297</f>
        <v>29.461701900493281</v>
      </c>
      <c r="Q297" s="261">
        <f>PV(H299,'conj #1 60-65 &amp; # 2 60-65'!I8,-'conj #1 60-65 &amp; # 2 60-65'!D56)</f>
        <v>0</v>
      </c>
      <c r="R297" s="261">
        <f>PV(H299,'conj #1 60-65 &amp; # 2 55-60'!J8,-'conj #1 60-65 &amp; # 2 55-60'!D56)</f>
        <v>0</v>
      </c>
      <c r="S297" s="261" t="b">
        <f>IF(AND('2 X &lt; 60'!B4=2,'2 X &lt; 60'!I7&lt;55),PV(H299,'2 X &lt; 60'!J8,-'2 X &lt; 60'!D56),IF(AND('2 X &lt; 60'!B4=2,'2 X &lt; 60'!B6&gt;54,'2 X &lt; 60'!B6&lt;60,'2 X &lt; 60'!C6&gt;54,'2 X &lt; 60'!C6&lt;60),PV(H299,'2 X &lt; 60'!J8,-'2 X &lt; 60'!D56)))</f>
        <v>0</v>
      </c>
      <c r="T297" s="101"/>
    </row>
    <row r="298" spans="1:21" ht="15.6" x14ac:dyDescent="0.3">
      <c r="A298" s="229">
        <f t="shared" si="11"/>
        <v>25</v>
      </c>
      <c r="B298" s="230">
        <f t="shared" si="12"/>
        <v>9953.4827879360455</v>
      </c>
      <c r="C298" s="227">
        <f>C287</f>
        <v>1937.1087534273029</v>
      </c>
      <c r="D298" s="150"/>
      <c r="E298" s="150"/>
      <c r="F298" s="150"/>
      <c r="G298" s="150"/>
      <c r="H298" s="233">
        <f>H293*H295</f>
        <v>9993.5643839158511</v>
      </c>
      <c r="I298" s="150"/>
      <c r="J298" s="101"/>
      <c r="K298" s="101"/>
      <c r="L298" s="261">
        <f>IF(OR('Optimisation retraite'!B13&gt;0,'Optimisation retraite'!C13&gt;0),PV(H299,I291,-J347),PV(H299,I291,-'Optimisation retraite'!D57))</f>
        <v>437171.80392194708</v>
      </c>
      <c r="M298" s="261"/>
      <c r="N298" s="228">
        <f>IF('Optimisation retraite'!B13+'Optimisation retraite'!C13=0,PV(H299,I291,-'Optimal #1'!D57),PV(H299,I291,-G347))</f>
        <v>549973.75243900937</v>
      </c>
      <c r="O298" s="233">
        <f>O293*O295</f>
        <v>17375.788730904769</v>
      </c>
      <c r="Q298" s="101"/>
      <c r="R298" s="101"/>
      <c r="S298" s="101"/>
      <c r="T298" s="101"/>
    </row>
    <row r="299" spans="1:21" ht="15.6" x14ac:dyDescent="0.3">
      <c r="A299" s="229">
        <f t="shared" si="11"/>
        <v>26</v>
      </c>
      <c r="B299" s="230">
        <f t="shared" si="12"/>
        <v>11920.76853909449</v>
      </c>
      <c r="C299" s="234">
        <f>FV($B$291,A294-$A$292,-$C$287,,0)</f>
        <v>3973.0100532793958</v>
      </c>
      <c r="D299" s="234"/>
      <c r="E299" s="150"/>
      <c r="F299" s="234" t="s">
        <v>99</v>
      </c>
      <c r="G299" s="150"/>
      <c r="H299" s="235">
        <f>((1+H294)/(1+H296))-1</f>
        <v>1.4591687041564771E-2</v>
      </c>
      <c r="I299" s="150"/>
      <c r="J299" s="101"/>
      <c r="K299" s="101"/>
      <c r="L299" s="101"/>
      <c r="M299" s="101"/>
      <c r="N299" s="234"/>
      <c r="O299" s="235">
        <f>((1+O294)/(1+O296))-1</f>
        <v>1.4572127139364399E-2</v>
      </c>
      <c r="Q299" s="101"/>
      <c r="R299" s="101"/>
      <c r="S299" s="101"/>
      <c r="T299" s="101"/>
    </row>
    <row r="300" spans="1:21" ht="15.6" x14ac:dyDescent="0.3">
      <c r="A300" s="229">
        <f t="shared" si="11"/>
        <v>27</v>
      </c>
      <c r="B300" s="230">
        <f t="shared" si="12"/>
        <v>13988.385863562016</v>
      </c>
      <c r="C300" s="234">
        <f t="shared" ref="C300:C338" si="13">FV($B$291,A295-$A$292,-$C$287,,0)</f>
        <v>6112.7423194239491</v>
      </c>
      <c r="D300" s="234"/>
      <c r="E300" s="150"/>
      <c r="F300" s="234"/>
      <c r="G300" s="150"/>
      <c r="H300" s="236">
        <f>NPER(H299,-H293*H295,H293,,1)</f>
        <v>29.217549860890859</v>
      </c>
      <c r="I300" s="150"/>
      <c r="J300" s="101"/>
      <c r="K300" s="101"/>
      <c r="L300" s="101"/>
      <c r="M300" s="101"/>
      <c r="N300" s="234"/>
      <c r="O300" s="236">
        <f>NPER(O299,-O293*O295,O293,,1)</f>
        <v>29.217424388550299</v>
      </c>
      <c r="Q300" s="101"/>
      <c r="R300" s="101"/>
      <c r="S300" s="101"/>
      <c r="T300" s="101"/>
    </row>
    <row r="301" spans="1:21" ht="15.6" x14ac:dyDescent="0.3">
      <c r="A301" s="229"/>
      <c r="B301" s="230"/>
      <c r="C301" s="234"/>
      <c r="D301" s="234"/>
      <c r="E301" s="150"/>
      <c r="F301" s="234"/>
      <c r="G301" s="150"/>
      <c r="H301" s="267"/>
      <c r="I301" s="268"/>
      <c r="J301" s="164"/>
      <c r="K301" s="164"/>
      <c r="L301" s="164"/>
      <c r="M301" s="164"/>
      <c r="N301" s="269"/>
      <c r="O301" s="267"/>
      <c r="Q301" s="101"/>
      <c r="R301" s="101"/>
      <c r="S301" s="101"/>
      <c r="T301" s="101"/>
    </row>
    <row r="302" spans="1:21" ht="15.6" x14ac:dyDescent="0.3">
      <c r="A302" s="229">
        <f>A300+1</f>
        <v>28</v>
      </c>
      <c r="B302" s="230">
        <f t="shared" si="12"/>
        <v>16161.451671577383</v>
      </c>
      <c r="C302" s="234">
        <f>FV($B$291,A296-$A$292,-$C$287,,0)</f>
        <v>8361.6009311418748</v>
      </c>
      <c r="D302" s="101"/>
      <c r="E302" s="101"/>
      <c r="F302" s="101" t="s">
        <v>361</v>
      </c>
      <c r="G302" s="101" t="s">
        <v>161</v>
      </c>
      <c r="H302" s="101" t="s">
        <v>423</v>
      </c>
      <c r="I302" s="101"/>
      <c r="J302" s="101" t="s">
        <v>428</v>
      </c>
      <c r="K302" s="101"/>
      <c r="L302" s="101" t="s">
        <v>420</v>
      </c>
      <c r="M302" s="101" t="s">
        <v>421</v>
      </c>
      <c r="N302" s="101" t="s">
        <v>190</v>
      </c>
      <c r="O302" s="101" t="s">
        <v>43</v>
      </c>
      <c r="P302" s="101" t="s">
        <v>44</v>
      </c>
      <c r="Q302" s="101" t="s">
        <v>187</v>
      </c>
      <c r="R302" s="101" t="s">
        <v>187</v>
      </c>
      <c r="S302" s="101" t="s">
        <v>193</v>
      </c>
      <c r="T302" s="101" t="s">
        <v>188</v>
      </c>
      <c r="U302" s="101" t="s">
        <v>189</v>
      </c>
    </row>
    <row r="303" spans="1:21" ht="15.6" x14ac:dyDescent="0.3">
      <c r="A303" s="229">
        <f t="shared" si="11"/>
        <v>29</v>
      </c>
      <c r="B303" s="230">
        <f t="shared" si="12"/>
        <v>18445.343835801534</v>
      </c>
      <c r="C303" s="234">
        <f>FV($B$291,A297-$A$292,-$C$287,,0)</f>
        <v>10725.151332057409</v>
      </c>
      <c r="D303" s="101"/>
      <c r="E303" s="101"/>
      <c r="F303" s="101" t="s">
        <v>74</v>
      </c>
      <c r="G303" t="s">
        <v>42</v>
      </c>
      <c r="H303" s="156">
        <f>L303</f>
        <v>0</v>
      </c>
      <c r="I303" s="101"/>
      <c r="J303" s="156">
        <f>K303-L303</f>
        <v>2.2499999999999999E-2</v>
      </c>
      <c r="K303" s="156">
        <f>H296</f>
        <v>2.2499999999999999E-2</v>
      </c>
      <c r="L303" s="156">
        <f>IF('Optimisation retraite'!B13&gt;0,Seuils!$H$296*'Optimisation retraite'!B14,0)</f>
        <v>0</v>
      </c>
      <c r="M303" s="156">
        <f>IF('Optimisation retraite'!C13&gt;0,Seuils!$H$296*'Optimisation retraite'!C14,0)</f>
        <v>0</v>
      </c>
      <c r="N303" s="156">
        <f>L303</f>
        <v>0</v>
      </c>
      <c r="O303" s="3">
        <f>H296</f>
        <v>2.2499999999999999E-2</v>
      </c>
      <c r="P303" s="156">
        <f>H296</f>
        <v>2.2499999999999999E-2</v>
      </c>
      <c r="Q303" s="265">
        <f>H296*50%</f>
        <v>1.125E-2</v>
      </c>
      <c r="R303" s="265">
        <f>H296</f>
        <v>2.2499999999999999E-2</v>
      </c>
      <c r="S303" s="265">
        <f>H296</f>
        <v>2.2499999999999999E-2</v>
      </c>
      <c r="T303" s="101"/>
    </row>
    <row r="304" spans="1:21" ht="15.6" x14ac:dyDescent="0.3">
      <c r="A304" s="229">
        <f t="shared" si="11"/>
        <v>30</v>
      </c>
      <c r="B304" s="230">
        <f t="shared" si="12"/>
        <v>20845.714500401122</v>
      </c>
      <c r="C304" s="234">
        <f>FV($B$291,A298-$A$292,-$C$287,,0)</f>
        <v>13209.24280341964</v>
      </c>
      <c r="D304" s="101"/>
      <c r="E304" s="101"/>
      <c r="F304" s="165">
        <f>'Optimal #1'!B57</f>
        <v>12482.502923700002</v>
      </c>
      <c r="G304" s="262">
        <f>'Optimal #1'!D57</f>
        <v>22768.129999999997</v>
      </c>
      <c r="H304" s="262">
        <f>'Optimisation retraite'!B57</f>
        <v>9927.0487290000056</v>
      </c>
      <c r="I304" s="101">
        <v>0</v>
      </c>
      <c r="J304" s="262">
        <f>'Optimisation retraite'!D57</f>
        <v>18098.29</v>
      </c>
      <c r="K304" s="262">
        <f>'Optimisation retraite'!D13</f>
        <v>0</v>
      </c>
      <c r="L304" s="262">
        <f>'Optimisation retraite'!B13</f>
        <v>0</v>
      </c>
      <c r="M304" s="262">
        <f>'Optimisation retraite'!C13</f>
        <v>0</v>
      </c>
      <c r="N304" s="101">
        <f>'Optimisation retraite'!C26+'Optimisation retraite'!B52+'Optimisation retraite'!B53</f>
        <v>1513.1999999999998</v>
      </c>
      <c r="O304" s="101">
        <f>'Optimisation retraite'!B24+'Optimisation retraite'!C24</f>
        <v>7486.71</v>
      </c>
      <c r="P304" s="101">
        <f>'Optimisation retraite'!B9+'Optimisation retraite'!C9</f>
        <v>9415</v>
      </c>
      <c r="Q304" s="101">
        <f>IF(AND('Optimisation retraite'!B14=50%,'Optimisation retraite'!C14=50%,'Optimisation retraite'!B13+'Optimisation retraite'!C13&gt;0),'Optimisation retraite'!B13+'Optimisation retraite'!C13,IF(AND('Optimisation retraite'!B13&gt;0,'Optimisation retraite'!B14=50%),'Optimisation retraite'!B13,IF(AND('Optimisation retraite'!C13&gt;0,'Optimisation retraite'!C14=50%),'Optimisation retraite'!C13,0)))</f>
        <v>0</v>
      </c>
      <c r="R304" s="101">
        <f>IF(AND('Optimisation retraite'!B14=100%,'Optimisation retraite'!C14=100%,'Optimisation retraite'!B13+'Optimisation retraite'!C13&gt;0),'Optimisation retraite'!B13+'Optimisation retraite'!C13,IF(AND('Optimisation retraite'!B13&gt;0,'Optimisation retraite'!B14=100%),'Optimisation retraite'!B13,IF(AND('Optimisation retraite'!C13&gt;0,'Optimisation retraite'!C14=100%),'Optimisation retraite'!C13,0)))</f>
        <v>0</v>
      </c>
      <c r="S304" s="101">
        <f>IF('Optimisation retraite'!B15+'Optimisation retraite'!C15&gt;0,'Optimisation retraite'!B15+'Optimisation retraite'!C15,0)</f>
        <v>0</v>
      </c>
      <c r="T304" s="262">
        <f>O304+P304+Q304+R304+S304</f>
        <v>16901.71</v>
      </c>
    </row>
    <row r="305" spans="1:21" ht="15.6" x14ac:dyDescent="0.3">
      <c r="A305" s="229">
        <f t="shared" si="11"/>
        <v>31</v>
      </c>
      <c r="B305" s="230">
        <f t="shared" si="12"/>
        <v>23368.504068895287</v>
      </c>
      <c r="C305" s="234">
        <f>FV($B$291,A299-$A$292,-$C$287,,0)</f>
        <v>15820.022939821345</v>
      </c>
      <c r="D305" s="101"/>
      <c r="E305" s="101"/>
      <c r="F305" s="165">
        <f>G305*(1-'Optimal #1'!$C$57)</f>
        <v>12482.502923700002</v>
      </c>
      <c r="G305" s="262">
        <f>$G$304+K305-L305-M305</f>
        <v>22768.129999999997</v>
      </c>
      <c r="H305" s="262">
        <f>J305*(1-'Optimisation retraite'!$C$57)</f>
        <v>9927.0487290000056</v>
      </c>
      <c r="I305" s="101">
        <f>I304+1</f>
        <v>1</v>
      </c>
      <c r="J305" s="262">
        <f>$J$304+K305-L305-M305</f>
        <v>18098.29</v>
      </c>
      <c r="K305" s="262">
        <f>$K$304*POWER((1+$K$303),I305)</f>
        <v>0</v>
      </c>
      <c r="L305" s="262">
        <f>$L$304*POWER((1+$L$303),I305)</f>
        <v>0</v>
      </c>
      <c r="M305" s="262">
        <f>$M$304*POWER((1+$M$303),I305)</f>
        <v>0</v>
      </c>
      <c r="N305" s="101">
        <f>$N$304*POWER((1+$N$303),I305)</f>
        <v>1513.1999999999998</v>
      </c>
      <c r="O305" s="266">
        <f>$O$304*POWER((1+$O$303),I305)</f>
        <v>7655.1609749999998</v>
      </c>
      <c r="P305" s="266">
        <f>$P$304*POWER((1+$P$303),I305)</f>
        <v>9626.8374999999996</v>
      </c>
      <c r="Q305" s="266">
        <f>$Q$304*POWER((1+$Q$303),I305)</f>
        <v>0</v>
      </c>
      <c r="R305" s="266">
        <f>$R$304*POWER((1+$R$303),I305)</f>
        <v>0</v>
      </c>
      <c r="S305" s="266">
        <f>$S$304*POWER((1+$S$303),I305)</f>
        <v>0</v>
      </c>
      <c r="T305" s="262">
        <f t="shared" ref="T305:T338" si="14">O305+P305+Q305+R305+S305</f>
        <v>17281.998475</v>
      </c>
      <c r="U305" s="3">
        <f>(T305-T304)/T304</f>
        <v>2.2500000000000072E-2</v>
      </c>
    </row>
    <row r="306" spans="1:21" ht="15.6" x14ac:dyDescent="0.3">
      <c r="A306" s="229">
        <f t="shared" si="11"/>
        <v>32</v>
      </c>
      <c r="B306" s="230">
        <f t="shared" si="12"/>
        <v>26019.955905382645</v>
      </c>
      <c r="C306" s="234">
        <f>FV($B$291,A300-$A$292,-$C$287,,0)</f>
        <v>18563.952863179537</v>
      </c>
      <c r="D306" s="101"/>
      <c r="E306" s="101"/>
      <c r="F306" s="165">
        <f>G306*(1-'Optimal #1'!$C$57)</f>
        <v>12482.502923700002</v>
      </c>
      <c r="G306" s="262">
        <f t="shared" ref="G306:G338" si="15">$G$304+K306-L306-M306</f>
        <v>22768.129999999997</v>
      </c>
      <c r="H306" s="262">
        <f>J306*(1-'Optimisation retraite'!$C$57)</f>
        <v>9927.0487290000056</v>
      </c>
      <c r="I306" s="101">
        <f t="shared" ref="I306:I337" si="16">I305+1</f>
        <v>2</v>
      </c>
      <c r="J306" s="262">
        <f t="shared" ref="J306:J338" si="17">$J$304+K306-L306-M306</f>
        <v>18098.29</v>
      </c>
      <c r="K306" s="262">
        <f t="shared" ref="K306:K334" si="18">$K$304*POWER((1+$K$303),I306)</f>
        <v>0</v>
      </c>
      <c r="L306" s="262">
        <f t="shared" ref="L306:L334" si="19">$L$304*POWER((1+$L$303),I306)</f>
        <v>0</v>
      </c>
      <c r="M306" s="262">
        <f t="shared" ref="M306:M338" si="20">$M$304*POWER((1+$M$303),I306)</f>
        <v>0</v>
      </c>
      <c r="N306" s="101">
        <f t="shared" ref="N306:N338" si="21">$N$304*POWER((1+$N$303),I306)</f>
        <v>1513.1999999999998</v>
      </c>
      <c r="O306" s="266">
        <f t="shared" ref="O306:O338" si="22">$O$304*POWER((1+$O$303),I306)</f>
        <v>7827.4020969374988</v>
      </c>
      <c r="P306" s="266">
        <f t="shared" ref="P306:P338" si="23">$P$304*POWER((1+$P$303),I306)</f>
        <v>9843.4413437499989</v>
      </c>
      <c r="Q306" s="266">
        <f t="shared" ref="Q306:Q338" si="24">$Q$304*POWER((1+$Q$303),I306)</f>
        <v>0</v>
      </c>
      <c r="R306" s="266">
        <f t="shared" ref="R306:R338" si="25">$R$304*POWER((1+$R$303),I306)</f>
        <v>0</v>
      </c>
      <c r="S306" s="266">
        <f t="shared" ref="S306:S338" si="26">$S$304*POWER((1+$S$303),I306)</f>
        <v>0</v>
      </c>
      <c r="T306" s="262">
        <f t="shared" si="14"/>
        <v>17670.843440687499</v>
      </c>
      <c r="U306" s="3">
        <f t="shared" ref="U306:U338" si="27">(T306-T305)/T305</f>
        <v>2.2499999999999895E-2</v>
      </c>
    </row>
    <row r="307" spans="1:21" ht="15.6" x14ac:dyDescent="0.3">
      <c r="A307" s="229">
        <f t="shared" si="11"/>
        <v>33</v>
      </c>
      <c r="B307" s="230">
        <f t="shared" si="12"/>
        <v>28806.631785530866</v>
      </c>
      <c r="C307" s="234">
        <f t="shared" si="13"/>
        <v>21447.823212628991</v>
      </c>
      <c r="D307" s="101"/>
      <c r="E307" s="101"/>
      <c r="F307" s="165">
        <f>G307*(1-'Optimal #1'!$C$57)</f>
        <v>12482.502923700002</v>
      </c>
      <c r="G307" s="262">
        <f t="shared" si="15"/>
        <v>22768.129999999997</v>
      </c>
      <c r="H307" s="262">
        <f>J307*(1-'Optimisation retraite'!$C$57)</f>
        <v>9927.0487290000056</v>
      </c>
      <c r="I307" s="101">
        <f t="shared" si="16"/>
        <v>3</v>
      </c>
      <c r="J307" s="262">
        <f t="shared" si="17"/>
        <v>18098.29</v>
      </c>
      <c r="K307" s="262">
        <f t="shared" si="18"/>
        <v>0</v>
      </c>
      <c r="L307" s="262">
        <f t="shared" si="19"/>
        <v>0</v>
      </c>
      <c r="M307" s="262">
        <f t="shared" si="20"/>
        <v>0</v>
      </c>
      <c r="N307" s="101">
        <f t="shared" si="21"/>
        <v>1513.1999999999998</v>
      </c>
      <c r="O307" s="266">
        <f t="shared" si="22"/>
        <v>8003.5186441185924</v>
      </c>
      <c r="P307" s="266">
        <f t="shared" si="23"/>
        <v>10064.918773984373</v>
      </c>
      <c r="Q307" s="266">
        <f t="shared" si="24"/>
        <v>0</v>
      </c>
      <c r="R307" s="266">
        <f t="shared" si="25"/>
        <v>0</v>
      </c>
      <c r="S307" s="266">
        <f t="shared" si="26"/>
        <v>0</v>
      </c>
      <c r="T307" s="262">
        <f t="shared" si="14"/>
        <v>18068.437418102963</v>
      </c>
      <c r="U307" s="3">
        <f t="shared" si="27"/>
        <v>2.2499999999999784E-2</v>
      </c>
    </row>
    <row r="308" spans="1:21" ht="15.6" x14ac:dyDescent="0.3">
      <c r="A308" s="229">
        <f t="shared" si="11"/>
        <v>34</v>
      </c>
      <c r="B308" s="230">
        <f t="shared" si="12"/>
        <v>31735.428135566654</v>
      </c>
      <c r="C308" s="234">
        <f t="shared" si="13"/>
        <v>24478.770949900372</v>
      </c>
      <c r="D308" s="101"/>
      <c r="E308" s="101"/>
      <c r="F308" s="165">
        <f>G308*(1-'Optimal #1'!$C$57)</f>
        <v>12482.502923700002</v>
      </c>
      <c r="G308" s="262">
        <f t="shared" si="15"/>
        <v>22768.129999999997</v>
      </c>
      <c r="H308" s="262">
        <f>J308*(1-'Optimisation retraite'!$C$57)</f>
        <v>9927.0487290000056</v>
      </c>
      <c r="I308" s="101">
        <f t="shared" si="16"/>
        <v>4</v>
      </c>
      <c r="J308" s="262">
        <f t="shared" si="17"/>
        <v>18098.29</v>
      </c>
      <c r="K308" s="262">
        <f t="shared" si="18"/>
        <v>0</v>
      </c>
      <c r="L308" s="262">
        <f t="shared" si="19"/>
        <v>0</v>
      </c>
      <c r="M308" s="262">
        <f t="shared" si="20"/>
        <v>0</v>
      </c>
      <c r="N308" s="101">
        <f t="shared" si="21"/>
        <v>1513.1999999999998</v>
      </c>
      <c r="O308" s="266">
        <f t="shared" si="22"/>
        <v>8183.5978136112608</v>
      </c>
      <c r="P308" s="266">
        <f t="shared" si="23"/>
        <v>10291.379446399022</v>
      </c>
      <c r="Q308" s="266">
        <f t="shared" si="24"/>
        <v>0</v>
      </c>
      <c r="R308" s="266">
        <f t="shared" si="25"/>
        <v>0</v>
      </c>
      <c r="S308" s="266">
        <f t="shared" si="26"/>
        <v>0</v>
      </c>
      <c r="T308" s="262">
        <f t="shared" si="14"/>
        <v>18474.977260010281</v>
      </c>
      <c r="U308" s="3">
        <f t="shared" si="27"/>
        <v>2.2500000000000027E-2</v>
      </c>
    </row>
    <row r="309" spans="1:21" ht="15.6" x14ac:dyDescent="0.3">
      <c r="A309" s="229">
        <f t="shared" si="11"/>
        <v>35</v>
      </c>
      <c r="B309" s="230">
        <f t="shared" si="12"/>
        <v>34813.593099454258</v>
      </c>
      <c r="C309" s="234">
        <f t="shared" si="13"/>
        <v>27664.297021772596</v>
      </c>
      <c r="D309" s="101"/>
      <c r="E309" s="101"/>
      <c r="F309" s="165">
        <f>G309*(1-'Optimal #1'!$C$57)</f>
        <v>12482.502923700002</v>
      </c>
      <c r="G309" s="262">
        <f t="shared" si="15"/>
        <v>22768.129999999997</v>
      </c>
      <c r="H309" s="262">
        <f>J309*(1-'Optimisation retraite'!$C$57)</f>
        <v>9927.0487290000056</v>
      </c>
      <c r="I309" s="101">
        <f t="shared" si="16"/>
        <v>5</v>
      </c>
      <c r="J309" s="262">
        <f t="shared" si="17"/>
        <v>18098.29</v>
      </c>
      <c r="K309" s="262">
        <f t="shared" si="18"/>
        <v>0</v>
      </c>
      <c r="L309" s="262">
        <f t="shared" si="19"/>
        <v>0</v>
      </c>
      <c r="M309" s="262">
        <f t="shared" si="20"/>
        <v>0</v>
      </c>
      <c r="N309" s="101">
        <f t="shared" si="21"/>
        <v>1513.1999999999998</v>
      </c>
      <c r="O309" s="266">
        <f t="shared" si="22"/>
        <v>8367.728764417514</v>
      </c>
      <c r="P309" s="266">
        <f t="shared" si="23"/>
        <v>10522.935483943</v>
      </c>
      <c r="Q309" s="266">
        <f t="shared" si="24"/>
        <v>0</v>
      </c>
      <c r="R309" s="266">
        <f t="shared" si="25"/>
        <v>0</v>
      </c>
      <c r="S309" s="266">
        <f t="shared" si="26"/>
        <v>0</v>
      </c>
      <c r="T309" s="262">
        <f t="shared" si="14"/>
        <v>18890.664248360514</v>
      </c>
      <c r="U309" s="3">
        <f t="shared" si="27"/>
        <v>2.25000000000001E-2</v>
      </c>
    </row>
    <row r="310" spans="1:21" ht="15.6" x14ac:dyDescent="0.3">
      <c r="A310" s="229">
        <f t="shared" si="11"/>
        <v>36</v>
      </c>
      <c r="B310" s="230">
        <f t="shared" si="12"/>
        <v>38048.74447650012</v>
      </c>
      <c r="C310" s="234">
        <f t="shared" si="13"/>
        <v>31012.284923310304</v>
      </c>
      <c r="D310" s="101"/>
      <c r="E310" s="101"/>
      <c r="F310" s="165">
        <f>G310*(1-'Optimal #1'!$C$57)</f>
        <v>12482.502923700002</v>
      </c>
      <c r="G310" s="262">
        <f t="shared" si="15"/>
        <v>22768.129999999997</v>
      </c>
      <c r="H310" s="262">
        <f>J310*(1-'Optimisation retraite'!$C$57)</f>
        <v>9927.0487290000056</v>
      </c>
      <c r="I310" s="101">
        <f t="shared" si="16"/>
        <v>6</v>
      </c>
      <c r="J310" s="262">
        <f t="shared" si="17"/>
        <v>18098.29</v>
      </c>
      <c r="K310" s="262">
        <f t="shared" si="18"/>
        <v>0</v>
      </c>
      <c r="L310" s="262">
        <f t="shared" si="19"/>
        <v>0</v>
      </c>
      <c r="M310" s="262">
        <f t="shared" si="20"/>
        <v>0</v>
      </c>
      <c r="N310" s="101">
        <f t="shared" si="21"/>
        <v>1513.1999999999998</v>
      </c>
      <c r="O310" s="266">
        <f t="shared" si="22"/>
        <v>8556.0026616169071</v>
      </c>
      <c r="P310" s="266">
        <f t="shared" si="23"/>
        <v>10759.701532331717</v>
      </c>
      <c r="Q310" s="266">
        <f t="shared" si="24"/>
        <v>0</v>
      </c>
      <c r="R310" s="266">
        <f t="shared" si="25"/>
        <v>0</v>
      </c>
      <c r="S310" s="266">
        <f t="shared" si="26"/>
        <v>0</v>
      </c>
      <c r="T310" s="262">
        <f t="shared" si="14"/>
        <v>19315.704193948623</v>
      </c>
      <c r="U310" s="3">
        <f t="shared" si="27"/>
        <v>2.2499999999999853E-2</v>
      </c>
    </row>
    <row r="311" spans="1:21" ht="15.6" x14ac:dyDescent="0.3">
      <c r="A311" s="229">
        <f t="shared" si="11"/>
        <v>37</v>
      </c>
      <c r="B311" s="230">
        <f t="shared" si="12"/>
        <v>41448.888573775344</v>
      </c>
      <c r="C311" s="234">
        <f t="shared" si="13"/>
        <v>34531.020207826419</v>
      </c>
      <c r="D311" s="101"/>
      <c r="E311" s="101"/>
      <c r="F311" s="165">
        <f>G311*(1-'Optimal #1'!$C$57)</f>
        <v>12482.502923700002</v>
      </c>
      <c r="G311" s="262">
        <f t="shared" si="15"/>
        <v>22768.129999999997</v>
      </c>
      <c r="H311" s="262">
        <f>J311*(1-'Optimisation retraite'!$C$57)</f>
        <v>9927.0487290000056</v>
      </c>
      <c r="I311" s="101">
        <f t="shared" si="16"/>
        <v>7</v>
      </c>
      <c r="J311" s="262">
        <f t="shared" si="17"/>
        <v>18098.29</v>
      </c>
      <c r="K311" s="262">
        <f t="shared" si="18"/>
        <v>0</v>
      </c>
      <c r="L311" s="262">
        <f t="shared" si="19"/>
        <v>0</v>
      </c>
      <c r="M311" s="262">
        <f t="shared" si="20"/>
        <v>0</v>
      </c>
      <c r="N311" s="101">
        <f t="shared" si="21"/>
        <v>1513.1999999999998</v>
      </c>
      <c r="O311" s="266">
        <f t="shared" si="22"/>
        <v>8748.5127215032862</v>
      </c>
      <c r="P311" s="266">
        <f t="shared" si="23"/>
        <v>11001.794816809179</v>
      </c>
      <c r="Q311" s="266">
        <f t="shared" si="24"/>
        <v>0</v>
      </c>
      <c r="R311" s="266">
        <f t="shared" si="25"/>
        <v>0</v>
      </c>
      <c r="S311" s="266">
        <f t="shared" si="26"/>
        <v>0</v>
      </c>
      <c r="T311" s="262">
        <f t="shared" si="14"/>
        <v>19750.307538312467</v>
      </c>
      <c r="U311" s="3">
        <f t="shared" si="27"/>
        <v>2.250000000000002E-2</v>
      </c>
    </row>
    <row r="312" spans="1:21" ht="15.6" x14ac:dyDescent="0.3">
      <c r="A312" s="229">
        <f t="shared" si="11"/>
        <v>38</v>
      </c>
      <c r="B312" s="230">
        <f t="shared" si="12"/>
        <v>45022.440020011585</v>
      </c>
      <c r="C312" s="234">
        <f t="shared" si="13"/>
        <v>38229.210991852873</v>
      </c>
      <c r="D312" s="101"/>
      <c r="E312" s="101"/>
      <c r="F312" s="165">
        <f>G312*(1-'Optimal #1'!$C$57)</f>
        <v>12482.502923700002</v>
      </c>
      <c r="G312" s="262">
        <f t="shared" si="15"/>
        <v>22768.129999999997</v>
      </c>
      <c r="H312" s="262">
        <f>J312*(1-'Optimisation retraite'!$C$57)</f>
        <v>9927.0487290000056</v>
      </c>
      <c r="I312" s="101">
        <f t="shared" si="16"/>
        <v>8</v>
      </c>
      <c r="J312" s="262">
        <f t="shared" si="17"/>
        <v>18098.29</v>
      </c>
      <c r="K312" s="262">
        <f t="shared" si="18"/>
        <v>0</v>
      </c>
      <c r="L312" s="262">
        <f t="shared" si="19"/>
        <v>0</v>
      </c>
      <c r="M312" s="262">
        <f t="shared" si="20"/>
        <v>0</v>
      </c>
      <c r="N312" s="101">
        <f t="shared" si="21"/>
        <v>1513.1999999999998</v>
      </c>
      <c r="O312" s="266">
        <f t="shared" si="22"/>
        <v>8945.3542577371099</v>
      </c>
      <c r="P312" s="266">
        <f t="shared" si="23"/>
        <v>11249.335200187385</v>
      </c>
      <c r="Q312" s="266">
        <f t="shared" si="24"/>
        <v>0</v>
      </c>
      <c r="R312" s="266">
        <f t="shared" si="25"/>
        <v>0</v>
      </c>
      <c r="S312" s="266">
        <f t="shared" si="26"/>
        <v>0</v>
      </c>
      <c r="T312" s="262">
        <f t="shared" si="14"/>
        <v>20194.689457924494</v>
      </c>
      <c r="U312" s="3">
        <f t="shared" si="27"/>
        <v>2.249999999999985E-2</v>
      </c>
    </row>
    <row r="313" spans="1:21" ht="15.6" x14ac:dyDescent="0.3">
      <c r="A313" s="229">
        <f t="shared" si="11"/>
        <v>39</v>
      </c>
      <c r="B313" s="230">
        <f t="shared" si="12"/>
        <v>48778.242590005888</v>
      </c>
      <c r="C313" s="234">
        <f t="shared" si="13"/>
        <v>42116.009505864677</v>
      </c>
      <c r="D313" s="101"/>
      <c r="E313" s="101"/>
      <c r="F313" s="165">
        <f>G313*(1-'Optimal #1'!$C$57)</f>
        <v>12482.502923700002</v>
      </c>
      <c r="G313" s="262">
        <f t="shared" si="15"/>
        <v>22768.129999999997</v>
      </c>
      <c r="H313" s="262">
        <f>J313*(1-'Optimisation retraite'!$C$57)</f>
        <v>9927.0487290000056</v>
      </c>
      <c r="I313" s="101">
        <f t="shared" si="16"/>
        <v>9</v>
      </c>
      <c r="J313" s="262">
        <f t="shared" si="17"/>
        <v>18098.29</v>
      </c>
      <c r="K313" s="262">
        <f t="shared" si="18"/>
        <v>0</v>
      </c>
      <c r="L313" s="262">
        <f t="shared" si="19"/>
        <v>0</v>
      </c>
      <c r="M313" s="262">
        <f t="shared" si="20"/>
        <v>0</v>
      </c>
      <c r="N313" s="101">
        <f t="shared" si="21"/>
        <v>1513.1999999999998</v>
      </c>
      <c r="O313" s="266">
        <f t="shared" si="22"/>
        <v>9146.6247285361933</v>
      </c>
      <c r="P313" s="266">
        <f t="shared" si="23"/>
        <v>11502.445242191599</v>
      </c>
      <c r="Q313" s="266">
        <f t="shared" si="24"/>
        <v>0</v>
      </c>
      <c r="R313" s="266">
        <f t="shared" si="25"/>
        <v>0</v>
      </c>
      <c r="S313" s="266">
        <f t="shared" si="26"/>
        <v>0</v>
      </c>
      <c r="T313" s="262">
        <f t="shared" si="14"/>
        <v>20649.069970727793</v>
      </c>
      <c r="U313" s="3">
        <f t="shared" si="27"/>
        <v>2.2499999999999853E-2</v>
      </c>
    </row>
    <row r="314" spans="1:21" ht="15.6" x14ac:dyDescent="0.3">
      <c r="A314" s="229">
        <f t="shared" si="11"/>
        <v>40</v>
      </c>
      <c r="B314" s="230">
        <f t="shared" si="12"/>
        <v>52725.591091069888</v>
      </c>
      <c r="C314" s="234">
        <f t="shared" si="13"/>
        <v>46201.034744091077</v>
      </c>
      <c r="D314" s="101"/>
      <c r="E314" s="101"/>
      <c r="F314" s="165">
        <f>G314*(1-'Optimal #1'!$C$57)</f>
        <v>12482.502923700002</v>
      </c>
      <c r="G314" s="262">
        <f t="shared" si="15"/>
        <v>22768.129999999997</v>
      </c>
      <c r="H314" s="262">
        <f>J314*(1-'Optimisation retraite'!$C$57)</f>
        <v>9927.0487290000056</v>
      </c>
      <c r="I314" s="101">
        <f t="shared" si="16"/>
        <v>10</v>
      </c>
      <c r="J314" s="262">
        <f t="shared" si="17"/>
        <v>18098.29</v>
      </c>
      <c r="K314" s="262">
        <f t="shared" si="18"/>
        <v>0</v>
      </c>
      <c r="L314" s="262">
        <f t="shared" si="19"/>
        <v>0</v>
      </c>
      <c r="M314" s="262">
        <f t="shared" si="20"/>
        <v>0</v>
      </c>
      <c r="N314" s="101">
        <f t="shared" si="21"/>
        <v>1513.1999999999998</v>
      </c>
      <c r="O314" s="266">
        <f t="shared" si="22"/>
        <v>9352.4237849282581</v>
      </c>
      <c r="P314" s="266">
        <f t="shared" si="23"/>
        <v>11761.250260140909</v>
      </c>
      <c r="Q314" s="266">
        <f t="shared" si="24"/>
        <v>0</v>
      </c>
      <c r="R314" s="266">
        <f t="shared" si="25"/>
        <v>0</v>
      </c>
      <c r="S314" s="266">
        <f t="shared" si="26"/>
        <v>0</v>
      </c>
      <c r="T314" s="262">
        <f t="shared" si="14"/>
        <v>21113.674045069165</v>
      </c>
      <c r="U314" s="3">
        <f t="shared" si="27"/>
        <v>2.2499999999999853E-2</v>
      </c>
    </row>
    <row r="315" spans="1:21" ht="15.6" x14ac:dyDescent="0.3">
      <c r="A315" s="229">
        <f t="shared" si="11"/>
        <v>41</v>
      </c>
      <c r="B315" s="237">
        <f t="shared" si="12"/>
        <v>56874.254365688161</v>
      </c>
      <c r="C315" s="234">
        <f t="shared" si="13"/>
        <v>50494.396269467019</v>
      </c>
      <c r="D315" s="101"/>
      <c r="E315" s="101"/>
      <c r="F315" s="165">
        <f>G315*(1-'Optimal #1'!$C$57)</f>
        <v>12482.502923700002</v>
      </c>
      <c r="G315" s="262">
        <f t="shared" si="15"/>
        <v>22768.129999999997</v>
      </c>
      <c r="H315" s="262">
        <f>J315*(1-'Optimisation retraite'!$C$57)</f>
        <v>9927.0487290000056</v>
      </c>
      <c r="I315" s="101">
        <f t="shared" si="16"/>
        <v>11</v>
      </c>
      <c r="J315" s="262">
        <f t="shared" si="17"/>
        <v>18098.29</v>
      </c>
      <c r="K315" s="262">
        <f t="shared" si="18"/>
        <v>0</v>
      </c>
      <c r="L315" s="262">
        <f t="shared" si="19"/>
        <v>0</v>
      </c>
      <c r="M315" s="262">
        <f t="shared" si="20"/>
        <v>0</v>
      </c>
      <c r="N315" s="101">
        <f t="shared" si="21"/>
        <v>1513.1999999999998</v>
      </c>
      <c r="O315" s="266">
        <f t="shared" si="22"/>
        <v>9562.8533200891434</v>
      </c>
      <c r="P315" s="266">
        <f t="shared" si="23"/>
        <v>12025.878390994079</v>
      </c>
      <c r="Q315" s="266">
        <f t="shared" si="24"/>
        <v>0</v>
      </c>
      <c r="R315" s="266">
        <f t="shared" si="25"/>
        <v>0</v>
      </c>
      <c r="S315" s="266">
        <f t="shared" si="26"/>
        <v>0</v>
      </c>
      <c r="T315" s="262">
        <f t="shared" si="14"/>
        <v>21588.731711083223</v>
      </c>
      <c r="U315" s="3">
        <f t="shared" si="27"/>
        <v>2.2500000000000072E-2</v>
      </c>
    </row>
    <row r="316" spans="1:21" ht="15.6" x14ac:dyDescent="0.3">
      <c r="A316" s="229">
        <f t="shared" si="11"/>
        <v>42</v>
      </c>
      <c r="B316" s="237">
        <f t="shared" si="12"/>
        <v>61234.499467311965</v>
      </c>
      <c r="C316" s="234">
        <f t="shared" si="13"/>
        <v>55006.719232637151</v>
      </c>
      <c r="D316" s="101"/>
      <c r="E316" s="101"/>
      <c r="F316" s="165">
        <f>G316*(1-'Optimal #1'!$C$57)</f>
        <v>12482.502923700002</v>
      </c>
      <c r="G316" s="262">
        <f t="shared" si="15"/>
        <v>22768.129999999997</v>
      </c>
      <c r="H316" s="262">
        <f>J316*(1-'Optimisation retraite'!$C$57)</f>
        <v>9927.0487290000056</v>
      </c>
      <c r="I316" s="101">
        <f t="shared" si="16"/>
        <v>12</v>
      </c>
      <c r="J316" s="262">
        <f t="shared" si="17"/>
        <v>18098.29</v>
      </c>
      <c r="K316" s="262">
        <f t="shared" si="18"/>
        <v>0</v>
      </c>
      <c r="L316" s="262">
        <f t="shared" si="19"/>
        <v>0</v>
      </c>
      <c r="M316" s="262">
        <f t="shared" si="20"/>
        <v>0</v>
      </c>
      <c r="N316" s="101">
        <f t="shared" si="21"/>
        <v>1513.1999999999998</v>
      </c>
      <c r="O316" s="266">
        <f t="shared" si="22"/>
        <v>9778.0175197911485</v>
      </c>
      <c r="P316" s="266">
        <f t="shared" si="23"/>
        <v>12296.460654791446</v>
      </c>
      <c r="Q316" s="266">
        <f t="shared" si="24"/>
        <v>0</v>
      </c>
      <c r="R316" s="266">
        <f t="shared" si="25"/>
        <v>0</v>
      </c>
      <c r="S316" s="266">
        <f t="shared" si="26"/>
        <v>0</v>
      </c>
      <c r="T316" s="262">
        <f t="shared" si="14"/>
        <v>22074.478174582597</v>
      </c>
      <c r="U316" s="3">
        <f t="shared" si="27"/>
        <v>2.2500000000000065E-2</v>
      </c>
    </row>
    <row r="317" spans="1:21" ht="15.6" x14ac:dyDescent="0.3">
      <c r="A317" s="229">
        <f t="shared" si="11"/>
        <v>43</v>
      </c>
      <c r="B317" s="237">
        <f t="shared" si="12"/>
        <v>65817.117069118569</v>
      </c>
      <c r="C317" s="234">
        <f t="shared" si="13"/>
        <v>59749.170666928934</v>
      </c>
      <c r="D317" s="101"/>
      <c r="E317" s="101"/>
      <c r="F317" s="165">
        <f>G317*(1-'Optimal #1'!$C$57)</f>
        <v>12482.502923700002</v>
      </c>
      <c r="G317" s="262">
        <f t="shared" si="15"/>
        <v>22768.129999999997</v>
      </c>
      <c r="H317" s="262">
        <f>J317*(1-'Optimisation retraite'!$C$57)</f>
        <v>9927.0487290000056</v>
      </c>
      <c r="I317" s="101">
        <f t="shared" si="16"/>
        <v>13</v>
      </c>
      <c r="J317" s="262">
        <f t="shared" si="17"/>
        <v>18098.29</v>
      </c>
      <c r="K317" s="262">
        <f t="shared" si="18"/>
        <v>0</v>
      </c>
      <c r="L317" s="262">
        <f t="shared" si="19"/>
        <v>0</v>
      </c>
      <c r="M317" s="262">
        <f t="shared" si="20"/>
        <v>0</v>
      </c>
      <c r="N317" s="101">
        <f t="shared" si="21"/>
        <v>1513.1999999999998</v>
      </c>
      <c r="O317" s="266">
        <f t="shared" si="22"/>
        <v>9998.0229139864496</v>
      </c>
      <c r="P317" s="266">
        <f t="shared" si="23"/>
        <v>12573.131019524253</v>
      </c>
      <c r="Q317" s="266">
        <f t="shared" si="24"/>
        <v>0</v>
      </c>
      <c r="R317" s="266">
        <f t="shared" si="25"/>
        <v>0</v>
      </c>
      <c r="S317" s="266">
        <f t="shared" si="26"/>
        <v>0</v>
      </c>
      <c r="T317" s="262">
        <f t="shared" si="14"/>
        <v>22571.153933510701</v>
      </c>
      <c r="U317" s="3">
        <f t="shared" si="27"/>
        <v>2.2499999999999808E-2</v>
      </c>
    </row>
    <row r="318" spans="1:21" ht="15.6" x14ac:dyDescent="0.3">
      <c r="A318" s="229">
        <f t="shared" si="11"/>
        <v>44</v>
      </c>
      <c r="B318" s="237">
        <f t="shared" si="12"/>
        <v>70633.448168617324</v>
      </c>
      <c r="C318" s="234">
        <f t="shared" si="13"/>
        <v>64733.487124369618</v>
      </c>
      <c r="D318" s="101"/>
      <c r="E318" s="101"/>
      <c r="F318" s="165">
        <f>G318*(1-'Optimal #1'!$C$57)</f>
        <v>12482.502923700002</v>
      </c>
      <c r="G318" s="262">
        <f t="shared" si="15"/>
        <v>22768.129999999997</v>
      </c>
      <c r="H318" s="262">
        <f>J318*(1-'Optimisation retraite'!$C$57)</f>
        <v>9927.0487290000056</v>
      </c>
      <c r="I318" s="101">
        <f t="shared" si="16"/>
        <v>14</v>
      </c>
      <c r="J318" s="262">
        <f t="shared" si="17"/>
        <v>18098.29</v>
      </c>
      <c r="K318" s="262">
        <f t="shared" si="18"/>
        <v>0</v>
      </c>
      <c r="L318" s="262">
        <f t="shared" si="19"/>
        <v>0</v>
      </c>
      <c r="M318" s="262">
        <f t="shared" si="20"/>
        <v>0</v>
      </c>
      <c r="N318" s="101">
        <f t="shared" si="21"/>
        <v>1513.1999999999998</v>
      </c>
      <c r="O318" s="266">
        <f t="shared" si="22"/>
        <v>10222.978429551145</v>
      </c>
      <c r="P318" s="266">
        <f t="shared" si="23"/>
        <v>12856.026467463549</v>
      </c>
      <c r="Q318" s="266">
        <f t="shared" si="24"/>
        <v>0</v>
      </c>
      <c r="R318" s="266">
        <f t="shared" si="25"/>
        <v>0</v>
      </c>
      <c r="S318" s="266">
        <f t="shared" si="26"/>
        <v>0</v>
      </c>
      <c r="T318" s="262">
        <f t="shared" si="14"/>
        <v>23079.004897014696</v>
      </c>
      <c r="U318" s="3">
        <f t="shared" si="27"/>
        <v>2.2500000000000207E-2</v>
      </c>
    </row>
    <row r="319" spans="1:21" ht="15.6" x14ac:dyDescent="0.3">
      <c r="A319" s="229">
        <f t="shared" si="11"/>
        <v>45</v>
      </c>
      <c r="B319" s="237">
        <f t="shared" si="12"/>
        <v>75695.412154190519</v>
      </c>
      <c r="C319" s="234">
        <f t="shared" si="13"/>
        <v>69972.003721139772</v>
      </c>
      <c r="D319" s="101"/>
      <c r="E319" s="101"/>
      <c r="F319" s="165">
        <f>G319*(1-'Optimal #1'!$C$57)</f>
        <v>12482.502923700002</v>
      </c>
      <c r="G319" s="262">
        <f t="shared" si="15"/>
        <v>22768.129999999997</v>
      </c>
      <c r="H319" s="262">
        <f>J319*(1-'Optimisation retraite'!$C$57)</f>
        <v>9927.0487290000056</v>
      </c>
      <c r="I319" s="101">
        <f t="shared" si="16"/>
        <v>15</v>
      </c>
      <c r="J319" s="262">
        <f t="shared" si="17"/>
        <v>18098.29</v>
      </c>
      <c r="K319" s="262">
        <f t="shared" si="18"/>
        <v>0</v>
      </c>
      <c r="L319" s="262">
        <f t="shared" si="19"/>
        <v>0</v>
      </c>
      <c r="M319" s="262">
        <f t="shared" si="20"/>
        <v>0</v>
      </c>
      <c r="N319" s="101">
        <f t="shared" si="21"/>
        <v>1513.1999999999998</v>
      </c>
      <c r="O319" s="266">
        <f t="shared" si="22"/>
        <v>10452.995444216045</v>
      </c>
      <c r="P319" s="266">
        <f t="shared" si="23"/>
        <v>13145.287062981479</v>
      </c>
      <c r="Q319" s="266">
        <f t="shared" si="24"/>
        <v>0</v>
      </c>
      <c r="R319" s="266">
        <f t="shared" si="25"/>
        <v>0</v>
      </c>
      <c r="S319" s="266">
        <f t="shared" si="26"/>
        <v>0</v>
      </c>
      <c r="T319" s="262">
        <f t="shared" si="14"/>
        <v>23598.282507197524</v>
      </c>
      <c r="U319" s="3">
        <f t="shared" si="27"/>
        <v>2.2499999999999867E-2</v>
      </c>
    </row>
    <row r="320" spans="1:21" ht="15.6" x14ac:dyDescent="0.3">
      <c r="A320" s="229">
        <f t="shared" si="11"/>
        <v>46</v>
      </c>
      <c r="B320" s="237">
        <f t="shared" si="12"/>
        <v>81015.53630302794</v>
      </c>
      <c r="C320" s="234">
        <f t="shared" si="13"/>
        <v>75477.684664345201</v>
      </c>
      <c r="D320" s="101"/>
      <c r="E320" s="101"/>
      <c r="F320" s="165">
        <f>G320*(1-'Optimal #1'!$C$57)</f>
        <v>12482.502923700002</v>
      </c>
      <c r="G320" s="262">
        <f t="shared" si="15"/>
        <v>22768.129999999997</v>
      </c>
      <c r="H320" s="262">
        <f>J320*(1-'Optimisation retraite'!$C$57)</f>
        <v>9927.0487290000056</v>
      </c>
      <c r="I320" s="101">
        <f t="shared" si="16"/>
        <v>16</v>
      </c>
      <c r="J320" s="262">
        <f t="shared" si="17"/>
        <v>18098.29</v>
      </c>
      <c r="K320" s="262">
        <f t="shared" si="18"/>
        <v>0</v>
      </c>
      <c r="L320" s="262">
        <f t="shared" si="19"/>
        <v>0</v>
      </c>
      <c r="M320" s="262">
        <f t="shared" si="20"/>
        <v>0</v>
      </c>
      <c r="N320" s="101">
        <f t="shared" si="21"/>
        <v>1513.1999999999998</v>
      </c>
      <c r="O320" s="266">
        <f t="shared" si="22"/>
        <v>10688.187841710904</v>
      </c>
      <c r="P320" s="266">
        <f t="shared" si="23"/>
        <v>13441.056021898557</v>
      </c>
      <c r="Q320" s="266">
        <f t="shared" si="24"/>
        <v>0</v>
      </c>
      <c r="R320" s="266">
        <f t="shared" si="25"/>
        <v>0</v>
      </c>
      <c r="S320" s="266">
        <f t="shared" si="26"/>
        <v>0</v>
      </c>
      <c r="T320" s="262">
        <f t="shared" si="14"/>
        <v>24129.243863609459</v>
      </c>
      <c r="U320" s="3">
        <f t="shared" si="27"/>
        <v>2.2499999999999624E-2</v>
      </c>
    </row>
    <row r="321" spans="1:21" ht="15.6" x14ac:dyDescent="0.3">
      <c r="A321" s="229">
        <f t="shared" si="11"/>
        <v>47</v>
      </c>
      <c r="B321" s="237">
        <f t="shared" si="12"/>
        <v>86606.986783456072</v>
      </c>
      <c r="C321" s="234">
        <f t="shared" si="13"/>
        <v>81264.155335654112</v>
      </c>
      <c r="D321" s="101"/>
      <c r="E321" s="101"/>
      <c r="F321" s="165">
        <f>G321*(1-'Optimal #1'!$C$57)</f>
        <v>12482.502923700002</v>
      </c>
      <c r="G321" s="262">
        <f t="shared" si="15"/>
        <v>22768.129999999997</v>
      </c>
      <c r="H321" s="262">
        <f>J321*(1-'Optimisation retraite'!$C$57)</f>
        <v>9927.0487290000056</v>
      </c>
      <c r="I321" s="101">
        <f t="shared" si="16"/>
        <v>17</v>
      </c>
      <c r="J321" s="262">
        <f t="shared" si="17"/>
        <v>18098.29</v>
      </c>
      <c r="K321" s="262">
        <f t="shared" si="18"/>
        <v>0</v>
      </c>
      <c r="L321" s="262">
        <f t="shared" si="19"/>
        <v>0</v>
      </c>
      <c r="M321" s="262">
        <f t="shared" si="20"/>
        <v>0</v>
      </c>
      <c r="N321" s="101">
        <f t="shared" si="21"/>
        <v>1513.1999999999998</v>
      </c>
      <c r="O321" s="266">
        <f t="shared" si="22"/>
        <v>10928.672068149399</v>
      </c>
      <c r="P321" s="266">
        <f t="shared" si="23"/>
        <v>13743.479782391276</v>
      </c>
      <c r="Q321" s="266">
        <f t="shared" si="24"/>
        <v>0</v>
      </c>
      <c r="R321" s="266">
        <f t="shared" si="25"/>
        <v>0</v>
      </c>
      <c r="S321" s="266">
        <f t="shared" si="26"/>
        <v>0</v>
      </c>
      <c r="T321" s="262">
        <f t="shared" si="14"/>
        <v>24672.151850540675</v>
      </c>
      <c r="U321" s="3">
        <f t="shared" si="27"/>
        <v>2.2500000000000107E-2</v>
      </c>
    </row>
    <row r="322" spans="1:21" ht="15.6" x14ac:dyDescent="0.3">
      <c r="A322" s="229">
        <f t="shared" si="11"/>
        <v>48</v>
      </c>
      <c r="B322" s="237">
        <f t="shared" si="12"/>
        <v>92483.601238386022</v>
      </c>
      <c r="C322" s="234">
        <f t="shared" si="13"/>
        <v>87345.736011199755</v>
      </c>
      <c r="D322" s="101"/>
      <c r="E322" s="101"/>
      <c r="F322" s="165">
        <f>G322*(1-'Optimal #1'!$C$57)</f>
        <v>12482.502923700002</v>
      </c>
      <c r="G322" s="262">
        <f t="shared" si="15"/>
        <v>22768.129999999997</v>
      </c>
      <c r="H322" s="262">
        <f>J322*(1-'Optimisation retraite'!$C$57)</f>
        <v>9927.0487290000056</v>
      </c>
      <c r="I322" s="101">
        <f t="shared" si="16"/>
        <v>18</v>
      </c>
      <c r="J322" s="262">
        <f t="shared" si="17"/>
        <v>18098.29</v>
      </c>
      <c r="K322" s="262">
        <f t="shared" si="18"/>
        <v>0</v>
      </c>
      <c r="L322" s="262">
        <f t="shared" si="19"/>
        <v>0</v>
      </c>
      <c r="M322" s="262">
        <f t="shared" si="20"/>
        <v>0</v>
      </c>
      <c r="N322" s="101">
        <f t="shared" si="21"/>
        <v>1513.1999999999998</v>
      </c>
      <c r="O322" s="266">
        <f t="shared" si="22"/>
        <v>11174.567189682757</v>
      </c>
      <c r="P322" s="266">
        <f t="shared" si="23"/>
        <v>14052.708077495075</v>
      </c>
      <c r="Q322" s="266">
        <f t="shared" si="24"/>
        <v>0</v>
      </c>
      <c r="R322" s="266">
        <f t="shared" si="25"/>
        <v>0</v>
      </c>
      <c r="S322" s="266">
        <f t="shared" si="26"/>
        <v>0</v>
      </c>
      <c r="T322" s="262">
        <f t="shared" si="14"/>
        <v>25227.275267177833</v>
      </c>
      <c r="U322" s="3">
        <f t="shared" si="27"/>
        <v>2.2499999999999701E-2</v>
      </c>
    </row>
    <row r="323" spans="1:21" ht="15.6" x14ac:dyDescent="0.3">
      <c r="A323" s="229">
        <f t="shared" si="11"/>
        <v>49</v>
      </c>
      <c r="B323" s="237">
        <f t="shared" si="12"/>
        <v>98659.923030517413</v>
      </c>
      <c r="C323" s="234">
        <f t="shared" si="13"/>
        <v>93737.477301198262</v>
      </c>
      <c r="D323" s="101"/>
      <c r="E323" s="101"/>
      <c r="F323" s="165">
        <f>G323*(1-'Optimal #1'!$C$57)</f>
        <v>12482.502923700002</v>
      </c>
      <c r="G323" s="262">
        <f t="shared" si="15"/>
        <v>22768.129999999997</v>
      </c>
      <c r="H323" s="262">
        <f>J323*(1-'Optimisation retraite'!$C$57)</f>
        <v>9927.0487290000056</v>
      </c>
      <c r="I323" s="101">
        <f t="shared" si="16"/>
        <v>19</v>
      </c>
      <c r="J323" s="262">
        <f t="shared" si="17"/>
        <v>18098.29</v>
      </c>
      <c r="K323" s="262">
        <f t="shared" si="18"/>
        <v>0</v>
      </c>
      <c r="L323" s="262">
        <f t="shared" si="19"/>
        <v>0</v>
      </c>
      <c r="M323" s="262">
        <f t="shared" si="20"/>
        <v>0</v>
      </c>
      <c r="N323" s="101">
        <f t="shared" si="21"/>
        <v>1513.1999999999998</v>
      </c>
      <c r="O323" s="266">
        <f t="shared" si="22"/>
        <v>11425.994951450621</v>
      </c>
      <c r="P323" s="266">
        <f t="shared" si="23"/>
        <v>14368.894009238717</v>
      </c>
      <c r="Q323" s="266">
        <f t="shared" si="24"/>
        <v>0</v>
      </c>
      <c r="R323" s="266">
        <f t="shared" si="25"/>
        <v>0</v>
      </c>
      <c r="S323" s="266">
        <f t="shared" si="26"/>
        <v>0</v>
      </c>
      <c r="T323" s="262">
        <f t="shared" si="14"/>
        <v>25794.888960689335</v>
      </c>
      <c r="U323" s="3">
        <f t="shared" si="27"/>
        <v>2.2500000000000062E-2</v>
      </c>
    </row>
    <row r="324" spans="1:21" ht="15.6" x14ac:dyDescent="0.3">
      <c r="A324" s="229">
        <f t="shared" si="11"/>
        <v>50</v>
      </c>
      <c r="B324" s="237">
        <f t="shared" si="12"/>
        <v>105151.23723404753</v>
      </c>
      <c r="C324" s="234">
        <f t="shared" si="13"/>
        <v>100455.19739698667</v>
      </c>
      <c r="D324" s="101"/>
      <c r="E324" s="101"/>
      <c r="F324" s="165">
        <f>G324*(1-'Optimal #1'!$C$57)</f>
        <v>12482.502923700002</v>
      </c>
      <c r="G324" s="262">
        <f t="shared" si="15"/>
        <v>22768.129999999997</v>
      </c>
      <c r="H324" s="262">
        <f>J324*(1-'Optimisation retraite'!$C$57)</f>
        <v>9927.0487290000056</v>
      </c>
      <c r="I324" s="101">
        <f t="shared" si="16"/>
        <v>20</v>
      </c>
      <c r="J324" s="262">
        <f t="shared" si="17"/>
        <v>18098.29</v>
      </c>
      <c r="K324" s="262">
        <f t="shared" si="18"/>
        <v>0</v>
      </c>
      <c r="L324" s="262">
        <f t="shared" si="19"/>
        <v>0</v>
      </c>
      <c r="M324" s="262">
        <f t="shared" si="20"/>
        <v>0</v>
      </c>
      <c r="N324" s="101">
        <f t="shared" si="21"/>
        <v>1513.1999999999998</v>
      </c>
      <c r="O324" s="266">
        <f t="shared" si="22"/>
        <v>11683.079837858259</v>
      </c>
      <c r="P324" s="266">
        <f t="shared" si="23"/>
        <v>14692.194124446587</v>
      </c>
      <c r="Q324" s="266">
        <f t="shared" si="24"/>
        <v>0</v>
      </c>
      <c r="R324" s="266">
        <f t="shared" si="25"/>
        <v>0</v>
      </c>
      <c r="S324" s="266">
        <f t="shared" si="26"/>
        <v>0</v>
      </c>
      <c r="T324" s="262">
        <f t="shared" si="14"/>
        <v>26375.273962304847</v>
      </c>
      <c r="U324" s="3">
        <f t="shared" si="27"/>
        <v>2.2500000000000075E-2</v>
      </c>
    </row>
    <row r="325" spans="1:21" ht="15.6" x14ac:dyDescent="0.3">
      <c r="A325" s="229">
        <f t="shared" si="11"/>
        <v>51</v>
      </c>
      <c r="B325" s="237">
        <f t="shared" si="12"/>
        <v>111973.60846195764</v>
      </c>
      <c r="C325" s="234">
        <f t="shared" si="13"/>
        <v>107515.52121766029</v>
      </c>
      <c r="D325" s="101"/>
      <c r="E325" s="101"/>
      <c r="F325" s="165">
        <f>G325*(1-'Optimal #1'!$C$57)</f>
        <v>12482.502923700002</v>
      </c>
      <c r="G325" s="262">
        <f t="shared" si="15"/>
        <v>22768.129999999997</v>
      </c>
      <c r="H325" s="262">
        <f>J325*(1-'Optimisation retraite'!$C$57)</f>
        <v>9927.0487290000056</v>
      </c>
      <c r="I325" s="101">
        <f t="shared" si="16"/>
        <v>21</v>
      </c>
      <c r="J325" s="262">
        <f t="shared" si="17"/>
        <v>18098.29</v>
      </c>
      <c r="K325" s="262">
        <f t="shared" si="18"/>
        <v>0</v>
      </c>
      <c r="L325" s="262">
        <f t="shared" si="19"/>
        <v>0</v>
      </c>
      <c r="M325" s="262">
        <f t="shared" si="20"/>
        <v>0</v>
      </c>
      <c r="N325" s="101">
        <f t="shared" si="21"/>
        <v>1513.1999999999998</v>
      </c>
      <c r="O325" s="266">
        <f t="shared" si="22"/>
        <v>11945.94913421007</v>
      </c>
      <c r="P325" s="266">
        <f t="shared" si="23"/>
        <v>15022.768492246636</v>
      </c>
      <c r="Q325" s="266">
        <f t="shared" si="24"/>
        <v>0</v>
      </c>
      <c r="R325" s="266">
        <f t="shared" si="25"/>
        <v>0</v>
      </c>
      <c r="S325" s="266">
        <f t="shared" si="26"/>
        <v>0</v>
      </c>
      <c r="T325" s="262">
        <f t="shared" si="14"/>
        <v>26968.717626456706</v>
      </c>
      <c r="U325" s="3">
        <f t="shared" si="27"/>
        <v>2.2499999999999985E-2</v>
      </c>
    </row>
    <row r="326" spans="1:21" ht="15.6" x14ac:dyDescent="0.3">
      <c r="A326" s="229">
        <f t="shared" si="11"/>
        <v>52</v>
      </c>
      <c r="B326" s="237">
        <f t="shared" si="12"/>
        <v>119143.92062249119</v>
      </c>
      <c r="C326" s="234">
        <f t="shared" si="13"/>
        <v>114935.92155318827</v>
      </c>
      <c r="D326" s="101"/>
      <c r="E326" s="101"/>
      <c r="F326" s="165">
        <f>G326*(1-'Optimal #1'!$C$57)</f>
        <v>12482.502923700002</v>
      </c>
      <c r="G326" s="262">
        <f t="shared" si="15"/>
        <v>22768.129999999997</v>
      </c>
      <c r="H326" s="262">
        <f>J326*(1-'Optimisation retraite'!$C$57)</f>
        <v>9927.0487290000056</v>
      </c>
      <c r="I326" s="101">
        <f t="shared" si="16"/>
        <v>22</v>
      </c>
      <c r="J326" s="262">
        <f t="shared" si="17"/>
        <v>18098.29</v>
      </c>
      <c r="K326" s="262">
        <f t="shared" si="18"/>
        <v>0</v>
      </c>
      <c r="L326" s="262">
        <f t="shared" si="19"/>
        <v>0</v>
      </c>
      <c r="M326" s="262">
        <f t="shared" si="20"/>
        <v>0</v>
      </c>
      <c r="N326" s="101">
        <f t="shared" si="21"/>
        <v>1513.1999999999998</v>
      </c>
      <c r="O326" s="266">
        <f t="shared" si="22"/>
        <v>12214.732989729795</v>
      </c>
      <c r="P326" s="266">
        <f t="shared" si="23"/>
        <v>15360.780783322183</v>
      </c>
      <c r="Q326" s="266">
        <f t="shared" si="24"/>
        <v>0</v>
      </c>
      <c r="R326" s="266">
        <f t="shared" si="25"/>
        <v>0</v>
      </c>
      <c r="S326" s="266">
        <f t="shared" si="26"/>
        <v>0</v>
      </c>
      <c r="T326" s="262">
        <f t="shared" si="14"/>
        <v>27575.513773051978</v>
      </c>
      <c r="U326" s="3">
        <f t="shared" si="27"/>
        <v>2.249999999999986E-2</v>
      </c>
    </row>
    <row r="327" spans="1:21" ht="15.6" x14ac:dyDescent="0.3">
      <c r="A327" s="229">
        <f t="shared" si="11"/>
        <v>53</v>
      </c>
      <c r="B327" s="237">
        <f t="shared" si="12"/>
        <v>126679.91870321191</v>
      </c>
      <c r="C327" s="234">
        <f t="shared" si="13"/>
        <v>122734.76230582816</v>
      </c>
      <c r="D327" s="101"/>
      <c r="E327" s="101"/>
      <c r="F327" s="165">
        <f>G327*(1-'Optimal #1'!$C$57)</f>
        <v>12482.502923700002</v>
      </c>
      <c r="G327" s="262">
        <f t="shared" si="15"/>
        <v>22768.129999999997</v>
      </c>
      <c r="H327" s="262">
        <f>J327*(1-'Optimisation retraite'!$C$57)</f>
        <v>9927.0487290000056</v>
      </c>
      <c r="I327" s="101">
        <f t="shared" si="16"/>
        <v>23</v>
      </c>
      <c r="J327" s="262">
        <f t="shared" si="17"/>
        <v>18098.29</v>
      </c>
      <c r="K327" s="262">
        <f t="shared" si="18"/>
        <v>0</v>
      </c>
      <c r="L327" s="262">
        <f t="shared" si="19"/>
        <v>0</v>
      </c>
      <c r="M327" s="262">
        <f t="shared" si="20"/>
        <v>0</v>
      </c>
      <c r="N327" s="101">
        <f t="shared" si="21"/>
        <v>1513.1999999999998</v>
      </c>
      <c r="O327" s="266">
        <f t="shared" si="22"/>
        <v>12489.564481998714</v>
      </c>
      <c r="P327" s="266">
        <f t="shared" si="23"/>
        <v>15706.398350946931</v>
      </c>
      <c r="Q327" s="266">
        <f t="shared" si="24"/>
        <v>0</v>
      </c>
      <c r="R327" s="266">
        <f t="shared" si="25"/>
        <v>0</v>
      </c>
      <c r="S327" s="266">
        <f t="shared" si="26"/>
        <v>0</v>
      </c>
      <c r="T327" s="262">
        <f t="shared" si="14"/>
        <v>28195.962832945646</v>
      </c>
      <c r="U327" s="3">
        <f t="shared" si="27"/>
        <v>2.2499999999999951E-2</v>
      </c>
    </row>
    <row r="328" spans="1:21" ht="15.6" x14ac:dyDescent="0.3">
      <c r="A328" s="229">
        <f t="shared" si="11"/>
        <v>54</v>
      </c>
      <c r="B328" s="237">
        <f t="shared" si="12"/>
        <v>134600.25268604944</v>
      </c>
      <c r="C328" s="234">
        <f t="shared" si="13"/>
        <v>130931.34393685269</v>
      </c>
      <c r="D328" s="101"/>
      <c r="E328" s="101"/>
      <c r="F328" s="165">
        <f>G328*(1-'Optimal #1'!$C$57)</f>
        <v>12482.502923700002</v>
      </c>
      <c r="G328" s="262">
        <f t="shared" si="15"/>
        <v>22768.129999999997</v>
      </c>
      <c r="H328" s="262">
        <f>J328*(1-'Optimisation retraite'!$C$57)</f>
        <v>9927.0487290000056</v>
      </c>
      <c r="I328" s="101">
        <f t="shared" si="16"/>
        <v>24</v>
      </c>
      <c r="J328" s="262">
        <f t="shared" si="17"/>
        <v>18098.29</v>
      </c>
      <c r="K328" s="262">
        <f t="shared" si="18"/>
        <v>0</v>
      </c>
      <c r="L328" s="262">
        <f t="shared" si="19"/>
        <v>0</v>
      </c>
      <c r="M328" s="262">
        <f t="shared" si="20"/>
        <v>0</v>
      </c>
      <c r="N328" s="101">
        <f t="shared" si="21"/>
        <v>1513.1999999999998</v>
      </c>
      <c r="O328" s="266">
        <f t="shared" si="22"/>
        <v>12770.579682843685</v>
      </c>
      <c r="P328" s="266">
        <f t="shared" si="23"/>
        <v>16059.792313843236</v>
      </c>
      <c r="Q328" s="266">
        <f t="shared" si="24"/>
        <v>0</v>
      </c>
      <c r="R328" s="266">
        <f t="shared" si="25"/>
        <v>0</v>
      </c>
      <c r="S328" s="266">
        <f t="shared" si="26"/>
        <v>0</v>
      </c>
      <c r="T328" s="262">
        <f t="shared" si="14"/>
        <v>28830.371996686921</v>
      </c>
      <c r="U328" s="3">
        <f t="shared" si="27"/>
        <v>2.2499999999999923E-2</v>
      </c>
    </row>
    <row r="329" spans="1:21" ht="15.6" x14ac:dyDescent="0.3">
      <c r="A329" s="229">
        <f t="shared" si="11"/>
        <v>55</v>
      </c>
      <c r="B329" s="237">
        <f t="shared" si="12"/>
        <v>142924.52370201168</v>
      </c>
      <c r="C329" s="234">
        <f t="shared" si="13"/>
        <v>139545.9512310595</v>
      </c>
      <c r="D329" s="101"/>
      <c r="E329" s="101"/>
      <c r="F329" s="165">
        <f>G329*(1-'Optimal #1'!$C$57)</f>
        <v>12482.502923700002</v>
      </c>
      <c r="G329" s="262">
        <f t="shared" si="15"/>
        <v>22768.129999999997</v>
      </c>
      <c r="H329" s="262">
        <f>J329*(1-'Optimisation retraite'!$C$57)</f>
        <v>9927.0487290000056</v>
      </c>
      <c r="I329" s="101">
        <f t="shared" si="16"/>
        <v>25</v>
      </c>
      <c r="J329" s="262">
        <f t="shared" si="17"/>
        <v>18098.29</v>
      </c>
      <c r="K329" s="262">
        <f t="shared" si="18"/>
        <v>0</v>
      </c>
      <c r="L329" s="262">
        <f t="shared" si="19"/>
        <v>0</v>
      </c>
      <c r="M329" s="262">
        <f t="shared" si="20"/>
        <v>0</v>
      </c>
      <c r="N329" s="101">
        <f t="shared" si="21"/>
        <v>1513.1999999999998</v>
      </c>
      <c r="O329" s="266">
        <f t="shared" si="22"/>
        <v>13057.917725707664</v>
      </c>
      <c r="P329" s="266">
        <f t="shared" si="23"/>
        <v>16421.137640904704</v>
      </c>
      <c r="Q329" s="266">
        <f t="shared" si="24"/>
        <v>0</v>
      </c>
      <c r="R329" s="266">
        <f t="shared" si="25"/>
        <v>0</v>
      </c>
      <c r="S329" s="266">
        <f t="shared" si="26"/>
        <v>0</v>
      </c>
      <c r="T329" s="262">
        <f t="shared" si="14"/>
        <v>29479.055366612367</v>
      </c>
      <c r="U329" s="3">
        <f t="shared" si="27"/>
        <v>2.2499999999999652E-2</v>
      </c>
    </row>
    <row r="330" spans="1:21" ht="15.6" x14ac:dyDescent="0.3">
      <c r="A330" s="229">
        <f t="shared" si="11"/>
        <v>56</v>
      </c>
      <c r="B330" s="237">
        <f t="shared" si="12"/>
        <v>151673.33253978795</v>
      </c>
      <c r="C330" s="234">
        <f t="shared" si="13"/>
        <v>148599.9034972708</v>
      </c>
      <c r="D330" s="101"/>
      <c r="E330" s="101"/>
      <c r="F330" s="165">
        <f>G330*(1-'Optimal #1'!$C$57)</f>
        <v>12482.502923700002</v>
      </c>
      <c r="G330" s="262">
        <f t="shared" si="15"/>
        <v>22768.129999999997</v>
      </c>
      <c r="H330" s="262">
        <f>J330*(1-'Optimisation retraite'!$C$57)</f>
        <v>9927.0487290000056</v>
      </c>
      <c r="I330" s="101">
        <f t="shared" si="16"/>
        <v>26</v>
      </c>
      <c r="J330" s="262">
        <f t="shared" si="17"/>
        <v>18098.29</v>
      </c>
      <c r="K330" s="262">
        <f t="shared" si="18"/>
        <v>0</v>
      </c>
      <c r="L330" s="262">
        <f t="shared" si="19"/>
        <v>0</v>
      </c>
      <c r="M330" s="262">
        <f t="shared" si="20"/>
        <v>0</v>
      </c>
      <c r="N330" s="101">
        <f t="shared" si="21"/>
        <v>1513.1999999999998</v>
      </c>
      <c r="O330" s="266">
        <f t="shared" si="22"/>
        <v>13351.720874536088</v>
      </c>
      <c r="P330" s="266">
        <f t="shared" si="23"/>
        <v>16790.613237825062</v>
      </c>
      <c r="Q330" s="266">
        <f t="shared" si="24"/>
        <v>0</v>
      </c>
      <c r="R330" s="266">
        <f t="shared" si="25"/>
        <v>0</v>
      </c>
      <c r="S330" s="266">
        <f t="shared" si="26"/>
        <v>0</v>
      </c>
      <c r="T330" s="262">
        <f t="shared" si="14"/>
        <v>30142.33411236115</v>
      </c>
      <c r="U330" s="3">
        <f t="shared" si="27"/>
        <v>2.2500000000000159E-2</v>
      </c>
    </row>
    <row r="331" spans="1:21" ht="15.6" x14ac:dyDescent="0.3">
      <c r="A331" s="229">
        <f t="shared" si="11"/>
        <v>57</v>
      </c>
      <c r="B331" s="237">
        <f t="shared" si="12"/>
        <v>160868.33062829086</v>
      </c>
      <c r="C331" s="234">
        <f t="shared" si="13"/>
        <v>158115.60732905896</v>
      </c>
      <c r="D331" s="101"/>
      <c r="E331" s="101"/>
      <c r="F331" s="165">
        <f>G331*(1-'Optimal #1'!$C$57)</f>
        <v>12482.502923700002</v>
      </c>
      <c r="G331" s="262">
        <f t="shared" si="15"/>
        <v>22768.129999999997</v>
      </c>
      <c r="H331" s="262">
        <f>J331*(1-'Optimisation retraite'!$C$57)</f>
        <v>9927.0487290000056</v>
      </c>
      <c r="I331" s="101">
        <f t="shared" si="16"/>
        <v>27</v>
      </c>
      <c r="J331" s="262">
        <f t="shared" si="17"/>
        <v>18098.29</v>
      </c>
      <c r="K331" s="262">
        <f t="shared" si="18"/>
        <v>0</v>
      </c>
      <c r="L331" s="262">
        <f t="shared" si="19"/>
        <v>0</v>
      </c>
      <c r="M331" s="262">
        <f t="shared" si="20"/>
        <v>0</v>
      </c>
      <c r="N331" s="101">
        <f t="shared" si="21"/>
        <v>1513.1999999999998</v>
      </c>
      <c r="O331" s="266">
        <f t="shared" si="22"/>
        <v>13652.134594213148</v>
      </c>
      <c r="P331" s="266">
        <f t="shared" si="23"/>
        <v>17168.402035676125</v>
      </c>
      <c r="Q331" s="266">
        <f t="shared" si="24"/>
        <v>0</v>
      </c>
      <c r="R331" s="266">
        <f t="shared" si="25"/>
        <v>0</v>
      </c>
      <c r="S331" s="266">
        <f t="shared" si="26"/>
        <v>0</v>
      </c>
      <c r="T331" s="262">
        <f t="shared" si="14"/>
        <v>30820.536629889273</v>
      </c>
      <c r="U331" s="3">
        <f t="shared" si="27"/>
        <v>2.2499999999999912E-2</v>
      </c>
    </row>
    <row r="332" spans="1:21" ht="15.6" x14ac:dyDescent="0.3">
      <c r="A332" s="229">
        <f t="shared" si="11"/>
        <v>58</v>
      </c>
      <c r="B332" s="237">
        <f t="shared" si="12"/>
        <v>170532.27361930741</v>
      </c>
      <c r="C332" s="234">
        <f t="shared" si="13"/>
        <v>168116.6120562682</v>
      </c>
      <c r="D332" s="101"/>
      <c r="E332" s="101"/>
      <c r="F332" s="165">
        <f>G332*(1-'Optimal #1'!$C$57)</f>
        <v>12482.502923700002</v>
      </c>
      <c r="G332" s="262">
        <f t="shared" si="15"/>
        <v>22768.129999999997</v>
      </c>
      <c r="H332" s="262">
        <f>J332*(1-'Optimisation retraite'!$C$57)</f>
        <v>9927.0487290000056</v>
      </c>
      <c r="I332" s="101">
        <f t="shared" si="16"/>
        <v>28</v>
      </c>
      <c r="J332" s="262">
        <f t="shared" si="17"/>
        <v>18098.29</v>
      </c>
      <c r="K332" s="262">
        <f t="shared" si="18"/>
        <v>0</v>
      </c>
      <c r="L332" s="262">
        <f t="shared" si="19"/>
        <v>0</v>
      </c>
      <c r="M332" s="262">
        <f t="shared" si="20"/>
        <v>0</v>
      </c>
      <c r="N332" s="101">
        <f t="shared" si="21"/>
        <v>1513.1999999999998</v>
      </c>
      <c r="O332" s="266">
        <f t="shared" si="22"/>
        <v>13959.307622582945</v>
      </c>
      <c r="P332" s="266">
        <f t="shared" si="23"/>
        <v>17554.691081478835</v>
      </c>
      <c r="Q332" s="266">
        <f t="shared" si="24"/>
        <v>0</v>
      </c>
      <c r="R332" s="266">
        <f t="shared" si="25"/>
        <v>0</v>
      </c>
      <c r="S332" s="266">
        <f t="shared" si="26"/>
        <v>0</v>
      </c>
      <c r="T332" s="262">
        <f t="shared" si="14"/>
        <v>31513.998704061778</v>
      </c>
      <c r="U332" s="3">
        <f t="shared" si="27"/>
        <v>2.2499999999999874E-2</v>
      </c>
    </row>
    <row r="333" spans="1:21" ht="15.6" x14ac:dyDescent="0.3">
      <c r="A333" s="229">
        <f t="shared" si="11"/>
        <v>59</v>
      </c>
      <c r="B333" s="237">
        <f t="shared" si="12"/>
        <v>180689.07770286579</v>
      </c>
      <c r="C333" s="234">
        <f t="shared" si="13"/>
        <v>178627.66802456518</v>
      </c>
      <c r="D333" s="101"/>
      <c r="E333" s="101"/>
      <c r="F333" s="165">
        <f>G333*(1-'Optimal #1'!$C$57)</f>
        <v>12482.502923700002</v>
      </c>
      <c r="G333" s="262">
        <f t="shared" si="15"/>
        <v>22768.129999999997</v>
      </c>
      <c r="H333" s="262">
        <f>J333*(1-'Optimisation retraite'!$C$57)</f>
        <v>9927.0487290000056</v>
      </c>
      <c r="I333" s="101">
        <f t="shared" si="16"/>
        <v>29</v>
      </c>
      <c r="J333" s="262">
        <f t="shared" si="17"/>
        <v>18098.29</v>
      </c>
      <c r="K333" s="262">
        <f t="shared" si="18"/>
        <v>0</v>
      </c>
      <c r="L333" s="262">
        <f t="shared" si="19"/>
        <v>0</v>
      </c>
      <c r="M333" s="262">
        <f t="shared" si="20"/>
        <v>0</v>
      </c>
      <c r="N333" s="101">
        <f t="shared" si="21"/>
        <v>1513.1999999999998</v>
      </c>
      <c r="O333" s="266">
        <f t="shared" si="22"/>
        <v>14273.392044091061</v>
      </c>
      <c r="P333" s="266">
        <f t="shared" si="23"/>
        <v>17949.67163081211</v>
      </c>
      <c r="Q333" s="266">
        <f t="shared" si="24"/>
        <v>0</v>
      </c>
      <c r="R333" s="266">
        <f t="shared" si="25"/>
        <v>0</v>
      </c>
      <c r="S333" s="266">
        <f t="shared" si="26"/>
        <v>0</v>
      </c>
      <c r="T333" s="262">
        <f t="shared" si="14"/>
        <v>32223.063674903169</v>
      </c>
      <c r="U333" s="3">
        <f t="shared" si="27"/>
        <v>2.2500000000000037E-2</v>
      </c>
    </row>
    <row r="334" spans="1:21" ht="15.6" x14ac:dyDescent="0.3">
      <c r="A334" s="229">
        <f t="shared" si="11"/>
        <v>60</v>
      </c>
      <c r="B334" s="237">
        <f t="shared" si="12"/>
        <v>191363.87879468562</v>
      </c>
      <c r="C334" s="234">
        <f t="shared" si="13"/>
        <v>189674.78784724534</v>
      </c>
      <c r="D334" s="101"/>
      <c r="E334" s="101"/>
      <c r="F334" s="165">
        <f>G334*(1-'Optimal #1'!$C$57)</f>
        <v>12482.502923700002</v>
      </c>
      <c r="G334" s="262">
        <f t="shared" si="15"/>
        <v>22768.129999999997</v>
      </c>
      <c r="H334" s="262">
        <f>J334*(1-'Optimisation retraite'!$C$57)</f>
        <v>9927.0487290000056</v>
      </c>
      <c r="I334" s="101">
        <f t="shared" si="16"/>
        <v>30</v>
      </c>
      <c r="J334" s="262">
        <f t="shared" si="17"/>
        <v>18098.29</v>
      </c>
      <c r="K334" s="262">
        <f t="shared" si="18"/>
        <v>0</v>
      </c>
      <c r="L334" s="262">
        <f t="shared" si="19"/>
        <v>0</v>
      </c>
      <c r="M334" s="262">
        <f t="shared" si="20"/>
        <v>0</v>
      </c>
      <c r="N334" s="101">
        <f t="shared" si="21"/>
        <v>1513.1999999999998</v>
      </c>
      <c r="O334" s="266">
        <f t="shared" si="22"/>
        <v>14594.543365083109</v>
      </c>
      <c r="P334" s="266">
        <f t="shared" si="23"/>
        <v>18353.539242505383</v>
      </c>
      <c r="Q334" s="266">
        <f t="shared" si="24"/>
        <v>0</v>
      </c>
      <c r="R334" s="266">
        <f t="shared" si="25"/>
        <v>0</v>
      </c>
      <c r="S334" s="266">
        <f t="shared" si="26"/>
        <v>0</v>
      </c>
      <c r="T334" s="262">
        <f t="shared" si="14"/>
        <v>32948.082607588491</v>
      </c>
      <c r="U334" s="3">
        <f t="shared" si="27"/>
        <v>2.2500000000000006E-2</v>
      </c>
    </row>
    <row r="335" spans="1:21" ht="15.6" x14ac:dyDescent="0.3">
      <c r="A335" s="229">
        <f t="shared" si="11"/>
        <v>61</v>
      </c>
      <c r="B335" s="237">
        <f t="shared" si="12"/>
        <v>202583.09474218829</v>
      </c>
      <c r="C335" s="234">
        <f t="shared" si="13"/>
        <v>201285.31078088214</v>
      </c>
      <c r="D335" s="101"/>
      <c r="E335" s="101"/>
      <c r="F335" s="165">
        <f>G335*(1-'Optimal #1'!$C$57)</f>
        <v>12482.502923700002</v>
      </c>
      <c r="G335" s="262">
        <f t="shared" si="15"/>
        <v>22768.129999999997</v>
      </c>
      <c r="H335" s="262">
        <f>J335*(1-'Optimisation retraite'!$C$57)</f>
        <v>9927.0487290000056</v>
      </c>
      <c r="I335" s="101">
        <f t="shared" si="16"/>
        <v>31</v>
      </c>
      <c r="J335" s="262">
        <f t="shared" si="17"/>
        <v>18098.29</v>
      </c>
      <c r="K335" s="262">
        <f t="shared" ref="K335:K338" si="28">$K$304*POWER((1+$K$303),I335)</f>
        <v>0</v>
      </c>
      <c r="L335" s="262">
        <f t="shared" ref="L335:L338" si="29">$L$304*POWER((1+$L$303),I335)</f>
        <v>0</v>
      </c>
      <c r="M335" s="262">
        <f t="shared" si="20"/>
        <v>0</v>
      </c>
      <c r="N335" s="101">
        <f t="shared" si="21"/>
        <v>1513.1999999999998</v>
      </c>
      <c r="O335" s="266">
        <f t="shared" si="22"/>
        <v>14922.920590797479</v>
      </c>
      <c r="P335" s="266">
        <f t="shared" si="23"/>
        <v>18766.493875461754</v>
      </c>
      <c r="Q335" s="266">
        <f t="shared" si="24"/>
        <v>0</v>
      </c>
      <c r="R335" s="266">
        <f t="shared" si="25"/>
        <v>0</v>
      </c>
      <c r="S335" s="266">
        <f t="shared" si="26"/>
        <v>0</v>
      </c>
      <c r="T335" s="262">
        <f t="shared" si="14"/>
        <v>33689.41446625923</v>
      </c>
      <c r="U335" s="3">
        <f t="shared" si="27"/>
        <v>2.2499999999999944E-2</v>
      </c>
    </row>
    <row r="336" spans="1:21" ht="15.6" x14ac:dyDescent="0.3">
      <c r="A336" s="229">
        <f t="shared" si="11"/>
        <v>62</v>
      </c>
      <c r="B336" s="237">
        <f t="shared" si="12"/>
        <v>214374.49070301361</v>
      </c>
      <c r="C336" s="234">
        <f t="shared" si="13"/>
        <v>213487.97038413445</v>
      </c>
      <c r="D336" s="101"/>
      <c r="E336" s="101"/>
      <c r="F336" s="165">
        <f>G336*(1-'Optimal #1'!$C$57)</f>
        <v>12482.502923700002</v>
      </c>
      <c r="G336" s="262">
        <f t="shared" si="15"/>
        <v>22768.129999999997</v>
      </c>
      <c r="H336" s="262">
        <f>J336*(1-'Optimisation retraite'!$C$57)</f>
        <v>9927.0487290000056</v>
      </c>
      <c r="I336" s="101">
        <f t="shared" si="16"/>
        <v>32</v>
      </c>
      <c r="J336" s="262">
        <f t="shared" si="17"/>
        <v>18098.29</v>
      </c>
      <c r="K336" s="262">
        <f t="shared" si="28"/>
        <v>0</v>
      </c>
      <c r="L336" s="262">
        <f t="shared" si="29"/>
        <v>0</v>
      </c>
      <c r="M336" s="262">
        <f t="shared" si="20"/>
        <v>0</v>
      </c>
      <c r="N336" s="101">
        <f t="shared" si="21"/>
        <v>1513.1999999999998</v>
      </c>
      <c r="O336" s="266">
        <f t="shared" si="22"/>
        <v>15258.686304090417</v>
      </c>
      <c r="P336" s="266">
        <f t="shared" si="23"/>
        <v>19188.739987659636</v>
      </c>
      <c r="Q336" s="266">
        <f t="shared" si="24"/>
        <v>0</v>
      </c>
      <c r="R336" s="266">
        <f t="shared" si="25"/>
        <v>0</v>
      </c>
      <c r="S336" s="266">
        <f t="shared" si="26"/>
        <v>0</v>
      </c>
      <c r="T336" s="262">
        <f t="shared" si="14"/>
        <v>34447.426291750053</v>
      </c>
      <c r="U336" s="3">
        <f t="shared" si="27"/>
        <v>2.2499999999999711E-2</v>
      </c>
    </row>
    <row r="337" spans="1:21" ht="15.6" x14ac:dyDescent="0.3">
      <c r="A337" s="8">
        <f t="shared" si="11"/>
        <v>63</v>
      </c>
      <c r="B337" s="16">
        <f t="shared" si="12"/>
        <v>226767.24785784099</v>
      </c>
      <c r="C337" s="9">
        <f t="shared" si="13"/>
        <v>226312.96562715259</v>
      </c>
      <c r="F337" s="165">
        <f>G337*(1-'Optimal #1'!$C$57)</f>
        <v>12482.502923700002</v>
      </c>
      <c r="G337" s="262">
        <f t="shared" si="15"/>
        <v>22768.129999999997</v>
      </c>
      <c r="H337" s="262">
        <f>J337*(1-'Optimisation retraite'!$C$57)</f>
        <v>9927.0487290000056</v>
      </c>
      <c r="I337" s="101">
        <f t="shared" si="16"/>
        <v>33</v>
      </c>
      <c r="J337" s="262">
        <f t="shared" si="17"/>
        <v>18098.29</v>
      </c>
      <c r="K337" s="262">
        <f t="shared" si="28"/>
        <v>0</v>
      </c>
      <c r="L337" s="262">
        <f t="shared" si="29"/>
        <v>0</v>
      </c>
      <c r="M337" s="262">
        <f t="shared" si="20"/>
        <v>0</v>
      </c>
      <c r="N337" s="101">
        <f t="shared" si="21"/>
        <v>1513.1999999999998</v>
      </c>
      <c r="O337" s="266">
        <f t="shared" si="22"/>
        <v>15602.006745932453</v>
      </c>
      <c r="P337" s="266">
        <f t="shared" si="23"/>
        <v>19620.486637381979</v>
      </c>
      <c r="Q337" s="266">
        <f t="shared" si="24"/>
        <v>0</v>
      </c>
      <c r="R337" s="266">
        <f t="shared" si="25"/>
        <v>0</v>
      </c>
      <c r="S337" s="266">
        <f t="shared" si="26"/>
        <v>0</v>
      </c>
      <c r="T337" s="262">
        <f t="shared" si="14"/>
        <v>35222.493383314431</v>
      </c>
      <c r="U337" s="3">
        <f t="shared" si="27"/>
        <v>2.2500000000000072E-2</v>
      </c>
    </row>
    <row r="338" spans="1:21" ht="15.6" x14ac:dyDescent="0.3">
      <c r="A338" s="8">
        <f t="shared" si="11"/>
        <v>64</v>
      </c>
      <c r="B338" s="16">
        <f t="shared" si="12"/>
        <v>239792.03562756459</v>
      </c>
      <c r="C338" s="9">
        <f t="shared" si="13"/>
        <v>239792.03562756468</v>
      </c>
      <c r="F338" s="165">
        <f>G338*(1-'Optimal #1'!$C$57)</f>
        <v>12482.502923700002</v>
      </c>
      <c r="G338" s="262">
        <f t="shared" si="15"/>
        <v>22768.129999999997</v>
      </c>
      <c r="H338" s="262">
        <f>J338*(1-'Optimisation retraite'!$C$57)</f>
        <v>9927.0487290000056</v>
      </c>
      <c r="I338">
        <v>34</v>
      </c>
      <c r="J338" s="262">
        <f t="shared" si="17"/>
        <v>18098.29</v>
      </c>
      <c r="K338" s="262">
        <f t="shared" si="28"/>
        <v>0</v>
      </c>
      <c r="L338" s="262">
        <f t="shared" si="29"/>
        <v>0</v>
      </c>
      <c r="M338" s="262">
        <f t="shared" si="20"/>
        <v>0</v>
      </c>
      <c r="N338" s="101">
        <f t="shared" si="21"/>
        <v>1513.1999999999998</v>
      </c>
      <c r="O338" s="266">
        <f t="shared" si="22"/>
        <v>15953.05189771593</v>
      </c>
      <c r="P338" s="266">
        <f t="shared" si="23"/>
        <v>20061.947586723069</v>
      </c>
      <c r="Q338" s="266">
        <f t="shared" si="24"/>
        <v>0</v>
      </c>
      <c r="R338" s="266">
        <f t="shared" si="25"/>
        <v>0</v>
      </c>
      <c r="S338" s="266">
        <f t="shared" si="26"/>
        <v>0</v>
      </c>
      <c r="T338" s="262">
        <f t="shared" si="14"/>
        <v>36014.999484439002</v>
      </c>
      <c r="U338" s="3">
        <f t="shared" si="27"/>
        <v>2.2499999999999885E-2</v>
      </c>
    </row>
    <row r="339" spans="1:21" x14ac:dyDescent="0.3">
      <c r="N339" t="s">
        <v>194</v>
      </c>
      <c r="U339" s="3">
        <f>AVERAGE(U305:U338)</f>
        <v>2.2499999999999937E-2</v>
      </c>
    </row>
    <row r="340" spans="1:21" x14ac:dyDescent="0.3">
      <c r="J340" s="263">
        <f>SUM(J304:J334)</f>
        <v>561046.98999999987</v>
      </c>
    </row>
    <row r="341" spans="1:21" x14ac:dyDescent="0.3">
      <c r="J341" s="263">
        <f>PV(H296,H297,,-J340)</f>
        <v>291273.84000184527</v>
      </c>
    </row>
    <row r="342" spans="1:21" x14ac:dyDescent="0.3">
      <c r="J342" s="263">
        <f>J347</f>
        <v>18098.289999999997</v>
      </c>
    </row>
    <row r="343" spans="1:21" x14ac:dyDescent="0.3">
      <c r="I343" t="s">
        <v>418</v>
      </c>
      <c r="J343" s="263">
        <f>J342/K343</f>
        <v>9284.0622235616192</v>
      </c>
      <c r="K343">
        <f>POWER((1+J303),30)</f>
        <v>1.9493934405210178</v>
      </c>
    </row>
    <row r="344" spans="1:21" x14ac:dyDescent="0.3">
      <c r="H344" s="263">
        <f>IF(OR('Optimisation retraite'!B13&gt;0,'Optimisation retraite'!C13&gt;0),J344,'Optimisation retraite'!B57)</f>
        <v>9927.0487290000056</v>
      </c>
      <c r="I344" t="s">
        <v>419</v>
      </c>
      <c r="J344" s="263">
        <f>IF(OR('Optimisation retraite'!B13&gt;0,'Optimisation retraite'!C13&gt;0),J342*(1-'Optimisation retraite'!C67)/K343,'Optimisation retraite'!B57)</f>
        <v>9927.0487290000056</v>
      </c>
    </row>
    <row r="346" spans="1:21" x14ac:dyDescent="0.3">
      <c r="J346" s="263">
        <f>J340*(1-'Optimisation retraite'!C67)</f>
        <v>301259.51059900003</v>
      </c>
    </row>
    <row r="347" spans="1:21" x14ac:dyDescent="0.3">
      <c r="F347">
        <f>AVERAGE(F304:F334)</f>
        <v>12482.502923700009</v>
      </c>
      <c r="G347">
        <f>AVERAGE(G304:G334)</f>
        <v>22768.13</v>
      </c>
      <c r="H347" s="264">
        <f>AVERAGE(H304:H334)</f>
        <v>9927.0487290000074</v>
      </c>
      <c r="J347" s="264">
        <f>AVERAGE(J304:J334)</f>
        <v>18098.289999999997</v>
      </c>
    </row>
  </sheetData>
  <sheetProtection algorithmName="SHA-512" hashValue="kTEgpxG6gfkGQRD9VzXzHlHDP5OvQzia8iRx07IAgX4qrwY45gMcwD7Smp8kmXppKZdDhn2B8Ip90MPWENmkPw==" saltValue="qh+NEmfjw8040LsJLOiJyg==" spinCount="100000" sheet="1" objects="1" scenarios="1"/>
  <mergeCells count="9">
    <mergeCell ref="C43:D43"/>
    <mergeCell ref="E43:F43"/>
    <mergeCell ref="I43:J43"/>
    <mergeCell ref="K43:L43"/>
    <mergeCell ref="A4:B4"/>
    <mergeCell ref="C4:D4"/>
    <mergeCell ref="E4:F4"/>
    <mergeCell ref="I4:J4"/>
    <mergeCell ref="K4:L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D2372-2D9A-4FFF-A110-AB6925EF0586}">
  <dimension ref="A1:Q124"/>
  <sheetViews>
    <sheetView topLeftCell="A43" workbookViewId="0">
      <selection activeCell="A67" sqref="A67:XFD67"/>
    </sheetView>
  </sheetViews>
  <sheetFormatPr baseColWidth="10" defaultRowHeight="14.4" x14ac:dyDescent="0.3"/>
  <cols>
    <col min="1" max="1" width="41.21875" customWidth="1"/>
    <col min="2" max="2" width="14.44140625" customWidth="1"/>
    <col min="3" max="3" width="13.33203125" customWidth="1"/>
    <col min="4" max="4" width="16.44140625" customWidth="1"/>
    <col min="5" max="5" width="14.21875" customWidth="1"/>
  </cols>
  <sheetData>
    <row r="1" spans="1:17" ht="21" x14ac:dyDescent="0.4">
      <c r="A1" s="591" t="s">
        <v>167</v>
      </c>
      <c r="B1" s="592"/>
      <c r="C1" s="592"/>
      <c r="D1" s="592"/>
      <c r="E1" s="592"/>
    </row>
    <row r="2" spans="1:17" ht="21.6" thickBot="1" x14ac:dyDescent="0.45">
      <c r="A2" s="6"/>
    </row>
    <row r="3" spans="1:17" ht="15.6" x14ac:dyDescent="0.3">
      <c r="A3" s="427" t="s">
        <v>284</v>
      </c>
      <c r="B3" s="357" t="s">
        <v>67</v>
      </c>
      <c r="C3" s="357" t="s">
        <v>68</v>
      </c>
      <c r="D3" s="358" t="s">
        <v>69</v>
      </c>
    </row>
    <row r="4" spans="1:17" ht="15.6" x14ac:dyDescent="0.3">
      <c r="A4" s="321" t="s">
        <v>66</v>
      </c>
      <c r="B4" s="330">
        <f>'Optimisation retraite'!B4</f>
        <v>1</v>
      </c>
      <c r="C4" s="359"/>
      <c r="D4" s="335"/>
    </row>
    <row r="5" spans="1:17" ht="15.6" x14ac:dyDescent="0.3">
      <c r="A5" s="321" t="s">
        <v>256</v>
      </c>
      <c r="B5" s="330">
        <f>'Optimisation retraite'!B5</f>
        <v>50</v>
      </c>
      <c r="C5" s="330">
        <f>'Optimisation retraite'!C5</f>
        <v>0</v>
      </c>
      <c r="D5" s="335"/>
      <c r="M5" s="38" t="s">
        <v>102</v>
      </c>
      <c r="N5" s="38"/>
    </row>
    <row r="6" spans="1:17" ht="15.6" x14ac:dyDescent="0.3">
      <c r="A6" s="321" t="s">
        <v>250</v>
      </c>
      <c r="B6" s="330">
        <f>'Optimisation retraite'!B6</f>
        <v>65</v>
      </c>
      <c r="C6" s="330">
        <f>'Optimisation retraite'!C6</f>
        <v>0</v>
      </c>
      <c r="D6" s="335"/>
      <c r="M6" s="38" t="s">
        <v>67</v>
      </c>
      <c r="N6" s="38" t="s">
        <v>103</v>
      </c>
    </row>
    <row r="7" spans="1:17" ht="15.6" x14ac:dyDescent="0.3">
      <c r="A7" s="360" t="s">
        <v>78</v>
      </c>
      <c r="B7" s="361">
        <f>'Optimisation retraite'!B7</f>
        <v>50000</v>
      </c>
      <c r="C7" s="330">
        <f>'Optimisation retraite'!C7</f>
        <v>0</v>
      </c>
      <c r="D7" s="366">
        <f t="shared" ref="D7:D13" si="0">SUM(B7:C7)</f>
        <v>50000</v>
      </c>
      <c r="E7" s="96"/>
      <c r="M7" s="54">
        <f>IF(AND(B7=6,B9&gt;0),F9/(F9+G9),B7/(B7+C7))</f>
        <v>1</v>
      </c>
      <c r="N7" s="54">
        <f>100%-M7</f>
        <v>0</v>
      </c>
    </row>
    <row r="8" spans="1:17" ht="15.6" x14ac:dyDescent="0.3">
      <c r="A8" s="360" t="s">
        <v>134</v>
      </c>
      <c r="B8" s="361">
        <f>'Optimisation retraite'!B8</f>
        <v>7486.71</v>
      </c>
      <c r="C8" s="330">
        <f>'Optimisation retraite'!C8</f>
        <v>0</v>
      </c>
      <c r="D8" s="366">
        <f t="shared" si="0"/>
        <v>7486.71</v>
      </c>
      <c r="E8" s="1"/>
      <c r="F8" s="88" t="str">
        <f>IF(B7&gt;0," ",(B9*61600/80%)/(61600*25%*94.15%))</f>
        <v xml:space="preserve"> </v>
      </c>
      <c r="G8" s="88" t="str">
        <f>IF(OR(B4=1,C7&gt;0)," ",(C9*61600/80%)/(61600*25%*94.15%))</f>
        <v xml:space="preserve"> </v>
      </c>
      <c r="M8" s="277" t="s">
        <v>281</v>
      </c>
    </row>
    <row r="9" spans="1:17" ht="16.2" thickBot="1" x14ac:dyDescent="0.35">
      <c r="A9" s="321" t="s">
        <v>101</v>
      </c>
      <c r="B9" s="361">
        <f>'Optimisation retraite'!B9</f>
        <v>9415</v>
      </c>
      <c r="C9" s="330">
        <f>'Optimisation retraite'!C9</f>
        <v>0</v>
      </c>
      <c r="D9" s="366">
        <f t="shared" si="0"/>
        <v>9415</v>
      </c>
      <c r="E9" s="1"/>
      <c r="F9" s="1"/>
      <c r="H9" s="1" t="s">
        <v>282</v>
      </c>
      <c r="M9" s="1" t="s">
        <v>279</v>
      </c>
      <c r="N9" s="94">
        <f>IF(AND(B4=1,C29&gt;Seuils!D55),Seuils!E33,IF(AND(B4=1,B7&gt;Seuils!A9),Seuils!E33,IF(AND(B4=1,B9&lt;Seuils!E33/80%,B9&lt;=61600*25%*94.15%),Seuils!D55,IF(AND(B4=1,B9&lt;Seuils!E33/80%,B9&gt;61600*25%*94.15%),Seuils!J55,IF(C29&gt;Seuils!A8,Seuils!E33*2,IF('Optimisation retraite'!C29&gt;Seuils!I7*2,Seuils!A8,IF(AND(B13+C13+D9&gt;21300,C29&lt;Seuils!C16),Seuils!C16,Seuils!J6*2)))))))</f>
        <v>39669.839999999997</v>
      </c>
      <c r="O9" s="95">
        <f>IF(D7=0,N9/(F9+G9),N9/D7)</f>
        <v>0.7933967999999999</v>
      </c>
      <c r="P9" s="521">
        <f>IF(ABS(N9-D12)&lt;1000,0,1)</f>
        <v>0</v>
      </c>
      <c r="Q9" s="95"/>
    </row>
    <row r="10" spans="1:17" ht="18" x14ac:dyDescent="0.35">
      <c r="A10" s="360" t="s">
        <v>70</v>
      </c>
      <c r="B10" s="361">
        <f>'Optimisation retraite'!B10</f>
        <v>1000</v>
      </c>
      <c r="C10" s="330">
        <f>'Optimisation retraite'!C10</f>
        <v>0</v>
      </c>
      <c r="D10" s="366">
        <f t="shared" si="0"/>
        <v>1000</v>
      </c>
      <c r="E10" s="599" t="s">
        <v>177</v>
      </c>
      <c r="F10" s="600"/>
      <c r="G10" s="601"/>
      <c r="H10" s="385" t="s">
        <v>267</v>
      </c>
      <c r="I10" s="386"/>
      <c r="J10" s="382">
        <f>D78</f>
        <v>0.42499999999999999</v>
      </c>
      <c r="M10" s="38" t="s">
        <v>278</v>
      </c>
      <c r="N10" s="94">
        <f>IF(AND(B4=2,D7&gt;150000,C29&gt;Seuils!I7*2),Seuils!E33*2,IF(AND(B4=2,N9=Seuils!I7*2),Seuils!C16,IF(AND(B4=2,N9=Seuils!C16),Seuils!I7*2,IF(AND(B4=1,N9=Seuils!D55),Seuils!E33,Seuils!D55))))</f>
        <v>79845</v>
      </c>
      <c r="O10" s="95">
        <f>IF(D7=0,N10/(F9+G9),N10/D7)</f>
        <v>1.5969</v>
      </c>
      <c r="P10" s="95"/>
      <c r="Q10" s="95"/>
    </row>
    <row r="11" spans="1:17" ht="18" x14ac:dyDescent="0.35">
      <c r="A11" s="321" t="s">
        <v>135</v>
      </c>
      <c r="B11" s="361">
        <f>'Optimisation retraite'!B11</f>
        <v>642</v>
      </c>
      <c r="C11" s="330">
        <f>'Optimisation retraite'!C11</f>
        <v>0</v>
      </c>
      <c r="D11" s="366">
        <f t="shared" si="0"/>
        <v>642</v>
      </c>
      <c r="E11" s="371" t="s">
        <v>106</v>
      </c>
      <c r="F11" s="372" t="s">
        <v>161</v>
      </c>
      <c r="G11" s="391" t="str">
        <f>IF(B4=1,"seuil limite","optimal #2")</f>
        <v>seuil limite</v>
      </c>
      <c r="H11" s="387" t="s">
        <v>125</v>
      </c>
      <c r="I11" s="388"/>
      <c r="J11" s="383">
        <f>C57</f>
        <v>0.45175546152890012</v>
      </c>
      <c r="K11" s="50"/>
      <c r="N11" s="3"/>
    </row>
    <row r="12" spans="1:17" ht="18.600000000000001" thickBot="1" x14ac:dyDescent="0.4">
      <c r="A12" s="360" t="s">
        <v>82</v>
      </c>
      <c r="B12" s="367">
        <f>IF(B7=0,(F8+G8)*E12,(B7+C7)*E12)</f>
        <v>39669.839999999997</v>
      </c>
      <c r="C12" s="363"/>
      <c r="D12" s="366">
        <f t="shared" si="0"/>
        <v>39669.839999999997</v>
      </c>
      <c r="E12" s="373">
        <f>F12</f>
        <v>0.7933967999999999</v>
      </c>
      <c r="F12" s="374">
        <f>O9</f>
        <v>0.7933967999999999</v>
      </c>
      <c r="G12" s="375">
        <f>IF(B4=1,Seuils!E33/B7,O10)</f>
        <v>1.5969</v>
      </c>
      <c r="H12" s="389" t="s">
        <v>124</v>
      </c>
      <c r="I12" s="390"/>
      <c r="J12" s="384">
        <f>C74</f>
        <v>0.46093495936205553</v>
      </c>
    </row>
    <row r="13" spans="1:17" ht="15.6" x14ac:dyDescent="0.3">
      <c r="A13" s="360" t="s">
        <v>139</v>
      </c>
      <c r="B13" s="361">
        <f>'Optimisation retraite'!B13</f>
        <v>0</v>
      </c>
      <c r="C13" s="330">
        <f>'Optimisation retraite'!C13</f>
        <v>0</v>
      </c>
      <c r="D13" s="366">
        <f t="shared" si="0"/>
        <v>0</v>
      </c>
      <c r="E13" s="1"/>
      <c r="K13" s="50"/>
      <c r="L13" s="50"/>
      <c r="M13" s="519"/>
    </row>
    <row r="14" spans="1:17" ht="15.6" x14ac:dyDescent="0.3">
      <c r="A14" s="360" t="s">
        <v>191</v>
      </c>
      <c r="B14" s="330">
        <f>'Optimisation retraite'!B14</f>
        <v>0.5</v>
      </c>
      <c r="C14" s="330">
        <f>'Optimisation retraite'!C14</f>
        <v>0.5</v>
      </c>
      <c r="D14" s="366"/>
      <c r="E14" s="277" t="s">
        <v>344</v>
      </c>
      <c r="M14" s="50"/>
    </row>
    <row r="15" spans="1:17" ht="15.6" x14ac:dyDescent="0.3">
      <c r="A15" s="360" t="s">
        <v>192</v>
      </c>
      <c r="B15" s="330">
        <f>'Optimisation retraite'!B15</f>
        <v>0</v>
      </c>
      <c r="C15" s="330">
        <f>'Optimisation retraite'!C15</f>
        <v>0</v>
      </c>
      <c r="D15" s="366">
        <f>SUM(B15:C15)</f>
        <v>0</v>
      </c>
      <c r="E15" s="518" t="s">
        <v>348</v>
      </c>
      <c r="F15" s="518" t="s">
        <v>347</v>
      </c>
      <c r="M15" s="50"/>
    </row>
    <row r="16" spans="1:17" ht="18.600000000000001" thickBot="1" x14ac:dyDescent="0.4">
      <c r="A16" s="368" t="str">
        <f>IF(B4=2,"Revenus privés (2 conjoints &gt; 65  ans)","Revenus privés (célibataire &gt; 65  ans)")</f>
        <v>Revenus privés (célibataire &gt; 65  ans)</v>
      </c>
      <c r="B16" s="369">
        <f>IF(AND(B4=2,C7&gt;15000),(B12-D9-B24-C24)*M7,B12-D9-B24-C24)</f>
        <v>22768.129999999997</v>
      </c>
      <c r="C16" s="369">
        <f>IF(AND(B4=2,C7&gt;15000),(B12-D9-B24-C24)*(1-M7),0)</f>
        <v>0</v>
      </c>
      <c r="D16" s="370">
        <f>SUM(B16:C16)</f>
        <v>22768.129999999997</v>
      </c>
      <c r="E16" s="522">
        <f>IF(P9=0,D57,"Optimal ?")</f>
        <v>22768.129999999997</v>
      </c>
      <c r="F16" s="523">
        <f>IF(AND(B4=1,B6&gt;64),0,IF(OR(B6&lt;65,C6&lt;65),'Optimal &lt; 65'!D56,0))</f>
        <v>0</v>
      </c>
      <c r="I16" s="50"/>
      <c r="J16" s="84"/>
      <c r="K16" s="50"/>
      <c r="L16" s="50"/>
      <c r="M16" s="50"/>
    </row>
    <row r="17" spans="1:13" ht="18.600000000000001" thickBot="1" x14ac:dyDescent="0.4">
      <c r="E17" s="1"/>
      <c r="H17" s="83"/>
      <c r="I17" s="50"/>
      <c r="J17" s="84"/>
      <c r="K17" s="50"/>
      <c r="L17" s="50"/>
      <c r="M17" s="50"/>
    </row>
    <row r="18" spans="1:13" ht="18.600000000000001" thickBot="1" x14ac:dyDescent="0.4">
      <c r="A18" s="379" t="s">
        <v>276</v>
      </c>
      <c r="B18" s="376" t="s">
        <v>247</v>
      </c>
      <c r="C18" s="376" t="s">
        <v>248</v>
      </c>
      <c r="D18" s="377" t="s">
        <v>69</v>
      </c>
      <c r="E18" s="358" t="s">
        <v>277</v>
      </c>
      <c r="F18" s="597" t="s">
        <v>283</v>
      </c>
      <c r="G18" s="598"/>
      <c r="H18" s="378" t="str">
        <f>IF(J10&lt;J12-0.5%,"Maximiser d'abord votre CELI !",IF(J10&gt;J12+0.5%,"Privillégiez le REER OPTIMAL", "Indifférent entre REER et CELI"))</f>
        <v>Maximiser d'abord votre CELI !</v>
      </c>
      <c r="I18" s="50"/>
      <c r="J18" s="84"/>
      <c r="K18" s="50"/>
      <c r="L18" s="50"/>
      <c r="M18" s="50"/>
    </row>
    <row r="19" spans="1:13" ht="15.6" x14ac:dyDescent="0.3">
      <c r="A19" s="457" t="s">
        <v>137</v>
      </c>
      <c r="B19" s="458">
        <f>B84</f>
        <v>297313.03701980511</v>
      </c>
      <c r="C19" s="458">
        <f>Seuils!L296</f>
        <v>0</v>
      </c>
      <c r="D19" s="458">
        <f>B19+C19</f>
        <v>297313.03701980511</v>
      </c>
      <c r="E19" s="459" t="str">
        <f>IF(' Épargne nécessaire'!H33&gt;0,D19-' Épargne nécessaire'!G33,"")</f>
        <v/>
      </c>
      <c r="F19" s="460" t="str">
        <f>IF(E12&gt;90%,"SVP, modifier taux visé",IF(OR(' Épargne nécessaire'!B42&gt;0,' Épargne nécessaire'!E42&gt;0),' Épargne nécessaire'!G49,"SVP Allez à l'onglet Épargne"))</f>
        <v>SVP Allez à l'onglet Épargne</v>
      </c>
      <c r="G19" s="461"/>
      <c r="M19" s="50"/>
    </row>
    <row r="20" spans="1:13" ht="18.600000000000001" thickBot="1" x14ac:dyDescent="0.4">
      <c r="A20" s="462" t="s">
        <v>138</v>
      </c>
      <c r="B20" s="463">
        <f>Seuils!N298</f>
        <v>549973.75243900937</v>
      </c>
      <c r="C20" s="463">
        <f>Seuils!L297</f>
        <v>0</v>
      </c>
      <c r="D20" s="463">
        <f>B20+C20</f>
        <v>549973.75243900937</v>
      </c>
      <c r="E20" s="464" t="str">
        <f>IF(' Épargne nécessaire'!H33&gt;0,E19/(D19/D20),"")</f>
        <v/>
      </c>
      <c r="F20" s="465" t="str">
        <f>IF(E12&gt;90%,"SVP, modifier taux visé",IF(OR(' Épargne nécessaire'!E42&gt;0,' Épargne nécessaire'!B42&gt;0),' Épargne nécessaire'!D49,"SVP Allez à l'onglet Épargne"))</f>
        <v>SVP Allez à l'onglet Épargne</v>
      </c>
      <c r="G20" s="466"/>
      <c r="H20" s="392" t="str">
        <f>IF(B4=1," ",IF(C7&lt;Seuils!A7,"N.B. Conjoint #2 ne devrait nullement cotiser à son REER !",IF(AND(C7&lt;Seuils!I8,'Optimisation retraite'!J11&gt;Seuils!E7+Seuils!K7+2%),"N.B. Conjoint #2 ne devrait nullement cotiser à son REER !"," ")))</f>
        <v xml:space="preserve"> </v>
      </c>
      <c r="I20" s="393"/>
      <c r="J20" s="393"/>
      <c r="K20" s="393"/>
      <c r="L20" s="393"/>
      <c r="M20" s="50"/>
    </row>
    <row r="21" spans="1:13" ht="15.6" x14ac:dyDescent="0.3">
      <c r="A21" s="5"/>
      <c r="B21" s="22"/>
      <c r="C21" s="22"/>
      <c r="D21" s="22"/>
      <c r="E21" s="1"/>
      <c r="M21" s="50"/>
    </row>
    <row r="22" spans="1:13" ht="16.2" thickBot="1" x14ac:dyDescent="0.35">
      <c r="A22" s="381" t="str">
        <f>IF(B4=2,"Revenus disponibles réels lorsque deux conjoints de 65 ans et plus (CELI vs REER)","Revenus disponibles réels  lorsque célibataire de 65 ans et plus (CELI vs REER)")</f>
        <v>Revenus disponibles réels  lorsque célibataire de 65 ans et plus (CELI vs REER)</v>
      </c>
      <c r="B22" s="306"/>
      <c r="C22" s="380"/>
      <c r="D22" s="380"/>
      <c r="E22" s="394"/>
      <c r="M22" s="50"/>
    </row>
    <row r="23" spans="1:13" ht="16.2" thickBot="1" x14ac:dyDescent="0.35">
      <c r="A23" s="23" t="s">
        <v>351</v>
      </c>
      <c r="B23" s="593" t="s">
        <v>280</v>
      </c>
      <c r="C23" s="594"/>
      <c r="D23" s="595" t="s">
        <v>165</v>
      </c>
      <c r="E23" s="596"/>
    </row>
    <row r="24" spans="1:13" ht="15.6" x14ac:dyDescent="0.3">
      <c r="A24" s="24" t="s">
        <v>43</v>
      </c>
      <c r="B24" s="25">
        <f>B8</f>
        <v>7486.71</v>
      </c>
      <c r="C24" s="26">
        <f>C8</f>
        <v>0</v>
      </c>
      <c r="D24" s="25">
        <f>B8</f>
        <v>7486.71</v>
      </c>
      <c r="E24" s="26">
        <f>C8</f>
        <v>0</v>
      </c>
    </row>
    <row r="25" spans="1:13" ht="15.6" x14ac:dyDescent="0.3">
      <c r="A25" s="24" t="s">
        <v>44</v>
      </c>
      <c r="B25" s="27">
        <f>B9</f>
        <v>9415</v>
      </c>
      <c r="C25" s="28">
        <f>C9</f>
        <v>0</v>
      </c>
      <c r="D25" s="27">
        <f>B25</f>
        <v>9415</v>
      </c>
      <c r="E25" s="28">
        <f>C25</f>
        <v>0</v>
      </c>
    </row>
    <row r="26" spans="1:13" ht="15.6" x14ac:dyDescent="0.3">
      <c r="A26" s="24" t="s">
        <v>31</v>
      </c>
      <c r="B26" s="27">
        <f>IF(B4=2,0,IF(D9+B27&gt;Seuils!E29,0,IF(D9+B27&gt;Seuils!D31,Seuils!D28-(D9+B27)*50%,IF(D9+B27&gt;Seuils!D30,Seuils!D26-(D9+B27-Seuils!D30)*75%,Seuils!D27-(D9+B27)*50%))))</f>
        <v>4784.5</v>
      </c>
      <c r="C26" s="28">
        <f>IF(B4=1,0,IF(D9+B27+C27&gt;Seuils!D29,0,IF(D9+B27+C27&gt;Seuils!D31,Seuils!D28-(D9+B27+C27)*50%,IF(D9+B27+C27&gt;Seuils!D30,Seuils!D26-(D9+B27+C27-Seuils!D30)*75%,Seuils!D27-(D9+B27+C27)*50%))))</f>
        <v>0</v>
      </c>
      <c r="D26" s="27">
        <f>IF(B4=2,0,IF(D9+D16&gt;Seuils!E29,0,Seuils!D28-(D9+D16)*50%))</f>
        <v>0</v>
      </c>
      <c r="E26" s="28">
        <f>IF(B4=1,0,IF(D9+D16&gt;Seuils!D29,0,Seuils!D28-(D9+D16)*50%))</f>
        <v>0</v>
      </c>
    </row>
    <row r="27" spans="1:13" ht="16.2" thickBot="1" x14ac:dyDescent="0.35">
      <c r="A27" s="24" t="s">
        <v>166</v>
      </c>
      <c r="B27" s="29">
        <f>B13+B15</f>
        <v>0</v>
      </c>
      <c r="C27" s="30">
        <f>C13+C15</f>
        <v>0</v>
      </c>
      <c r="D27" s="29">
        <f>B16</f>
        <v>22768.129999999997</v>
      </c>
      <c r="E27" s="30">
        <f>C16</f>
        <v>0</v>
      </c>
    </row>
    <row r="28" spans="1:13" ht="16.2" thickBot="1" x14ac:dyDescent="0.35">
      <c r="A28" s="31" t="s">
        <v>76</v>
      </c>
      <c r="B28" s="32">
        <f>SUM(B24:B27)-B26</f>
        <v>16901.71</v>
      </c>
      <c r="C28" s="33">
        <f>SUM(C24:C27)-C26</f>
        <v>0</v>
      </c>
      <c r="D28" s="32">
        <f>SUM(D24:D27)-D26</f>
        <v>39669.839999999997</v>
      </c>
      <c r="E28" s="33">
        <f>SUM(E24:E27)-E26</f>
        <v>0</v>
      </c>
    </row>
    <row r="29" spans="1:13" ht="16.2" thickBot="1" x14ac:dyDescent="0.35">
      <c r="A29" s="34" t="s">
        <v>77</v>
      </c>
      <c r="B29" s="35"/>
      <c r="C29" s="35">
        <f>B28+C28</f>
        <v>16901.71</v>
      </c>
      <c r="D29" s="35"/>
      <c r="E29" s="36">
        <f>D28+E28</f>
        <v>39669.839999999997</v>
      </c>
    </row>
    <row r="30" spans="1:13" ht="16.2" thickBot="1" x14ac:dyDescent="0.35">
      <c r="A30" s="37"/>
      <c r="B30" s="38"/>
      <c r="C30" s="38"/>
      <c r="D30" s="38"/>
      <c r="E30" s="39"/>
    </row>
    <row r="31" spans="1:13" ht="16.2" thickBot="1" x14ac:dyDescent="0.35">
      <c r="A31" s="40" t="s">
        <v>81</v>
      </c>
      <c r="B31" s="593" t="s">
        <v>280</v>
      </c>
      <c r="C31" s="594"/>
      <c r="D31" s="595" t="s">
        <v>165</v>
      </c>
      <c r="E31" s="596"/>
    </row>
    <row r="32" spans="1:13" ht="16.2" thickBot="1" x14ac:dyDescent="0.35">
      <c r="A32" s="41"/>
      <c r="B32" s="244" t="s">
        <v>46</v>
      </c>
      <c r="C32" s="245" t="s">
        <v>47</v>
      </c>
      <c r="D32" s="246" t="s">
        <v>46</v>
      </c>
      <c r="E32" s="245" t="s">
        <v>47</v>
      </c>
    </row>
    <row r="33" spans="1:12" ht="15.6" x14ac:dyDescent="0.3">
      <c r="A33" s="42" t="s">
        <v>79</v>
      </c>
      <c r="B33" s="25">
        <f>IF(B4=2,Seuils!D12+Seuils!D13,Seuils!D12)</f>
        <v>13808</v>
      </c>
      <c r="C33" s="26">
        <f>IF(B4=2,Seuils!J12*2,Seuils!J12)</f>
        <v>15728</v>
      </c>
      <c r="D33" s="25">
        <f>IF(B4=2,Seuils!D12+Seuils!E13,Seuils!D12)</f>
        <v>13808</v>
      </c>
      <c r="E33" s="26">
        <f>C33</f>
        <v>15728</v>
      </c>
    </row>
    <row r="34" spans="1:12" ht="15.6" x14ac:dyDescent="0.3">
      <c r="A34" s="42" t="s">
        <v>80</v>
      </c>
      <c r="B34" s="27">
        <f>IF(B4=2,Seuils!D96,Seuils!B96)</f>
        <v>7713</v>
      </c>
      <c r="C34" s="28">
        <f>Seuils!P18</f>
        <v>5110</v>
      </c>
      <c r="D34" s="43">
        <f>Seuils!D87</f>
        <v>7596.4740000000002</v>
      </c>
      <c r="E34" s="28">
        <f>Seuils!Q18</f>
        <v>4356.2800000000007</v>
      </c>
    </row>
    <row r="35" spans="1:12" ht="15.6" x14ac:dyDescent="0.3">
      <c r="A35" s="42" t="s">
        <v>168</v>
      </c>
      <c r="B35" s="27">
        <f>IF(AND(B4=2,B27+C27&gt;Seuils!D19*2),Seuils!D19*2,IF(AND(B4=2,B27+C27&lt;Seuils!D19*2),B27+C27,IF(AND(B4=1,B27&gt;Seuils!D19),Seuils!D19,B27)))</f>
        <v>0</v>
      </c>
      <c r="C35" s="28"/>
      <c r="D35" s="43">
        <f>IF(B4=2,Seuils!D19*2,Seuils!D19)</f>
        <v>2000</v>
      </c>
      <c r="E35" s="28"/>
    </row>
    <row r="36" spans="1:12" ht="15.6" x14ac:dyDescent="0.3">
      <c r="A36" s="42" t="s">
        <v>15</v>
      </c>
      <c r="B36" s="27">
        <f>Seuils!C97</f>
        <v>991.41370000000006</v>
      </c>
      <c r="C36" s="28">
        <f>Seuils!P24</f>
        <v>684.53207900000007</v>
      </c>
      <c r="D36" s="43">
        <f>Seuils!C88</f>
        <v>451.90480000000025</v>
      </c>
      <c r="E36" s="28">
        <f>Seuils!Q24</f>
        <v>489.00480000000016</v>
      </c>
    </row>
    <row r="37" spans="1:12" ht="15.6" x14ac:dyDescent="0.3">
      <c r="A37" s="42" t="s">
        <v>48</v>
      </c>
      <c r="B37" s="27">
        <f>SUM(B33:B36)</f>
        <v>22512.413700000001</v>
      </c>
      <c r="C37" s="28">
        <f>SUM(C33:C36)</f>
        <v>21522.532079000001</v>
      </c>
      <c r="D37" s="43">
        <f>SUM(D33:D36)</f>
        <v>23856.378800000002</v>
      </c>
      <c r="E37" s="28">
        <f>SUM(E33:E36)</f>
        <v>20573.284799999998</v>
      </c>
    </row>
    <row r="38" spans="1:12" ht="15.6" x14ac:dyDescent="0.3">
      <c r="A38" s="44"/>
      <c r="B38" s="27"/>
      <c r="C38" s="28"/>
      <c r="D38" s="43"/>
      <c r="E38" s="28"/>
    </row>
    <row r="39" spans="1:12" ht="15.6" x14ac:dyDescent="0.3">
      <c r="A39" s="42" t="s">
        <v>49</v>
      </c>
      <c r="B39" s="27">
        <f>Seuils!D94</f>
        <v>2535.2565</v>
      </c>
      <c r="C39" s="28">
        <f>Seuils!L94</f>
        <v>2535.2565</v>
      </c>
      <c r="D39" s="43">
        <f>Seuils!D85</f>
        <v>5950.4759999999997</v>
      </c>
      <c r="E39" s="45">
        <f>Seuils!L85</f>
        <v>5950.4759999999997</v>
      </c>
    </row>
    <row r="40" spans="1:12" ht="15.6" x14ac:dyDescent="0.3">
      <c r="A40" s="42" t="s">
        <v>50</v>
      </c>
      <c r="B40" s="27">
        <f>B37*15%</f>
        <v>3376.8620550000001</v>
      </c>
      <c r="C40" s="28">
        <f>(C33+C34)*Seuils!K6+C36*20%</f>
        <v>3262.6064157999999</v>
      </c>
      <c r="D40" s="43">
        <f>D37*15%</f>
        <v>3578.4568200000003</v>
      </c>
      <c r="E40" s="28">
        <f>(E33+E34)*Seuils!K6+E36*20%</f>
        <v>3110.4429599999999</v>
      </c>
    </row>
    <row r="41" spans="1:12" ht="15.6" x14ac:dyDescent="0.3">
      <c r="A41" s="42" t="s">
        <v>51</v>
      </c>
      <c r="B41" s="27">
        <f>IF(B39&gt;B40,(B39-B40)*16.5%,0)</f>
        <v>0</v>
      </c>
      <c r="C41" s="28"/>
      <c r="D41" s="43">
        <f>IF(D39&gt;D40,(D39-D40)*16.5%,0)</f>
        <v>391.3831646999999</v>
      </c>
      <c r="E41" s="28"/>
    </row>
    <row r="42" spans="1:12" ht="15.6" x14ac:dyDescent="0.3">
      <c r="A42" s="42" t="s">
        <v>35</v>
      </c>
      <c r="B42" s="27"/>
      <c r="C42" s="28">
        <f>Seuils!L96</f>
        <v>0</v>
      </c>
      <c r="D42" s="43"/>
      <c r="E42" s="28">
        <f>Seuils!L87</f>
        <v>150</v>
      </c>
    </row>
    <row r="43" spans="1:12" ht="15.6" x14ac:dyDescent="0.3">
      <c r="A43" s="42" t="s">
        <v>18</v>
      </c>
      <c r="B43" s="27"/>
      <c r="C43" s="28">
        <f>Seuils!P28</f>
        <v>335.11837899999989</v>
      </c>
      <c r="D43" s="43"/>
      <c r="E43" s="28">
        <f>Seuils!Q28</f>
        <v>679.1</v>
      </c>
      <c r="F43" s="588" t="s">
        <v>242</v>
      </c>
      <c r="G43" s="589"/>
      <c r="H43" s="589"/>
      <c r="I43" s="589"/>
      <c r="J43" s="589"/>
      <c r="K43" s="589"/>
      <c r="L43" s="589"/>
    </row>
    <row r="44" spans="1:12" ht="15.6" x14ac:dyDescent="0.3">
      <c r="A44" s="42" t="s">
        <v>169</v>
      </c>
      <c r="B44" s="29"/>
      <c r="C44" s="30"/>
      <c r="D44" s="46"/>
      <c r="E44" s="30"/>
    </row>
    <row r="45" spans="1:12" ht="16.2" thickBot="1" x14ac:dyDescent="0.35">
      <c r="A45" s="42" t="s">
        <v>133</v>
      </c>
      <c r="B45" s="29">
        <f>B47</f>
        <v>0</v>
      </c>
      <c r="C45" s="30"/>
      <c r="D45" s="46">
        <f>D47</f>
        <v>0</v>
      </c>
      <c r="E45" s="30"/>
    </row>
    <row r="46" spans="1:12" ht="16.2" thickBot="1" x14ac:dyDescent="0.35">
      <c r="A46" s="31" t="s">
        <v>52</v>
      </c>
      <c r="B46" s="32">
        <f>IF(B40&gt;B39-B41+B42+B43+B45,0,B39+B42+B43+B45-B40-B41)</f>
        <v>0</v>
      </c>
      <c r="C46" s="33">
        <f>IF(C40&gt;C39,C42+C43+C45,C39+C42+C43+C45-C40)</f>
        <v>335.11837899999989</v>
      </c>
      <c r="D46" s="47">
        <f>IF(D40&gt;D39-D41+D42+D43+D45,0,D39-D41+D42+D43+D45-D40)</f>
        <v>1980.6360152999996</v>
      </c>
      <c r="E46" s="33">
        <f>IF(E40&gt;E39,E42+E43+E45,E39+E42+E43+E45-E40)</f>
        <v>3669.1330400000002</v>
      </c>
      <c r="F46" s="590" t="s">
        <v>241</v>
      </c>
      <c r="G46" s="589"/>
      <c r="H46" s="589"/>
      <c r="I46" s="589"/>
      <c r="J46" s="589"/>
      <c r="K46" s="589"/>
      <c r="L46" s="589"/>
    </row>
    <row r="47" spans="1:12" ht="15.6" x14ac:dyDescent="0.3">
      <c r="A47" s="48" t="s">
        <v>170</v>
      </c>
      <c r="B47" s="91">
        <f>IF(AND(B4=1,B28&gt;Seuils!E34),Seuils!E32,IF(AND(B4=1,B28&gt;Seuils!E33),(B28-Seuils!E33)*15%,IF(AND(B4=2,Seuils!B91&gt;Seuils!E33,(Seuils!B91-Seuils!E33)*15%&gt;B24),B24,IF(AND(B4=2,Seuils!B91&gt;Seuils!E33),(Seuils!B91-Seuils!E33)*15%,0))))</f>
        <v>0</v>
      </c>
      <c r="C47" s="49"/>
      <c r="D47" s="91">
        <f>IF(AND(B4=1,D28&gt;Seuils!E34),Seuils!E32,IF(AND(B4=1,'Optimisation retraite'!D28&gt;Seuils!E33),(D28-Seuils!E33)*15%,IF(AND(B4=2,Seuils!B82&gt;Seuils!E33,(Seuils!B82-Seuils!E33)*15%&gt;B24),B24,IF(AND(B4=2,Seuils!B82&gt;Seuils!E33),(Seuils!B82-Seuils!E33)*15%,0))))</f>
        <v>0</v>
      </c>
      <c r="E47" s="49">
        <f>E46+D46-(B46+C46)</f>
        <v>5314.6506762999998</v>
      </c>
      <c r="F47" s="451">
        <f>E47/$D$16</f>
        <v>0.23342499697164415</v>
      </c>
    </row>
    <row r="48" spans="1:12" ht="16.2" thickBot="1" x14ac:dyDescent="0.35">
      <c r="A48" s="48"/>
      <c r="B48" s="91"/>
      <c r="C48" s="49"/>
      <c r="D48" s="91"/>
      <c r="E48" s="49"/>
      <c r="F48" s="7"/>
    </row>
    <row r="49" spans="1:7" ht="15.6" x14ac:dyDescent="0.3">
      <c r="A49" s="428" t="s">
        <v>179</v>
      </c>
      <c r="B49" s="446" t="s">
        <v>285</v>
      </c>
      <c r="C49" s="429"/>
      <c r="D49" s="448" t="s">
        <v>286</v>
      </c>
      <c r="E49" s="450" t="s">
        <v>288</v>
      </c>
      <c r="F49" s="452" t="s">
        <v>287</v>
      </c>
    </row>
    <row r="50" spans="1:7" ht="15.6" x14ac:dyDescent="0.3">
      <c r="A50" s="431" t="s">
        <v>180</v>
      </c>
      <c r="B50" s="363">
        <f>C29-B46-C46</f>
        <v>16566.591621</v>
      </c>
      <c r="C50" s="363"/>
      <c r="D50" s="363">
        <f>E29-D46-E46-D47</f>
        <v>34020.070944699997</v>
      </c>
      <c r="E50" s="28">
        <f>D50-B50</f>
        <v>17453.479323699998</v>
      </c>
      <c r="F50" s="453"/>
    </row>
    <row r="51" spans="1:7" ht="15.6" x14ac:dyDescent="0.3">
      <c r="A51" s="431" t="s">
        <v>181</v>
      </c>
      <c r="B51" s="363">
        <f>B26+C26</f>
        <v>4784.5</v>
      </c>
      <c r="C51" s="363"/>
      <c r="D51" s="363">
        <f>D26+E26</f>
        <v>0</v>
      </c>
      <c r="E51" s="28">
        <f t="shared" ref="E51:E54" si="1">D51-B51</f>
        <v>-4784.5</v>
      </c>
      <c r="F51" s="454">
        <f>-E51/$D$16</f>
        <v>0.21014022671163599</v>
      </c>
    </row>
    <row r="52" spans="1:7" ht="15.6" x14ac:dyDescent="0.3">
      <c r="A52" s="431" t="s">
        <v>182</v>
      </c>
      <c r="B52" s="363">
        <f>IF(C29&lt;Seuils!$D$55,Seuils!$D$54,IF(C29&gt;Seuils!$D$56,0,$D$54-(C29-Seuils!$D$55)*5%))</f>
        <v>462.58</v>
      </c>
      <c r="C52" s="363"/>
      <c r="D52" s="363">
        <f>Seuils!F59</f>
        <v>462.58</v>
      </c>
      <c r="E52" s="28">
        <f t="shared" si="1"/>
        <v>0</v>
      </c>
      <c r="F52" s="454">
        <f>-E52/$D$16</f>
        <v>0</v>
      </c>
    </row>
    <row r="53" spans="1:7" ht="15.6" x14ac:dyDescent="0.3">
      <c r="A53" s="431" t="s">
        <v>183</v>
      </c>
      <c r="B53" s="363">
        <f>IF(C29&lt;Seuils!J55,Seuils!J54,IF(C29&gt;Seuils!J56,0,Seuils!J54-(C29-Seuils!J55)*6%))</f>
        <v>1050.6199999999999</v>
      </c>
      <c r="C53" s="363"/>
      <c r="D53" s="363">
        <f>Seuils!L59</f>
        <v>864.14360000000022</v>
      </c>
      <c r="E53" s="28">
        <f t="shared" si="1"/>
        <v>-186.47639999999967</v>
      </c>
      <c r="F53" s="454">
        <f>-E53/$D$16</f>
        <v>8.1902378456201585E-3</v>
      </c>
    </row>
    <row r="54" spans="1:7" ht="16.2" thickBot="1" x14ac:dyDescent="0.35">
      <c r="A54" s="432" t="s">
        <v>53</v>
      </c>
      <c r="B54" s="439">
        <f>SUM(B50:B53)</f>
        <v>22864.291621</v>
      </c>
      <c r="C54" s="433"/>
      <c r="D54" s="434">
        <f>SUM(D50:D53)</f>
        <v>35346.794544700002</v>
      </c>
      <c r="E54" s="435">
        <f t="shared" si="1"/>
        <v>12482.502923700002</v>
      </c>
      <c r="F54" s="456">
        <f>SUM(F47:F53)</f>
        <v>0.45175546152890028</v>
      </c>
    </row>
    <row r="55" spans="1:7" ht="16.2" thickBot="1" x14ac:dyDescent="0.35">
      <c r="A55" s="37"/>
      <c r="B55" s="53"/>
      <c r="C55" s="38"/>
      <c r="D55" s="38"/>
      <c r="E55" s="53"/>
      <c r="G55" s="7"/>
    </row>
    <row r="56" spans="1:7" ht="15.6" x14ac:dyDescent="0.3">
      <c r="A56" s="436" t="s">
        <v>54</v>
      </c>
      <c r="B56" s="437">
        <f>D54</f>
        <v>35346.794544700002</v>
      </c>
      <c r="C56" s="438" t="s">
        <v>55</v>
      </c>
      <c r="D56" s="430"/>
      <c r="E56" s="50"/>
      <c r="F56" s="100"/>
    </row>
    <row r="57" spans="1:7" ht="16.2" thickBot="1" x14ac:dyDescent="0.35">
      <c r="A57" s="432" t="s">
        <v>289</v>
      </c>
      <c r="B57" s="447">
        <f>B56-B54</f>
        <v>12482.502923700002</v>
      </c>
      <c r="C57" s="455">
        <f>1-B57/D57</f>
        <v>0.45175546152890012</v>
      </c>
      <c r="D57" s="443">
        <f>D27+E27-C27-B27</f>
        <v>22768.129999999997</v>
      </c>
      <c r="E57" s="50"/>
      <c r="F57" s="50"/>
    </row>
    <row r="58" spans="1:7" ht="15.6" x14ac:dyDescent="0.3">
      <c r="A58" s="48" t="s">
        <v>422</v>
      </c>
      <c r="B58">
        <f>Seuils!F347</f>
        <v>12482.502923700009</v>
      </c>
      <c r="D58">
        <f>Seuils!G347</f>
        <v>22768.13</v>
      </c>
      <c r="F58" s="50"/>
    </row>
    <row r="59" spans="1:7" x14ac:dyDescent="0.3">
      <c r="A59" s="50"/>
      <c r="B59" s="50"/>
      <c r="C59" s="50"/>
      <c r="D59" s="50"/>
      <c r="E59" s="50"/>
      <c r="F59" s="50"/>
    </row>
    <row r="60" spans="1:7" x14ac:dyDescent="0.3">
      <c r="A60" s="50" t="s">
        <v>374</v>
      </c>
      <c r="B60" s="50"/>
      <c r="C60" s="50"/>
      <c r="D60" s="50"/>
      <c r="E60" s="50"/>
      <c r="F60" s="50"/>
    </row>
    <row r="61" spans="1:7" x14ac:dyDescent="0.3">
      <c r="A61" s="539" t="s">
        <v>377</v>
      </c>
      <c r="B61" s="542">
        <f>95-('Optimal &lt; 65'!H6+'Optimal &lt; 65'!H8)</f>
        <v>30</v>
      </c>
      <c r="C61" s="50"/>
      <c r="D61" s="50">
        <f>B61</f>
        <v>30</v>
      </c>
      <c r="E61" s="50"/>
      <c r="F61" s="50"/>
    </row>
    <row r="62" spans="1:7" x14ac:dyDescent="0.3">
      <c r="A62" s="539" t="s">
        <v>94</v>
      </c>
      <c r="B62" s="540">
        <f>Seuils!H294</f>
        <v>3.7420000000000002E-2</v>
      </c>
      <c r="C62" s="50"/>
      <c r="D62" s="540">
        <f>B62</f>
        <v>3.7420000000000002E-2</v>
      </c>
      <c r="E62" s="50"/>
      <c r="F62" s="50"/>
    </row>
    <row r="63" spans="1:7" x14ac:dyDescent="0.3">
      <c r="A63" s="539" t="s">
        <v>306</v>
      </c>
      <c r="B63" s="540">
        <f>((1+B62)/(1+' Épargne nécessaire'!G7))-1</f>
        <v>1.4591687041564771E-2</v>
      </c>
      <c r="C63" s="50"/>
      <c r="D63" s="540">
        <f>B63</f>
        <v>1.4591687041564771E-2</v>
      </c>
      <c r="E63" s="50"/>
      <c r="F63" s="50"/>
    </row>
    <row r="64" spans="1:7" x14ac:dyDescent="0.3">
      <c r="A64" s="539" t="s">
        <v>96</v>
      </c>
      <c r="B64" s="540">
        <f>0.53*B63+1/B61</f>
        <v>4.1066927465362661E-2</v>
      </c>
      <c r="C64" s="50"/>
      <c r="D64" s="540">
        <f>B64</f>
        <v>4.1066927465362661E-2</v>
      </c>
      <c r="E64" s="50"/>
      <c r="F64" s="50"/>
    </row>
    <row r="65" spans="1:6" x14ac:dyDescent="0.3">
      <c r="A65" s="539" t="s">
        <v>375</v>
      </c>
      <c r="B65" s="541">
        <f>B19</f>
        <v>297313.03701980511</v>
      </c>
      <c r="C65" s="50"/>
      <c r="D65" s="541">
        <f>B20</f>
        <v>549973.75243900937</v>
      </c>
      <c r="E65" s="50"/>
      <c r="F65" s="50"/>
    </row>
    <row r="66" spans="1:6" x14ac:dyDescent="0.3">
      <c r="A66" s="539" t="s">
        <v>376</v>
      </c>
      <c r="B66" s="88">
        <f>B65*B64</f>
        <v>12209.73292579902</v>
      </c>
      <c r="C66" s="50"/>
      <c r="D66" s="88">
        <f>D65*D64</f>
        <v>22585.73219926612</v>
      </c>
      <c r="E66" s="50"/>
      <c r="F66" s="50"/>
    </row>
    <row r="67" spans="1:6" x14ac:dyDescent="0.3">
      <c r="A67" s="539"/>
      <c r="B67" s="50"/>
      <c r="C67" s="50"/>
      <c r="D67" s="50"/>
      <c r="E67" s="50"/>
      <c r="F67" s="50"/>
    </row>
    <row r="68" spans="1:6" ht="15" thickBot="1" x14ac:dyDescent="0.35">
      <c r="A68" s="50"/>
      <c r="B68" s="50"/>
      <c r="C68" s="50"/>
      <c r="D68" s="50"/>
      <c r="E68" s="50"/>
      <c r="F68" s="50"/>
    </row>
    <row r="69" spans="1:6" ht="15.6" x14ac:dyDescent="0.3">
      <c r="A69" s="428" t="s">
        <v>178</v>
      </c>
      <c r="B69" s="446" t="str">
        <f>B49</f>
        <v>Si CELI</v>
      </c>
      <c r="C69" s="429"/>
      <c r="D69" s="449" t="str">
        <f>D49</f>
        <v>Si REER</v>
      </c>
      <c r="E69" s="50"/>
      <c r="F69" s="50"/>
    </row>
    <row r="70" spans="1:6" ht="15.6" x14ac:dyDescent="0.3">
      <c r="A70" s="431" t="s">
        <v>129</v>
      </c>
      <c r="B70" s="363">
        <f>B54</f>
        <v>22864.291621</v>
      </c>
      <c r="C70" s="400"/>
      <c r="D70" s="28">
        <f>D54</f>
        <v>35346.794544700002</v>
      </c>
      <c r="E70" s="50"/>
      <c r="F70" s="444"/>
    </row>
    <row r="71" spans="1:6" ht="15.6" x14ac:dyDescent="0.3">
      <c r="A71" s="431" t="s">
        <v>127</v>
      </c>
      <c r="B71" s="400">
        <f>Seuils!J61</f>
        <v>209</v>
      </c>
      <c r="C71" s="400"/>
      <c r="D71" s="441">
        <f>Seuils!K61</f>
        <v>0</v>
      </c>
      <c r="E71" s="50"/>
      <c r="F71" s="50"/>
    </row>
    <row r="72" spans="1:6" ht="15.6" x14ac:dyDescent="0.3">
      <c r="A72" s="431" t="s">
        <v>126</v>
      </c>
      <c r="B72" s="363">
        <f>B70+B71</f>
        <v>23073.291621</v>
      </c>
      <c r="C72" s="400"/>
      <c r="D72" s="28">
        <f>D70+D71</f>
        <v>35346.794544700002</v>
      </c>
      <c r="E72" s="50"/>
      <c r="F72" s="50"/>
    </row>
    <row r="73" spans="1:6" ht="15.6" x14ac:dyDescent="0.3">
      <c r="A73" s="442"/>
      <c r="B73" s="400"/>
      <c r="C73" s="400"/>
      <c r="D73" s="441"/>
      <c r="E73" s="50"/>
      <c r="F73" s="50"/>
    </row>
    <row r="74" spans="1:6" ht="16.2" thickBot="1" x14ac:dyDescent="0.35">
      <c r="A74" s="432" t="s">
        <v>128</v>
      </c>
      <c r="B74" s="433">
        <f>D72-B72</f>
        <v>12273.502923700002</v>
      </c>
      <c r="C74" s="440">
        <f>1-B74/D74</f>
        <v>0.46093495936205553</v>
      </c>
      <c r="D74" s="365">
        <f>D57</f>
        <v>22768.129999999997</v>
      </c>
      <c r="E74" s="50"/>
      <c r="F74" s="50"/>
    </row>
    <row r="75" spans="1:6" x14ac:dyDescent="0.3">
      <c r="A75" s="50"/>
      <c r="B75" s="50"/>
      <c r="C75" s="50"/>
      <c r="D75" s="50"/>
      <c r="E75" s="50"/>
    </row>
    <row r="76" spans="1:6" ht="15" thickBot="1" x14ac:dyDescent="0.35">
      <c r="A76" s="50"/>
      <c r="B76" s="50"/>
      <c r="C76" s="50"/>
      <c r="D76" s="50"/>
      <c r="E76" s="50"/>
    </row>
    <row r="77" spans="1:6" ht="16.2" thickBot="1" x14ac:dyDescent="0.35">
      <c r="A77" s="55" t="s">
        <v>56</v>
      </c>
      <c r="B77" s="56" t="s">
        <v>57</v>
      </c>
      <c r="C77" s="57"/>
      <c r="D77" s="58" t="s">
        <v>42</v>
      </c>
      <c r="E77" s="285" t="s">
        <v>234</v>
      </c>
      <c r="F77" s="445"/>
    </row>
    <row r="78" spans="1:6" ht="15.6" x14ac:dyDescent="0.3">
      <c r="A78" s="59" t="s">
        <v>88</v>
      </c>
      <c r="B78" s="60">
        <f>D78</f>
        <v>0.42499999999999999</v>
      </c>
      <c r="C78" s="61"/>
      <c r="D78" s="15">
        <f>IF(B7&gt;Seuils!A9,Seuils!E9+Seuils!K9,IF(B7&gt;Seuils!I9,Seuils!E8+Seuils!K9,IF(B7&gt;Seuils!A8,Seuils!E8+Seuils!K8,IF(AND(D7&gt;Seuils!J56/90%,B7&gt;Seuils!A7),37.1%,IF(AND(B4=2,D7&gt;Seuils!J56/90%,B7&lt;Seuils!I7),28.5%,IF(AND(B4=2,D7&gt;Seuils!J56/90%,B7&lt;Seuils!A7),Seuils!K7+Seuils!E6+1%,IF(AND(B4=2,D7&gt;Seuils!D56/90%,B7&lt;Seuils!A7),35%,IF(AND(B4=2,D7&lt;27000),35%,IF(AND(B4=2,D7&lt;32500),45%,IF(AND(B4=2,D7&lt;36000),50%,IF(AND(B4=2,D7&lt;41500),58%,IF(AND(B4=2,D7&lt;47000),45%,IF(AND(B4=1,B7&gt;Seuils!J56/95%),Seuils!E7+Seuils!K7,IF(AND(B4=1,B7&gt;Seuils!D56/95%),44%,IF(AND(B4=1,B7&gt;Seuils!D55/90%),42.5%,IF(AND(B4=1,B7&gt;Seuils!J55/90%),37.5%,IF(AND(B4=1,B7&lt;Seuils!D12+Seuils!D19),30%,IF(AND(B4=1,B7&lt;Seuils!O32),44%,IF(AND(B4=1,B7&lt;Seuils!B277/90%),58%,IF(AND(B4=1,B7&lt;Seuils!O41/90%),37%,IF(AND(B4=1,B7&lt;Seuils!J16),28.5%,IF(AND(B4=1,B7&lt;Seuils!J16/90%),37.5%,IF(AND(B4=2,D7&gt;Seuils!J55+2410),44%,28.5%+10%)))))))))))))))))))))))</f>
        <v>0.42499999999999999</v>
      </c>
      <c r="E78" s="288">
        <f>D78</f>
        <v>0.42499999999999999</v>
      </c>
    </row>
    <row r="79" spans="1:6" ht="15.6" x14ac:dyDescent="0.3">
      <c r="A79" s="62" t="s">
        <v>58</v>
      </c>
      <c r="B79" s="63">
        <f>B81</f>
        <v>13674.792395488514</v>
      </c>
      <c r="C79" s="61"/>
      <c r="D79" s="64">
        <f>+D81/(1-D78)</f>
        <v>23782.24764432785</v>
      </c>
      <c r="E79" s="289">
        <f>PMT(E83,E82,,-E84)</f>
        <v>25295.819392777797</v>
      </c>
    </row>
    <row r="80" spans="1:6" ht="15.6" x14ac:dyDescent="0.3">
      <c r="A80" s="62" t="s">
        <v>83</v>
      </c>
      <c r="B80" s="65"/>
      <c r="C80" s="61"/>
      <c r="D80" s="64">
        <f>+D79*D78</f>
        <v>10107.455248839336</v>
      </c>
      <c r="E80" s="286">
        <f>+E79*E78</f>
        <v>10750.723241930564</v>
      </c>
    </row>
    <row r="81" spans="1:5" ht="15.6" x14ac:dyDescent="0.3">
      <c r="A81" s="62" t="s">
        <v>59</v>
      </c>
      <c r="B81" s="66">
        <f>PMT(D83,D82,,-Seuils!N293)</f>
        <v>13674.792395488514</v>
      </c>
      <c r="C81" s="61"/>
      <c r="D81" s="67">
        <f>B81</f>
        <v>13674.792395488514</v>
      </c>
      <c r="E81" s="287">
        <f>E79-E80</f>
        <v>14545.096150847234</v>
      </c>
    </row>
    <row r="82" spans="1:5" ht="15.6" x14ac:dyDescent="0.3">
      <c r="A82" s="62" t="s">
        <v>85</v>
      </c>
      <c r="B82" s="12">
        <f>' Épargne nécessaire'!E4</f>
        <v>15</v>
      </c>
      <c r="C82" s="68"/>
      <c r="D82" s="69">
        <f>B82</f>
        <v>15</v>
      </c>
      <c r="E82" s="290">
        <f>B82</f>
        <v>15</v>
      </c>
    </row>
    <row r="83" spans="1:5" ht="15.6" x14ac:dyDescent="0.3">
      <c r="A83" s="70" t="s">
        <v>86</v>
      </c>
      <c r="B83" s="13">
        <f>' Épargne nécessaire'!D23</f>
        <v>5.0999999999999997E-2</v>
      </c>
      <c r="C83" s="68"/>
      <c r="D83" s="71">
        <f>B83</f>
        <v>5.0999999999999997E-2</v>
      </c>
      <c r="E83" s="288">
        <f>B83</f>
        <v>5.0999999999999997E-2</v>
      </c>
    </row>
    <row r="84" spans="1:5" ht="16.2" thickBot="1" x14ac:dyDescent="0.35">
      <c r="A84" s="72" t="s">
        <v>60</v>
      </c>
      <c r="B84" s="35">
        <f>FV(B83,B82,-B79)</f>
        <v>297313.03701980511</v>
      </c>
      <c r="C84" s="73"/>
      <c r="D84" s="74">
        <f>FV(D83,D82,-D79)</f>
        <v>517066.15133879153</v>
      </c>
      <c r="E84" s="291">
        <f>B20</f>
        <v>549973.75243900937</v>
      </c>
    </row>
    <row r="85" spans="1:5" x14ac:dyDescent="0.3">
      <c r="A85" s="50"/>
      <c r="B85" s="50"/>
      <c r="C85" s="50"/>
      <c r="D85" s="50"/>
      <c r="E85" s="50"/>
    </row>
    <row r="86" spans="1:5" ht="15" thickBot="1" x14ac:dyDescent="0.35">
      <c r="A86" s="50"/>
      <c r="B86" s="50"/>
      <c r="C86" s="50"/>
      <c r="D86" s="50"/>
      <c r="E86" s="50"/>
    </row>
    <row r="87" spans="1:5" ht="15.6" x14ac:dyDescent="0.3">
      <c r="A87" s="39" t="s">
        <v>61</v>
      </c>
      <c r="B87" s="395">
        <f>B84</f>
        <v>297313.03701980511</v>
      </c>
      <c r="C87" s="396"/>
      <c r="D87" s="397">
        <f>D84</f>
        <v>517066.15133879153</v>
      </c>
      <c r="E87" s="398"/>
    </row>
    <row r="88" spans="1:5" ht="15.6" x14ac:dyDescent="0.3">
      <c r="A88" s="37" t="s">
        <v>163</v>
      </c>
      <c r="B88" s="399">
        <f>Seuils!H299</f>
        <v>1.4591687041564771E-2</v>
      </c>
      <c r="C88" s="400"/>
      <c r="D88" s="401">
        <f>B88</f>
        <v>1.4591687041564771E-2</v>
      </c>
      <c r="E88" s="402"/>
    </row>
    <row r="89" spans="1:5" ht="15.6" x14ac:dyDescent="0.3">
      <c r="A89" s="38" t="s">
        <v>63</v>
      </c>
      <c r="B89" s="403">
        <f>IF('Optimisation retraite'!B13+'Optimisation retraite'!C13=0,Seuils!I292,Seuils!H347)</f>
        <v>9927.0487290000056</v>
      </c>
      <c r="C89" s="404" t="s">
        <v>100</v>
      </c>
      <c r="D89" s="405">
        <f>D57</f>
        <v>22768.129999999997</v>
      </c>
      <c r="E89" s="406" t="s">
        <v>100</v>
      </c>
    </row>
    <row r="90" spans="1:5" ht="15.6" x14ac:dyDescent="0.3">
      <c r="A90" s="37" t="s">
        <v>62</v>
      </c>
      <c r="B90" s="407">
        <f>NPER(B88,B89,-B87,,1)</f>
        <v>38.892422764115153</v>
      </c>
      <c r="C90" s="408">
        <f>64+B90</f>
        <v>102.89242276411515</v>
      </c>
      <c r="D90" s="409">
        <f>NPER(D88,D89,-D87,,1)</f>
        <v>27.297225137939609</v>
      </c>
      <c r="E90" s="410">
        <f>64+D90</f>
        <v>91.297225137939606</v>
      </c>
    </row>
    <row r="91" spans="1:5" ht="15.6" x14ac:dyDescent="0.3">
      <c r="A91" s="37" t="s">
        <v>64</v>
      </c>
      <c r="B91" s="403">
        <f>C121</f>
        <v>100756.52831052961</v>
      </c>
      <c r="C91" s="400"/>
      <c r="D91" s="405">
        <f>E121</f>
        <v>-16199.365061957285</v>
      </c>
      <c r="E91" s="402"/>
    </row>
    <row r="92" spans="1:5" ht="15.6" x14ac:dyDescent="0.3">
      <c r="A92" s="37"/>
      <c r="B92" s="411" t="s">
        <v>238</v>
      </c>
      <c r="C92" s="412" t="s">
        <v>239</v>
      </c>
      <c r="D92" s="413" t="s">
        <v>237</v>
      </c>
      <c r="E92" s="414" t="s">
        <v>240</v>
      </c>
    </row>
    <row r="93" spans="1:5" ht="15.6" x14ac:dyDescent="0.3">
      <c r="A93" s="80" t="s">
        <v>65</v>
      </c>
      <c r="B93" s="415"/>
      <c r="C93" s="416">
        <f>B84</f>
        <v>297313.03701980511</v>
      </c>
      <c r="D93" s="417"/>
      <c r="E93" s="418">
        <f>D84</f>
        <v>517066.15133879153</v>
      </c>
    </row>
    <row r="94" spans="1:5" ht="15.6" x14ac:dyDescent="0.3">
      <c r="A94" s="308">
        <f>65+'Optimal &lt; 65'!H6</f>
        <v>65</v>
      </c>
      <c r="B94" s="419">
        <f t="shared" ref="B94:B123" si="2">$B$89</f>
        <v>9927.0487290000056</v>
      </c>
      <c r="C94" s="420">
        <f>(C93-B94)*(1+$B$88)</f>
        <v>291579.4346920753</v>
      </c>
      <c r="D94" s="421">
        <f t="shared" ref="D94:D123" si="3">$D$89</f>
        <v>22768.129999999997</v>
      </c>
      <c r="E94" s="422">
        <f>(E93-D94)*(1+$B$88)</f>
        <v>501510.66337143187</v>
      </c>
    </row>
    <row r="95" spans="1:5" ht="15.6" x14ac:dyDescent="0.3">
      <c r="A95" s="38">
        <f>A94+1</f>
        <v>66</v>
      </c>
      <c r="B95" s="419">
        <f t="shared" si="2"/>
        <v>9927.0487290000056</v>
      </c>
      <c r="C95" s="420">
        <f t="shared" ref="C95:C123" si="4">(C94-B95)*(1+$B$88)</f>
        <v>285762.16943355848</v>
      </c>
      <c r="D95" s="421">
        <f t="shared" si="3"/>
        <v>22768.129999999997</v>
      </c>
      <c r="E95" s="422">
        <f t="shared" ref="E95:E123" si="5">(E94-D95)*(1+$B$88)</f>
        <v>485728.19459187367</v>
      </c>
    </row>
    <row r="96" spans="1:5" ht="15.6" x14ac:dyDescent="0.3">
      <c r="A96" s="38">
        <f t="shared" ref="A96:A123" si="6">A95+1</f>
        <v>67</v>
      </c>
      <c r="B96" s="419">
        <f t="shared" si="2"/>
        <v>9927.0487290000056</v>
      </c>
      <c r="C96" s="420">
        <f t="shared" si="4"/>
        <v>279860.02046095161</v>
      </c>
      <c r="D96" s="421">
        <f t="shared" si="3"/>
        <v>22768.129999999997</v>
      </c>
      <c r="E96" s="422">
        <f t="shared" si="5"/>
        <v>469715.43296714092</v>
      </c>
    </row>
    <row r="97" spans="1:5" ht="15.6" x14ac:dyDescent="0.3">
      <c r="A97" s="38">
        <f t="shared" si="6"/>
        <v>68</v>
      </c>
      <c r="B97" s="419">
        <f t="shared" si="2"/>
        <v>9927.0487290000056</v>
      </c>
      <c r="C97" s="420">
        <f t="shared" si="4"/>
        <v>273871.74917766376</v>
      </c>
      <c r="D97" s="421">
        <f t="shared" si="3"/>
        <v>22768.129999999997</v>
      </c>
      <c r="E97" s="422">
        <f t="shared" si="5"/>
        <v>453469.01813610888</v>
      </c>
    </row>
    <row r="98" spans="1:5" ht="15.6" x14ac:dyDescent="0.3">
      <c r="A98" s="38">
        <f t="shared" si="6"/>
        <v>69</v>
      </c>
      <c r="B98" s="419">
        <f t="shared" si="2"/>
        <v>9927.0487290000056</v>
      </c>
      <c r="C98" s="420">
        <f t="shared" si="4"/>
        <v>267796.09891389019</v>
      </c>
      <c r="D98" s="421">
        <f t="shared" si="3"/>
        <v>22768.129999999997</v>
      </c>
      <c r="E98" s="422">
        <f t="shared" si="5"/>
        <v>436985.54070431495</v>
      </c>
    </row>
    <row r="99" spans="1:5" ht="15.6" x14ac:dyDescent="0.3">
      <c r="A99" s="38">
        <f t="shared" si="6"/>
        <v>70</v>
      </c>
      <c r="B99" s="419">
        <f t="shared" si="2"/>
        <v>9927.0487290000056</v>
      </c>
      <c r="C99" s="420">
        <f t="shared" si="4"/>
        <v>261631.79466289366</v>
      </c>
      <c r="D99" s="421">
        <f t="shared" si="3"/>
        <v>22768.129999999997</v>
      </c>
      <c r="E99" s="422">
        <f t="shared" si="5"/>
        <v>420261.5415284796</v>
      </c>
    </row>
    <row r="100" spans="1:5" ht="15.6" x14ac:dyDescent="0.3">
      <c r="A100" s="38">
        <f t="shared" si="6"/>
        <v>71</v>
      </c>
      <c r="B100" s="419">
        <f t="shared" si="2"/>
        <v>9927.0487290000056</v>
      </c>
      <c r="C100" s="420">
        <f t="shared" si="4"/>
        <v>255377.54281343761</v>
      </c>
      <c r="D100" s="421">
        <f t="shared" si="3"/>
        <v>22768.129999999997</v>
      </c>
      <c r="E100" s="422">
        <f t="shared" si="5"/>
        <v>403293.51099058706</v>
      </c>
    </row>
    <row r="101" spans="1:5" ht="15.6" x14ac:dyDescent="0.3">
      <c r="A101" s="38">
        <f t="shared" si="6"/>
        <v>72</v>
      </c>
      <c r="B101" s="419">
        <f t="shared" si="2"/>
        <v>9927.0487290000056</v>
      </c>
      <c r="C101" s="420">
        <f t="shared" si="4"/>
        <v>249032.03087831516</v>
      </c>
      <c r="D101" s="421">
        <f t="shared" si="3"/>
        <v>22768.129999999997</v>
      </c>
      <c r="E101" s="422">
        <f t="shared" si="5"/>
        <v>386077.88826137391</v>
      </c>
    </row>
    <row r="102" spans="1:5" ht="15.6" x14ac:dyDescent="0.3">
      <c r="A102" s="38">
        <f t="shared" si="6"/>
        <v>73</v>
      </c>
      <c r="B102" s="419">
        <f t="shared" si="2"/>
        <v>9927.0487290000056</v>
      </c>
      <c r="C102" s="420">
        <f t="shared" si="4"/>
        <v>242593.92721891688</v>
      </c>
      <c r="D102" s="421">
        <f t="shared" si="3"/>
        <v>22768.129999999997</v>
      </c>
      <c r="E102" s="422">
        <f t="shared" si="5"/>
        <v>368611.06055307045</v>
      </c>
    </row>
    <row r="103" spans="1:5" ht="15.6" x14ac:dyDescent="0.3">
      <c r="A103" s="38">
        <f t="shared" si="6"/>
        <v>74</v>
      </c>
      <c r="B103" s="419">
        <f t="shared" si="2"/>
        <v>9927.0487290000056</v>
      </c>
      <c r="C103" s="420">
        <f t="shared" si="4"/>
        <v>236061.88076577953</v>
      </c>
      <c r="D103" s="421">
        <f t="shared" si="3"/>
        <v>22768.129999999997</v>
      </c>
      <c r="E103" s="422">
        <f t="shared" si="5"/>
        <v>350889.36236123845</v>
      </c>
    </row>
    <row r="104" spans="1:5" ht="15.6" x14ac:dyDescent="0.3">
      <c r="A104" s="38">
        <f t="shared" si="6"/>
        <v>75</v>
      </c>
      <c r="B104" s="419">
        <f t="shared" si="2"/>
        <v>9927.0487290000056</v>
      </c>
      <c r="C104" s="420">
        <f t="shared" si="4"/>
        <v>229434.52073505701</v>
      </c>
      <c r="D104" s="421">
        <f t="shared" si="3"/>
        <v>22768.129999999997</v>
      </c>
      <c r="E104" s="422">
        <f t="shared" si="5"/>
        <v>332909.07469554618</v>
      </c>
    </row>
    <row r="105" spans="1:5" ht="15.6" x14ac:dyDescent="0.3">
      <c r="A105" s="38">
        <f t="shared" si="6"/>
        <v>76</v>
      </c>
      <c r="B105" s="419">
        <f t="shared" si="2"/>
        <v>9927.0487290000056</v>
      </c>
      <c r="C105" s="420">
        <f t="shared" si="4"/>
        <v>222710.45634085443</v>
      </c>
      <c r="D105" s="421">
        <f t="shared" si="3"/>
        <v>22768.129999999997</v>
      </c>
      <c r="E105" s="422">
        <f t="shared" si="5"/>
        <v>314666.42429931881</v>
      </c>
    </row>
    <row r="106" spans="1:5" ht="15.6" x14ac:dyDescent="0.3">
      <c r="A106" s="38">
        <f t="shared" si="6"/>
        <v>77</v>
      </c>
      <c r="B106" s="419">
        <f t="shared" si="2"/>
        <v>9927.0487290000056</v>
      </c>
      <c r="C106" s="420">
        <f t="shared" si="4"/>
        <v>215888.27650336432</v>
      </c>
      <c r="D106" s="421">
        <f t="shared" si="3"/>
        <v>22768.129999999997</v>
      </c>
      <c r="E106" s="422">
        <f t="shared" si="5"/>
        <v>296157.58285770105</v>
      </c>
    </row>
    <row r="107" spans="1:5" ht="15.6" x14ac:dyDescent="0.3">
      <c r="A107" s="38">
        <f t="shared" si="6"/>
        <v>78</v>
      </c>
      <c r="B107" s="419">
        <f t="shared" si="2"/>
        <v>9927.0487290000056</v>
      </c>
      <c r="C107" s="420">
        <f t="shared" si="4"/>
        <v>208966.54955274428</v>
      </c>
      <c r="D107" s="421">
        <f t="shared" si="3"/>
        <v>22768.129999999997</v>
      </c>
      <c r="E107" s="422">
        <f t="shared" si="5"/>
        <v>277378.66619426524</v>
      </c>
    </row>
    <row r="108" spans="1:5" ht="15.6" x14ac:dyDescent="0.3">
      <c r="A108" s="38">
        <f t="shared" si="6"/>
        <v>79</v>
      </c>
      <c r="B108" s="419">
        <f t="shared" si="2"/>
        <v>9927.0487290000056</v>
      </c>
      <c r="C108" s="420">
        <f t="shared" si="4"/>
        <v>201943.82292867365</v>
      </c>
      <c r="D108" s="421">
        <f t="shared" si="3"/>
        <v>22768.129999999997</v>
      </c>
      <c r="E108" s="422">
        <f t="shared" si="5"/>
        <v>258325.73345589696</v>
      </c>
    </row>
    <row r="109" spans="1:5" ht="15.6" x14ac:dyDescent="0.3">
      <c r="A109" s="38">
        <f t="shared" si="6"/>
        <v>80</v>
      </c>
      <c r="B109" s="419">
        <f t="shared" si="2"/>
        <v>9927.0487290000056</v>
      </c>
      <c r="C109" s="420">
        <f t="shared" si="4"/>
        <v>194818.62287552608</v>
      </c>
      <c r="D109" s="421">
        <f t="shared" si="3"/>
        <v>22768.129999999997</v>
      </c>
      <c r="E109" s="422">
        <f t="shared" si="5"/>
        <v>238994.78628578642</v>
      </c>
    </row>
    <row r="110" spans="1:5" ht="15.6" x14ac:dyDescent="0.3">
      <c r="A110" s="38">
        <f t="shared" si="6"/>
        <v>81</v>
      </c>
      <c r="B110" s="419">
        <f t="shared" si="2"/>
        <v>9927.0487290000056</v>
      </c>
      <c r="C110" s="420">
        <f t="shared" si="4"/>
        <v>187589.45413309446</v>
      </c>
      <c r="D110" s="421">
        <f t="shared" si="3"/>
        <v>22768.129999999997</v>
      </c>
      <c r="E110" s="422">
        <f t="shared" si="5"/>
        <v>219381.7679843526</v>
      </c>
    </row>
    <row r="111" spans="1:5" ht="15.6" x14ac:dyDescent="0.3">
      <c r="A111" s="38">
        <f t="shared" si="6"/>
        <v>82</v>
      </c>
      <c r="B111" s="419">
        <f t="shared" si="2"/>
        <v>9927.0487290000056</v>
      </c>
      <c r="C111" s="420">
        <f t="shared" si="4"/>
        <v>180254.79962280262</v>
      </c>
      <c r="D111" s="421">
        <f t="shared" si="3"/>
        <v>22768.129999999997</v>
      </c>
      <c r="E111" s="422">
        <f t="shared" si="5"/>
        <v>199482.56265792379</v>
      </c>
    </row>
    <row r="112" spans="1:5" ht="15.6" x14ac:dyDescent="0.3">
      <c r="A112" s="38">
        <f t="shared" si="6"/>
        <v>83</v>
      </c>
      <c r="B112" s="419">
        <f t="shared" si="2"/>
        <v>9927.0487290000056</v>
      </c>
      <c r="C112" s="420">
        <f t="shared" si="4"/>
        <v>172813.12012933858</v>
      </c>
      <c r="D112" s="421">
        <f t="shared" si="3"/>
        <v>22768.129999999997</v>
      </c>
      <c r="E112" s="422">
        <f t="shared" si="5"/>
        <v>179292.99435499587</v>
      </c>
    </row>
    <row r="113" spans="1:6" ht="15.6" x14ac:dyDescent="0.3">
      <c r="A113" s="38">
        <f t="shared" si="6"/>
        <v>84</v>
      </c>
      <c r="B113" s="419">
        <f t="shared" si="2"/>
        <v>9927.0487290000056</v>
      </c>
      <c r="C113" s="420">
        <f t="shared" si="4"/>
        <v>165262.85397764228</v>
      </c>
      <c r="D113" s="421">
        <f t="shared" si="3"/>
        <v>22768.129999999997</v>
      </c>
      <c r="E113" s="422">
        <f t="shared" si="5"/>
        <v>158808.82618988733</v>
      </c>
    </row>
    <row r="114" spans="1:6" ht="15.6" x14ac:dyDescent="0.3">
      <c r="A114" s="38">
        <f t="shared" si="6"/>
        <v>85</v>
      </c>
      <c r="B114" s="419">
        <f t="shared" si="2"/>
        <v>9927.0487290000056</v>
      </c>
      <c r="C114" s="420">
        <f t="shared" si="4"/>
        <v>157602.41670517993</v>
      </c>
      <c r="D114" s="421">
        <f t="shared" si="3"/>
        <v>22768.129999999997</v>
      </c>
      <c r="E114" s="422">
        <f t="shared" si="5"/>
        <v>138025.75945360676</v>
      </c>
    </row>
    <row r="115" spans="1:6" ht="15.6" x14ac:dyDescent="0.3">
      <c r="A115" s="38">
        <f t="shared" si="6"/>
        <v>86</v>
      </c>
      <c r="B115" s="419">
        <f t="shared" si="2"/>
        <v>9927.0487290000056</v>
      </c>
      <c r="C115" s="420">
        <f t="shared" si="4"/>
        <v>149830.20072943627</v>
      </c>
      <c r="D115" s="421">
        <f t="shared" si="3"/>
        <v>22768.129999999997</v>
      </c>
      <c r="E115" s="422">
        <f t="shared" si="5"/>
        <v>116939.43271174643</v>
      </c>
    </row>
    <row r="116" spans="1:6" ht="15.6" x14ac:dyDescent="0.3">
      <c r="A116" s="38">
        <f t="shared" si="6"/>
        <v>87</v>
      </c>
      <c r="B116" s="419">
        <f t="shared" si="2"/>
        <v>9927.0487290000056</v>
      </c>
      <c r="C116" s="420">
        <f t="shared" si="4"/>
        <v>141944.5750105551</v>
      </c>
      <c r="D116" s="421">
        <f t="shared" si="3"/>
        <v>22768.129999999997</v>
      </c>
      <c r="E116" s="422">
        <f t="shared" si="5"/>
        <v>95545.420889212692</v>
      </c>
    </row>
    <row r="117" spans="1:6" ht="15.6" x14ac:dyDescent="0.3">
      <c r="A117" s="38">
        <f t="shared" si="6"/>
        <v>88</v>
      </c>
      <c r="B117" s="419">
        <f t="shared" si="2"/>
        <v>9927.0487290000056</v>
      </c>
      <c r="C117" s="420">
        <f t="shared" si="4"/>
        <v>133943.88470905711</v>
      </c>
      <c r="D117" s="421">
        <f t="shared" si="3"/>
        <v>22768.129999999997</v>
      </c>
      <c r="E117" s="422">
        <f t="shared" si="5"/>
        <v>73839.234341600997</v>
      </c>
    </row>
    <row r="118" spans="1:6" ht="15.6" x14ac:dyDescent="0.3">
      <c r="A118" s="38">
        <f t="shared" si="6"/>
        <v>89</v>
      </c>
      <c r="B118" s="419">
        <f t="shared" si="2"/>
        <v>9927.0487290000056</v>
      </c>
      <c r="C118" s="420">
        <f t="shared" si="4"/>
        <v>125826.45083856316</v>
      </c>
      <c r="D118" s="421">
        <f t="shared" si="3"/>
        <v>22768.129999999997</v>
      </c>
      <c r="E118" s="422">
        <f t="shared" si="5"/>
        <v>51816.317913020743</v>
      </c>
    </row>
    <row r="119" spans="1:6" ht="15.6" x14ac:dyDescent="0.3">
      <c r="A119" s="38">
        <f t="shared" si="6"/>
        <v>90</v>
      </c>
      <c r="B119" s="419">
        <f t="shared" si="2"/>
        <v>9927.0487290000056</v>
      </c>
      <c r="C119" s="420">
        <f t="shared" si="4"/>
        <v>117590.56991345038</v>
      </c>
      <c r="D119" s="421">
        <f t="shared" si="3"/>
        <v>22768.129999999997</v>
      </c>
      <c r="E119" s="422">
        <f t="shared" si="5"/>
        <v>29472.049980172109</v>
      </c>
    </row>
    <row r="120" spans="1:6" ht="15.6" x14ac:dyDescent="0.3">
      <c r="A120" s="38">
        <f t="shared" si="6"/>
        <v>91</v>
      </c>
      <c r="B120" s="419">
        <f t="shared" si="2"/>
        <v>9927.0487290000056</v>
      </c>
      <c r="C120" s="420">
        <f t="shared" si="4"/>
        <v>109234.51359136676</v>
      </c>
      <c r="D120" s="421">
        <f t="shared" si="3"/>
        <v>22768.129999999997</v>
      </c>
      <c r="E120" s="422">
        <f t="shared" si="5"/>
        <v>6801.7414824744765</v>
      </c>
    </row>
    <row r="121" spans="1:6" ht="15.6" x14ac:dyDescent="0.3">
      <c r="A121" s="38">
        <f t="shared" si="6"/>
        <v>92</v>
      </c>
      <c r="B121" s="419">
        <f t="shared" si="2"/>
        <v>9927.0487290000056</v>
      </c>
      <c r="C121" s="420">
        <f t="shared" si="4"/>
        <v>100756.52831052961</v>
      </c>
      <c r="D121" s="421">
        <f t="shared" si="3"/>
        <v>22768.129999999997</v>
      </c>
      <c r="E121" s="422">
        <f t="shared" si="5"/>
        <v>-16199.365061957285</v>
      </c>
    </row>
    <row r="122" spans="1:6" ht="15.6" x14ac:dyDescent="0.3">
      <c r="A122" s="38">
        <f t="shared" si="6"/>
        <v>93</v>
      </c>
      <c r="B122" s="419">
        <f t="shared" si="2"/>
        <v>9927.0487290000056</v>
      </c>
      <c r="C122" s="420">
        <f t="shared" si="4"/>
        <v>92154.834921731483</v>
      </c>
      <c r="D122" s="421">
        <f t="shared" si="3"/>
        <v>22768.129999999997</v>
      </c>
      <c r="E122" s="422">
        <f t="shared" si="5"/>
        <v>-39536.096554695083</v>
      </c>
    </row>
    <row r="123" spans="1:6" ht="16.2" thickBot="1" x14ac:dyDescent="0.35">
      <c r="A123" s="38">
        <f t="shared" si="6"/>
        <v>94</v>
      </c>
      <c r="B123" s="423">
        <f t="shared" si="2"/>
        <v>9927.0487290000056</v>
      </c>
      <c r="C123" s="424">
        <f t="shared" si="4"/>
        <v>83427.628314976522</v>
      </c>
      <c r="D123" s="425">
        <f t="shared" si="3"/>
        <v>22768.129999999997</v>
      </c>
      <c r="E123" s="426">
        <f t="shared" si="5"/>
        <v>-63213.350329947942</v>
      </c>
    </row>
    <row r="124" spans="1:6" ht="15.6" x14ac:dyDescent="0.3">
      <c r="A124" s="1"/>
      <c r="B124" s="1"/>
      <c r="C124" s="1"/>
      <c r="D124" s="1"/>
      <c r="E124" s="1"/>
      <c r="F124" s="1"/>
    </row>
  </sheetData>
  <sheetProtection algorithmName="SHA-512" hashValue="3WO3Wyscdjzs8SV90i93XqU7oLKg44H+pTC53MlXdcmPFygL2k2w8QHEAI72i+3daQRLcLA4GQZEAo8m1veVYw==" saltValue="qQktsfWcl/ab6zu0D0NySg==" spinCount="100000" sheet="1" objects="1" scenarios="1"/>
  <mergeCells count="9">
    <mergeCell ref="F43:L43"/>
    <mergeCell ref="F46:L46"/>
    <mergeCell ref="A1:E1"/>
    <mergeCell ref="E10:G10"/>
    <mergeCell ref="F18:G18"/>
    <mergeCell ref="B23:C23"/>
    <mergeCell ref="D23:E23"/>
    <mergeCell ref="B31:C31"/>
    <mergeCell ref="D31:E31"/>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7CD5F-E1CC-41B5-9133-51AC2DABC61C}">
  <dimension ref="A1:N121"/>
  <sheetViews>
    <sheetView workbookViewId="0">
      <selection activeCell="C15" sqref="C15"/>
    </sheetView>
  </sheetViews>
  <sheetFormatPr baseColWidth="10" defaultRowHeight="14.4" x14ac:dyDescent="0.3"/>
  <cols>
    <col min="1" max="1" width="40.88671875" customWidth="1"/>
    <col min="2" max="2" width="15" customWidth="1"/>
    <col min="3" max="4" width="14.21875" customWidth="1"/>
    <col min="5" max="5" width="14" bestFit="1" customWidth="1"/>
  </cols>
  <sheetData>
    <row r="1" spans="1:14" ht="21" x14ac:dyDescent="0.4">
      <c r="A1" s="591" t="s">
        <v>167</v>
      </c>
      <c r="B1" s="592"/>
      <c r="C1" s="592"/>
      <c r="D1" s="592"/>
      <c r="E1" s="592"/>
    </row>
    <row r="2" spans="1:14" ht="21" x14ac:dyDescent="0.4">
      <c r="A2" s="6"/>
    </row>
    <row r="3" spans="1:14" x14ac:dyDescent="0.3">
      <c r="B3" t="s">
        <v>67</v>
      </c>
      <c r="C3" t="s">
        <v>68</v>
      </c>
      <c r="D3" t="s">
        <v>69</v>
      </c>
      <c r="F3" s="50" t="s">
        <v>102</v>
      </c>
      <c r="G3" s="50"/>
      <c r="I3" t="s">
        <v>84</v>
      </c>
    </row>
    <row r="4" spans="1:14" ht="15.6" x14ac:dyDescent="0.3">
      <c r="A4" s="1" t="s">
        <v>66</v>
      </c>
      <c r="B4" s="10">
        <f>'Optimisation retraite'!B4</f>
        <v>1</v>
      </c>
      <c r="C4" s="19"/>
      <c r="F4" s="50" t="s">
        <v>67</v>
      </c>
      <c r="G4" s="50" t="s">
        <v>103</v>
      </c>
    </row>
    <row r="5" spans="1:14" ht="15.6" x14ac:dyDescent="0.3">
      <c r="A5" s="1" t="s">
        <v>256</v>
      </c>
      <c r="B5" s="20">
        <f>'Optimisation retraite'!B5</f>
        <v>50</v>
      </c>
      <c r="C5" s="20">
        <f>'Optimisation retraite'!C5</f>
        <v>0</v>
      </c>
      <c r="D5" t="s">
        <v>69</v>
      </c>
      <c r="F5" s="50">
        <f>IF(B5&gt;=65,0,65-B5)</f>
        <v>15</v>
      </c>
      <c r="G5" s="50">
        <f>IF(B4=1,0,IF(C5&gt;=65,0,65-C5))</f>
        <v>0</v>
      </c>
      <c r="H5" s="305">
        <f>MAX(F5,G5)</f>
        <v>15</v>
      </c>
    </row>
    <row r="6" spans="1:14" ht="15.6" x14ac:dyDescent="0.3">
      <c r="A6" s="1" t="s">
        <v>266</v>
      </c>
      <c r="B6" s="20">
        <f>'Optimisation retraite'!B6</f>
        <v>65</v>
      </c>
      <c r="C6" s="20">
        <f>'Optimisation retraite'!C6</f>
        <v>0</v>
      </c>
      <c r="F6" s="50">
        <f>IF(B6&gt;=65,0,65-B6)</f>
        <v>0</v>
      </c>
      <c r="G6" s="50">
        <f>IF(B4=1,0,IF(C6&gt;=65,0,65-C6))</f>
        <v>0</v>
      </c>
      <c r="H6" s="305">
        <f>MAX(F6,G6)</f>
        <v>0</v>
      </c>
      <c r="I6">
        <f>ABS(B6-C6)</f>
        <v>65</v>
      </c>
    </row>
    <row r="7" spans="1:14" ht="16.2" thickBot="1" x14ac:dyDescent="0.35">
      <c r="A7" s="1" t="s">
        <v>378</v>
      </c>
      <c r="B7" s="20">
        <f>IF(AND(B4=1,B6&lt;65,B6&gt;59),B6,IF(B4=2,F9,0))</f>
        <v>0</v>
      </c>
      <c r="C7" s="20">
        <f>IF(B4=1,0,G9)</f>
        <v>0</v>
      </c>
      <c r="F7" s="50">
        <f>IF(B6&gt;=60,0,60-B6)</f>
        <v>0</v>
      </c>
      <c r="G7" s="50">
        <f>IF(C6&gt;=60,0,60-C6)</f>
        <v>60</v>
      </c>
      <c r="H7" s="305">
        <f>MAX(F7,G7)</f>
        <v>60</v>
      </c>
      <c r="I7">
        <f>MIN(B6:C6)</f>
        <v>0</v>
      </c>
    </row>
    <row r="8" spans="1:14" ht="16.2" thickBot="1" x14ac:dyDescent="0.35">
      <c r="A8" s="5" t="s">
        <v>78</v>
      </c>
      <c r="B8" s="11">
        <f>'Optimisation retraite'!B7</f>
        <v>50000</v>
      </c>
      <c r="C8" s="11">
        <f>'Optimisation retraite'!C7</f>
        <v>0</v>
      </c>
      <c r="D8" s="21">
        <f>SUM(B8:C8)</f>
        <v>50000</v>
      </c>
      <c r="E8" s="96"/>
      <c r="F8" s="85">
        <f>IF(AND(B8=6,B10&gt;0),F10/(F10+G10),B8/(B8+C8))</f>
        <v>1</v>
      </c>
      <c r="G8" s="85">
        <f>100%-F8</f>
        <v>0</v>
      </c>
      <c r="H8">
        <f>MAX(B6,C6)</f>
        <v>65</v>
      </c>
      <c r="I8" s="544">
        <f>IF(AND(B4=1,B6&gt;=65),0,IF(AND(B4=2,B6&gt;=65,C6&gt;=65),0,IF(AND(B4=1,B6&gt;59),65-B6,IF(AND(B4=2,I6&lt;5),I6,IF(AND(B4=2,I6&gt;4),65-H9,)))))</f>
        <v>0</v>
      </c>
      <c r="L8">
        <f>IF(AND(B4=1,C28&lt;Seuils!D55,'Optimisation retraite'!J11&gt;40%,' Épargne nécessaire'!B22&lt;(Seuils!D55-'Optimal &lt; 65'!C28)*'Optimal &lt; 65'!I8+1),Seuils!D55,IF(AND(B4=1,C28&lt;Seuils!D55,'Optimisation retraite'!J11&gt;40%,' Épargne nécessaire'!B22&gt;(Seuils!D55-'Optimal &lt; 65'!C28)*'Optimal &lt; 65'!I8+1),Seuils!J7,IF(AND(B4=1,'Optimisation retraite'!P9=0),Seuils!J7,IF('Optimal &lt; 65'!B4=1,'Optimisation retraite'!E29+Seuils!F108,IF(C28&gt;Seuils!I7*2,'Optimisation retraite'!E29+Seuils!E134+Seuils!H134,Seuils!I7*2)))))</f>
        <v>39669.839999999997</v>
      </c>
    </row>
    <row r="9" spans="1:14" ht="16.2" thickBot="1" x14ac:dyDescent="0.35">
      <c r="A9" s="5" t="s">
        <v>134</v>
      </c>
      <c r="B9" s="11">
        <f>IF($B$7&lt;65,0,IF($B$7&gt;=65,'Optimisation retraite'!B8,'Optimisation retraite'!B8*POWER(1+Seuils!$H$296,$B$7-64)))</f>
        <v>0</v>
      </c>
      <c r="C9" s="11">
        <f>IF($C$7&lt;65,0,IF($C$7&gt;=65,'Optimisation retraite'!C8,'Optimisation retraite'!C8*POWER(1+Seuils!$H$296,$C$5-64)))</f>
        <v>0</v>
      </c>
      <c r="D9" s="21">
        <f>B9+C9</f>
        <v>0</v>
      </c>
      <c r="E9" s="1"/>
      <c r="F9" s="542">
        <f>IF(AND(G7&lt;F7,I6&gt;4),60,IF(AND(G7&lt;F7,I6&lt;5),65-I6,IF(AND(G7&gt;F7,I6&gt;4),60+I6,IF(C6&gt;60,G9+I6,IF(AND(B4=2,I6&lt;5,B6&gt;C6),65,65+I6)))))</f>
        <v>125</v>
      </c>
      <c r="G9" s="542">
        <f>IF(AND(G7&lt;F7,I6&gt;4),60+I6,IF(AND(G7&lt;F7,I6&lt;5),65,IF(AND(G7&gt;F7,I6&gt;4),60,IF(C6&gt;60,C6,IF(AND(B4=2,I6&lt;5,C6&lt;B6),65-I6)))))</f>
        <v>60</v>
      </c>
      <c r="H9" s="305">
        <f>MIN(F9:G9)</f>
        <v>60</v>
      </c>
      <c r="L9">
        <f>IF(AND(B4=1,C28&lt;Seuils!D55,'Optimisation retraite'!E29&lt;Seuils!D55),Seuils!D55,IF(AND(B4=1,C28&lt;Seuils!D55,'Optimisation retraite'!E29&gt;Seuils!D55),'Optimisation retraite'!E29+Seuils!E134+Seuils!H134,IF(AND(B4=1,'Optimisation retraite'!P9=0),Seuils!J7,IF('Optimal &lt; 65'!B4=1,'Optimisation retraite'!E29+Seuils!F108,IF(AND('Optimisation retraite'!B4=2,'Optimisation retraite'!P9=1),'Optimisation retraite'!E29+Seuils!E134+Seuils!H134,IF(AND(B4=2,H8&gt;65,I7&lt;65,D10+D15&lt;Seuils!C29,D10+D15&gt;Seuils!C30,D9+D10+D15&lt;Seuils!L78),Seuils!L78,IF(AND(B4=2,H8&gt;65,I7&lt;65,D10+D15&lt;Seuils!C29,D10+D15&gt;Seuils!C30),D15+D9+D10+100,IF(C28&gt;Seuils!I7*2,'Optimisation retraite'!E29+Seuils!E134+Seuils!H134,Seuils!I7*2))))))))</f>
        <v>39669.839999999997</v>
      </c>
      <c r="M9" s="3">
        <f>L9/D8</f>
        <v>0.7933967999999999</v>
      </c>
      <c r="N9" t="b">
        <f>IF(AND(B4=2,H8&gt;65,I7&lt;65,D10+D15&lt;Seuils!C29,D10+D15&gt;Seuils!C30),D15)</f>
        <v>0</v>
      </c>
    </row>
    <row r="10" spans="1:14" ht="16.2" thickBot="1" x14ac:dyDescent="0.35">
      <c r="A10" s="1" t="s">
        <v>101</v>
      </c>
      <c r="B10" s="11">
        <f>IF($B$7&lt;65,0,IF($B$7&gt;=65,'Optimisation retraite'!B9,'Optimisation retraite'!B9*POWER(1+Seuils!$H$296,$B$5-64)))</f>
        <v>0</v>
      </c>
      <c r="C10" s="11">
        <f>IF($C$7&lt;65,0,IF($C$7&gt;=65,'Optimisation retraite'!C9,'Optimisation retraite'!C9*POWER(1+Seuils!$H$296,$C$5-64)))</f>
        <v>0</v>
      </c>
      <c r="D10" s="89">
        <f>SUM(B10:C10)</f>
        <v>0</v>
      </c>
      <c r="E10" s="1"/>
      <c r="L10">
        <f>'Optimisation retraite'!E29+Seuils!F125</f>
        <v>36361.117647058825</v>
      </c>
      <c r="M10" s="3">
        <f>L10/B8</f>
        <v>0.72722235294117654</v>
      </c>
    </row>
    <row r="11" spans="1:14" ht="18" x14ac:dyDescent="0.35">
      <c r="A11" s="5" t="s">
        <v>70</v>
      </c>
      <c r="B11" s="11">
        <f>'Optimisation retraite'!B10</f>
        <v>1000</v>
      </c>
      <c r="C11" s="11">
        <v>0</v>
      </c>
      <c r="D11" s="21">
        <f>SUM(B11:C11)</f>
        <v>1000</v>
      </c>
      <c r="E11" s="1" t="s">
        <v>177</v>
      </c>
      <c r="H11" s="83" t="s">
        <v>107</v>
      </c>
      <c r="I11" s="50"/>
      <c r="J11" s="50"/>
      <c r="K11" s="50"/>
      <c r="L11" s="94">
        <f>IF(AND(B4=1,C28&gt;Seuils!D55),Seuils!E33,IF(AND(B4=1,B8&gt;Seuils!A9),Seuils!E33,IF(AND(B4=1,B10&lt;Seuils!E33/80%,B10&lt;=61600*25%*94.15%),Seuils!D55,IF(AND(B4=1,B10&lt;Seuils!E33/80%,B10&gt;61600*25%*94.15%),Seuils!J55,IF(C28&gt;Seuils!A8,Seuils!E33*2,IF('Optimisation retraite'!C29&gt;Seuils!I7*2,Seuils!A8,IF(AND(B15+C15+D10&gt;21300,C28&lt;Seuils!C16),Seuils!C16,Seuils!J6*2)))))))</f>
        <v>39669.839999999997</v>
      </c>
      <c r="M11" s="95">
        <f>IF(D8=0,L11/(F10+G10),L11/D8)</f>
        <v>0.7933967999999999</v>
      </c>
    </row>
    <row r="12" spans="1:14" ht="15.6" x14ac:dyDescent="0.3">
      <c r="A12" s="1" t="s">
        <v>135</v>
      </c>
      <c r="B12" s="18">
        <f>'Optimisation retraite'!B11</f>
        <v>642</v>
      </c>
      <c r="C12" s="11">
        <f>'Optimisation retraite'!C11</f>
        <v>0</v>
      </c>
      <c r="D12" s="21">
        <f>SUM(B12:C12)</f>
        <v>642</v>
      </c>
      <c r="E12" s="17" t="s">
        <v>106</v>
      </c>
      <c r="F12" s="17" t="s">
        <v>161</v>
      </c>
      <c r="G12" t="str">
        <f>IF(B4=1,"seuil limite","optimal #2")</f>
        <v>seuil limite</v>
      </c>
      <c r="H12" s="50"/>
      <c r="I12" s="50"/>
      <c r="J12" s="50"/>
      <c r="K12" s="50"/>
      <c r="L12" s="94">
        <f>IF(AND(B4=2,D8&gt;150000,C28&gt;Seuils!I7*2),Seuils!E33*2,IF(AND(B4=2,L11=Seuils!I7*2),Seuils!C16,IF(AND(B4=2,L11=Seuils!C16),Seuils!I7*2,IF(AND(B4=1,L11=Seuils!D55),Seuils!E33,Seuils!D55))))</f>
        <v>79845</v>
      </c>
      <c r="M12" s="95">
        <f>IF(D8=0,L12/(F10+G10),L12/D8)</f>
        <v>1.5969</v>
      </c>
    </row>
    <row r="13" spans="1:14" ht="15.6" x14ac:dyDescent="0.3">
      <c r="A13" s="5" t="s">
        <v>82</v>
      </c>
      <c r="B13" s="52">
        <f>IF(B8=0,(F9+G9)*E13,(B8+C8)*E13)</f>
        <v>39669.839999999997</v>
      </c>
      <c r="C13" s="21"/>
      <c r="D13" s="21">
        <f>SUM(B13:C13)</f>
        <v>39669.839999999997</v>
      </c>
      <c r="E13" s="270">
        <f>M9</f>
        <v>0.7933967999999999</v>
      </c>
      <c r="F13" s="93">
        <f>M11</f>
        <v>0.7933967999999999</v>
      </c>
      <c r="G13" s="99">
        <f>IF(B4=1,Seuils!E33/B8,M12)</f>
        <v>1.5969</v>
      </c>
    </row>
    <row r="14" spans="1:14" ht="18" x14ac:dyDescent="0.35">
      <c r="A14" s="5" t="s">
        <v>136</v>
      </c>
      <c r="B14" s="11">
        <f>IF(AND(B4=2,C8&gt;15000),(B13-D10-B23-C23)*F8,B13-D10-B23-C23)</f>
        <v>39669.839999999997</v>
      </c>
      <c r="C14" s="22">
        <f>IF(AND(B4=2,C8&gt;15000),(B13-D10-B23-C23)*(1-F8),0)</f>
        <v>0</v>
      </c>
      <c r="D14" s="21">
        <f t="shared" ref="D14" si="0">SUM(B14:C14)</f>
        <v>39669.839999999997</v>
      </c>
      <c r="E14" s="1"/>
      <c r="H14" s="83" t="s">
        <v>105</v>
      </c>
      <c r="I14" s="83"/>
      <c r="J14" s="84">
        <f>D76</f>
        <v>0.42499999999999999</v>
      </c>
      <c r="K14" s="622" t="str">
        <f>IF(J14&lt;J16-0.5%,"Maximiser d'abord votre CELI !",IF(J14&gt;J16+0.5%,"Privillégiez le REER OPTIMAL", "Indifférent entre REER et CELI"))</f>
        <v>Privillégiez le REER OPTIMAL</v>
      </c>
      <c r="L14" s="623"/>
      <c r="M14" s="623"/>
    </row>
    <row r="15" spans="1:14" ht="18" x14ac:dyDescent="0.35">
      <c r="A15" s="5" t="s">
        <v>246</v>
      </c>
      <c r="B15" s="11">
        <f>IF(AND('Optimisation retraite'!B5&gt;=65,B4=1),0,IF(B7&gt;=65,'Optimisation retraite'!B13,IF(AND(B7&lt;65,B7&gt;59),' Épargne nécessaire'!B35,IF(B7&lt;55,0,' Épargne nécessaire'!B36))))</f>
        <v>0</v>
      </c>
      <c r="C15" s="11">
        <f>IF(AND('Optimisation retraite'!B5&gt;65,B4=1),0,IF(C7&gt;=65,'Optimisation retraite'!C13,IF(AND(C7&lt;65,C7&gt;59),' Épargne nécessaire'!C35,IF('Optimal &lt; 65'!C7&lt;55,0,' Épargne nécessaire'!C36))))</f>
        <v>0</v>
      </c>
      <c r="D15" s="21">
        <f>B15+C15</f>
        <v>0</v>
      </c>
      <c r="E15" s="1"/>
      <c r="H15" s="83" t="s">
        <v>489</v>
      </c>
      <c r="I15" s="50"/>
      <c r="J15" s="84">
        <f>C56</f>
        <v>0.18054900518882866</v>
      </c>
      <c r="K15" s="50"/>
      <c r="L15" s="50"/>
      <c r="M15" s="50"/>
    </row>
    <row r="16" spans="1:14" ht="18" x14ac:dyDescent="0.35">
      <c r="A16" s="5" t="s">
        <v>191</v>
      </c>
      <c r="B16" s="271">
        <f>'Optimisation retraite'!B14</f>
        <v>0.5</v>
      </c>
      <c r="C16" s="271">
        <f>'Optimisation retraite'!C14</f>
        <v>0.5</v>
      </c>
      <c r="D16" s="21"/>
      <c r="E16" s="1"/>
      <c r="H16" s="83"/>
      <c r="J16" s="90"/>
      <c r="K16" s="50"/>
      <c r="L16" s="50"/>
      <c r="M16" s="50"/>
    </row>
    <row r="17" spans="1:13" ht="18" x14ac:dyDescent="0.35">
      <c r="A17" s="5" t="s">
        <v>192</v>
      </c>
      <c r="B17" s="11">
        <f>'Optimisation retraite'!B15</f>
        <v>0</v>
      </c>
      <c r="C17" s="11">
        <f>'Optimisation retraite'!C15</f>
        <v>0</v>
      </c>
      <c r="D17" s="21"/>
      <c r="E17" s="1"/>
      <c r="H17" s="83" t="str">
        <f>IF(B4=1," ",IF(C8&lt;Seuils!A7,"N.B. Conjoint #2 ne devrait nullement cotiser à son REER !",IF(AND(C8&lt;Seuils!I8,'Optimisation retraite'!J11&gt;Seuils!E7+Seuils!K7+2%),"N.B. Conjoint #2 ne devrait nullement cotiser à son REER !"," ")))</f>
        <v xml:space="preserve"> </v>
      </c>
      <c r="I17" s="50"/>
      <c r="J17" s="84"/>
      <c r="K17" s="50"/>
      <c r="L17" s="50"/>
      <c r="M17" s="50"/>
    </row>
    <row r="18" spans="1:13" ht="15.6" x14ac:dyDescent="0.3">
      <c r="A18" s="5" t="s">
        <v>137</v>
      </c>
      <c r="B18" s="98">
        <f>Seuils!L296</f>
        <v>0</v>
      </c>
      <c r="C18" s="22"/>
      <c r="D18" s="21"/>
      <c r="E18" s="1"/>
      <c r="K18" s="50"/>
      <c r="L18" s="50"/>
      <c r="M18" s="50"/>
    </row>
    <row r="19" spans="1:13" ht="15.6" x14ac:dyDescent="0.3">
      <c r="A19" s="5" t="s">
        <v>138</v>
      </c>
      <c r="B19" s="98">
        <f>Seuils!L297</f>
        <v>0</v>
      </c>
      <c r="C19" s="22">
        <f>L11-(B15+C15)</f>
        <v>39669.839999999997</v>
      </c>
      <c r="D19" s="21"/>
      <c r="E19" s="1"/>
      <c r="M19" s="50"/>
    </row>
    <row r="20" spans="1:13" ht="15.6" x14ac:dyDescent="0.3">
      <c r="A20" s="5"/>
      <c r="B20" s="98"/>
      <c r="C20" s="22"/>
      <c r="D20" s="21"/>
      <c r="E20" s="1"/>
      <c r="M20" s="50"/>
    </row>
    <row r="21" spans="1:13" ht="18.600000000000001" thickBot="1" x14ac:dyDescent="0.4">
      <c r="A21" s="543" t="str">
        <f>IF(B4=1,"Célibataire prenant sa retraite avant 65 ans","Période où l'un des conjoints a plus de 65 ans et l'autre entre 60 et 65 ans")</f>
        <v>Célibataire prenant sa retraite avant 65 ans</v>
      </c>
      <c r="B21" s="306"/>
      <c r="C21" s="380"/>
      <c r="D21" s="21"/>
      <c r="E21" s="1"/>
      <c r="H21" s="83"/>
      <c r="I21" s="50"/>
      <c r="J21" s="84"/>
      <c r="K21" s="50"/>
      <c r="L21" s="50"/>
      <c r="M21" s="50"/>
    </row>
    <row r="22" spans="1:13" ht="16.2" thickBot="1" x14ac:dyDescent="0.35">
      <c r="A22" s="23" t="s">
        <v>162</v>
      </c>
      <c r="B22" s="624" t="s">
        <v>164</v>
      </c>
      <c r="C22" s="625"/>
      <c r="D22" s="624" t="s">
        <v>165</v>
      </c>
      <c r="E22" s="625"/>
    </row>
    <row r="23" spans="1:13" ht="15.6" x14ac:dyDescent="0.3">
      <c r="A23" s="24" t="s">
        <v>43</v>
      </c>
      <c r="B23" s="25">
        <f>B9</f>
        <v>0</v>
      </c>
      <c r="C23" s="26">
        <f>C9</f>
        <v>0</v>
      </c>
      <c r="D23" s="25">
        <f>B9</f>
        <v>0</v>
      </c>
      <c r="E23" s="26">
        <f>C9</f>
        <v>0</v>
      </c>
    </row>
    <row r="24" spans="1:13" ht="15.6" x14ac:dyDescent="0.3">
      <c r="A24" s="24" t="s">
        <v>44</v>
      </c>
      <c r="B24" s="27">
        <f>B10</f>
        <v>0</v>
      </c>
      <c r="C24" s="28">
        <f>C10</f>
        <v>0</v>
      </c>
      <c r="D24" s="27">
        <f>B24</f>
        <v>0</v>
      </c>
      <c r="E24" s="28">
        <f>C24</f>
        <v>0</v>
      </c>
    </row>
    <row r="25" spans="1:13" ht="15.6" x14ac:dyDescent="0.3">
      <c r="A25" s="24" t="s">
        <v>31</v>
      </c>
      <c r="B25" s="27">
        <f>IF(AND(B4=2,D15+D10+D9&gt;Seuils!D29),0,IF(B5&lt;65,0,IF(D10+B26&gt;Seuils!E29,0,IF(D10+B26&gt;Seuils!D31,Seuils!D28-(D10+B26)*50%,IF(D10+B26&gt;Seuils!D30,Seuils!D26-(D10+B26-Seuils!D30)*75%,Seuils!D27-(D10+B26)*50%)))))</f>
        <v>0</v>
      </c>
      <c r="C25" s="28">
        <f>IF(B4=1,0,IF(AND(B7&lt;65,C7&lt;65),0,IF(AND(B4=2,H8&gt;65,I7&lt;65,D10+D15&lt;Seuils!C29),Seuils!C28-(D10+D15-Seuils!C30)*25%,0)))</f>
        <v>0</v>
      </c>
      <c r="D25" s="27">
        <f>IF(B4=2,0,IF('Optimisation retraite'!D9+'Optimisation retraite'!D16&gt;Seuils!E29,0,Seuils!D28-(D10+D14)*50%))</f>
        <v>0</v>
      </c>
      <c r="E25" s="28">
        <f>IF(B4=1,0,IF(AND(B4=2,H8&gt;65,I7&lt;65,D10+D14&lt;Seuils!C29,D10+D14&gt;Seuils!C30),Seuils!C28-(D10+D14-Seuils!C30)*25%,0))</f>
        <v>0</v>
      </c>
    </row>
    <row r="26" spans="1:13" ht="16.2" thickBot="1" x14ac:dyDescent="0.35">
      <c r="A26" s="24" t="s">
        <v>166</v>
      </c>
      <c r="B26" s="29">
        <f>B15+B17</f>
        <v>0</v>
      </c>
      <c r="C26" s="30">
        <f>C15+C17</f>
        <v>0</v>
      </c>
      <c r="D26" s="29">
        <f>B14</f>
        <v>39669.839999999997</v>
      </c>
      <c r="E26" s="30">
        <f>C14</f>
        <v>0</v>
      </c>
    </row>
    <row r="27" spans="1:13" ht="16.2" thickBot="1" x14ac:dyDescent="0.35">
      <c r="A27" s="31" t="s">
        <v>76</v>
      </c>
      <c r="B27" s="32">
        <f>SUM(B23:B26)-B25</f>
        <v>0</v>
      </c>
      <c r="C27" s="33">
        <f>SUM(C23:C26)-C25</f>
        <v>0</v>
      </c>
      <c r="D27" s="32">
        <f>SUM(D23:D26)-D25</f>
        <v>39669.839999999997</v>
      </c>
      <c r="E27" s="33">
        <f>SUM(E23:E26)-E25</f>
        <v>0</v>
      </c>
    </row>
    <row r="28" spans="1:13" ht="16.2" thickBot="1" x14ac:dyDescent="0.35">
      <c r="A28" s="34" t="s">
        <v>77</v>
      </c>
      <c r="B28" s="35"/>
      <c r="C28" s="35">
        <f>B27+C27</f>
        <v>0</v>
      </c>
      <c r="D28" s="35"/>
      <c r="E28" s="36">
        <f>D27+E27</f>
        <v>39669.839999999997</v>
      </c>
    </row>
    <row r="29" spans="1:13" ht="16.2" thickBot="1" x14ac:dyDescent="0.35">
      <c r="A29" s="37"/>
      <c r="B29" s="38"/>
      <c r="C29" s="38"/>
      <c r="D29" s="38"/>
      <c r="E29" s="39"/>
    </row>
    <row r="30" spans="1:13" ht="16.2" thickBot="1" x14ac:dyDescent="0.35">
      <c r="A30" s="40" t="s">
        <v>81</v>
      </c>
      <c r="B30" s="624" t="s">
        <v>164</v>
      </c>
      <c r="C30" s="625"/>
      <c r="D30" s="624" t="s">
        <v>165</v>
      </c>
      <c r="E30" s="625"/>
    </row>
    <row r="31" spans="1:13" ht="16.2" thickBot="1" x14ac:dyDescent="0.35">
      <c r="A31" s="41"/>
      <c r="B31" s="244" t="s">
        <v>46</v>
      </c>
      <c r="C31" s="245" t="s">
        <v>47</v>
      </c>
      <c r="D31" s="246" t="s">
        <v>46</v>
      </c>
      <c r="E31" s="245" t="s">
        <v>47</v>
      </c>
    </row>
    <row r="32" spans="1:13" ht="15.6" x14ac:dyDescent="0.3">
      <c r="A32" s="42" t="s">
        <v>79</v>
      </c>
      <c r="B32" s="25">
        <f>IF(B4=2,Seuils!D12+Seuils!D13,Seuils!D12)</f>
        <v>13808</v>
      </c>
      <c r="C32" s="26">
        <f>IF(B4=2,Seuils!J12*2,Seuils!J12)</f>
        <v>15728</v>
      </c>
      <c r="D32" s="25">
        <f>IF(B4=2,Seuils!D12+Seuils!E13,Seuils!D12)</f>
        <v>13808</v>
      </c>
      <c r="E32" s="26">
        <f>C32</f>
        <v>15728</v>
      </c>
    </row>
    <row r="33" spans="1:12" ht="15.6" x14ac:dyDescent="0.3">
      <c r="A33" s="42" t="s">
        <v>80</v>
      </c>
      <c r="B33" s="27">
        <f>IF(B4=2,Seuils!D133,Seuils!B133)</f>
        <v>0</v>
      </c>
      <c r="C33" s="520">
        <f>Seuils!N18</f>
        <v>1802</v>
      </c>
      <c r="D33" s="43">
        <f>Seuils!D124</f>
        <v>0</v>
      </c>
      <c r="E33" s="28">
        <f>Seuils!M18</f>
        <v>3987.2800000000007</v>
      </c>
    </row>
    <row r="34" spans="1:12" ht="15.6" x14ac:dyDescent="0.3">
      <c r="A34" s="42" t="s">
        <v>168</v>
      </c>
      <c r="B34" s="27">
        <f>IF(AND(B7&gt;65,B15&lt;2000,C7&lt;65,C15&gt;2000),B15,IF(AND(B4=1,B15&gt;Seuils!C19),Seuils!C19,IF(AND(B4=1,B15&lt;2000),B15,IF(AND(B4=2,B15&gt;2000,C15&gt;2000),Seuils!C19*2,IF(AND(B4=2,B15&gt;2000,C15&lt;2000),Seuils!C19+C15,IF(AND(B4=2,C15&gt;2000,B15&lt;2000),Seuils!C19+'Optimal &lt; 65'!B15,IF(AND('Optimal &lt; 65'!B4=2,'Optimal &lt; 65'!B15&lt;2000,'Optimal &lt; 65'!C15&lt;2000),B26+C26,0)))))))</f>
        <v>0</v>
      </c>
      <c r="C34" s="28"/>
      <c r="D34" s="43">
        <f>IF(AND(B7&gt;65,B15&lt;2000,C7&lt;65,C15&gt;2000,D15+D10&lt;Seuils!C29),B15,IF(AND(B5&lt;65,B15+C15&lt;=2000*B4),B15+C15,IF(AND(B5&lt;65,B15+C15&gt;2000*B4),2000*B4,Seuils!D19*'Optimal &lt; 65'!B4)))</f>
        <v>0</v>
      </c>
      <c r="E34" s="28"/>
    </row>
    <row r="35" spans="1:12" ht="15.6" x14ac:dyDescent="0.3">
      <c r="A35" s="42" t="s">
        <v>15</v>
      </c>
      <c r="B35" s="27">
        <f>Seuils!C134</f>
        <v>1642</v>
      </c>
      <c r="C35" s="28">
        <f>Seuils!J24</f>
        <v>1335.118379</v>
      </c>
      <c r="D35" s="43">
        <f>Seuils!C125</f>
        <v>451.90480000000025</v>
      </c>
      <c r="E35" s="28">
        <f>Seuils!J25</f>
        <v>145.02317900000025</v>
      </c>
    </row>
    <row r="36" spans="1:12" ht="15.6" x14ac:dyDescent="0.3">
      <c r="A36" s="42" t="s">
        <v>48</v>
      </c>
      <c r="B36" s="27">
        <f>SUM(B32:B35)</f>
        <v>15450</v>
      </c>
      <c r="C36" s="28">
        <f>SUM(C32:C35)</f>
        <v>18865.118379</v>
      </c>
      <c r="D36" s="43">
        <f>SUM(D32:D35)</f>
        <v>14259.9048</v>
      </c>
      <c r="E36" s="28">
        <f>SUM(E32:E35)</f>
        <v>19860.303178999999</v>
      </c>
    </row>
    <row r="37" spans="1:12" ht="15.6" x14ac:dyDescent="0.3">
      <c r="A37" s="44"/>
      <c r="B37" s="27"/>
      <c r="C37" s="28"/>
      <c r="D37" s="43"/>
      <c r="E37" s="28"/>
    </row>
    <row r="38" spans="1:12" ht="15.6" x14ac:dyDescent="0.3">
      <c r="A38" s="42" t="s">
        <v>49</v>
      </c>
      <c r="B38" s="27">
        <f>Seuils!D131</f>
        <v>0</v>
      </c>
      <c r="C38" s="28">
        <f>Seuils!L131</f>
        <v>0</v>
      </c>
      <c r="D38" s="43">
        <f>Seuils!D122</f>
        <v>5950.4759999999997</v>
      </c>
      <c r="E38" s="45">
        <f>Seuils!L122</f>
        <v>5950.4759999999997</v>
      </c>
    </row>
    <row r="39" spans="1:12" ht="15.6" x14ac:dyDescent="0.3">
      <c r="A39" s="42" t="s">
        <v>50</v>
      </c>
      <c r="B39" s="27">
        <f>B36*15%</f>
        <v>2317.5</v>
      </c>
      <c r="C39" s="28">
        <f>(C32+C33)*Seuils!K6+C35*20%</f>
        <v>2896.5236758000001</v>
      </c>
      <c r="D39" s="43">
        <f>D36*15%</f>
        <v>2138.9857200000001</v>
      </c>
      <c r="E39" s="28">
        <f>(E32+E33)*Seuils!K6+E35*20%</f>
        <v>2986.2966357999999</v>
      </c>
    </row>
    <row r="40" spans="1:12" ht="15.6" x14ac:dyDescent="0.3">
      <c r="A40" s="42" t="s">
        <v>51</v>
      </c>
      <c r="B40" s="27">
        <f>IF(B38&gt;B39,(B38-B39)*16.5%,0)</f>
        <v>0</v>
      </c>
      <c r="C40" s="28"/>
      <c r="D40" s="43">
        <f>IF(D38&gt;D39,(D38-D39)*16.5%,0)</f>
        <v>628.89589619999992</v>
      </c>
      <c r="E40" s="28"/>
    </row>
    <row r="41" spans="1:12" ht="15.6" x14ac:dyDescent="0.3">
      <c r="A41" s="42" t="s">
        <v>35</v>
      </c>
      <c r="B41" s="27"/>
      <c r="C41" s="28">
        <f>Seuils!L133</f>
        <v>0</v>
      </c>
      <c r="D41" s="43"/>
      <c r="E41" s="28">
        <f>Seuils!L124</f>
        <v>150</v>
      </c>
    </row>
    <row r="42" spans="1:12" ht="15.6" x14ac:dyDescent="0.3">
      <c r="A42" s="42" t="s">
        <v>18</v>
      </c>
      <c r="B42" s="27"/>
      <c r="C42" s="28">
        <f>Seuils!N28</f>
        <v>0</v>
      </c>
      <c r="D42" s="43"/>
      <c r="E42" s="28">
        <f>Seuils!L28</f>
        <v>679.1</v>
      </c>
    </row>
    <row r="43" spans="1:12" ht="15.6" x14ac:dyDescent="0.3">
      <c r="A43" s="42" t="s">
        <v>169</v>
      </c>
      <c r="B43" s="29"/>
      <c r="C43" s="30"/>
      <c r="D43" s="46"/>
      <c r="E43" s="30"/>
    </row>
    <row r="44" spans="1:12" ht="16.2" thickBot="1" x14ac:dyDescent="0.35">
      <c r="A44" s="42" t="s">
        <v>133</v>
      </c>
      <c r="B44" s="29">
        <f>B46</f>
        <v>0</v>
      </c>
      <c r="C44" s="30"/>
      <c r="D44" s="46">
        <f>D46</f>
        <v>0</v>
      </c>
      <c r="E44" s="30"/>
    </row>
    <row r="45" spans="1:12" ht="16.2" thickBot="1" x14ac:dyDescent="0.35">
      <c r="A45" s="31" t="s">
        <v>52</v>
      </c>
      <c r="B45" s="32">
        <f>IF(B39&gt;B38-B40+B41+B42+B44,0,B38+B41+B42+B44-B39-B40)</f>
        <v>0</v>
      </c>
      <c r="C45" s="33">
        <f>IF(C39&gt;C38,C41+C42+C44,C38+C41+C42+C44-C39)</f>
        <v>0</v>
      </c>
      <c r="D45" s="47">
        <f>IF(D39&gt;D38-D40+D41+D42+D44,0,D38-D40+D41+D42+D44-D39)</f>
        <v>3182.5943837999998</v>
      </c>
      <c r="E45" s="33">
        <f>IF(E39&gt;E38,E41+E42+E44,E38+E41+E42+E44-E39)</f>
        <v>3793.2793642000001</v>
      </c>
    </row>
    <row r="46" spans="1:12" ht="15.6" x14ac:dyDescent="0.3">
      <c r="A46" s="48" t="s">
        <v>170</v>
      </c>
      <c r="B46" s="91">
        <f>IF(B6&lt;65,0,IF(AND(B4=1,B27&gt;Seuils!E34),Seuils!E32,IF(AND(B4=1,'Optimisation retraite'!B28&gt;Seuils!E33),(B27-Seuils!E33)*15%,IF(AND(B4=2,Seuils!B110&gt;Seuils!E33,(Seuils!B110-Seuils!E33)*15%&gt;B23),B23,IF(AND(B4=2,Seuils!B110&gt;Seuils!E33),(Seuils!B110-Seuils!E33)*15%,0)))))</f>
        <v>0</v>
      </c>
      <c r="C46" s="49"/>
      <c r="D46" s="91">
        <f>IF(B6&lt;65,0,IF(AND(B4=1,D27&gt;Seuils!E34),Seuils!E32,IF(AND(B4=1,'Optimisation retraite'!D28&gt;Seuils!E33),(D27-Seuils!E33)*15%,IF(AND(B4=2,Seuils!B101&gt;Seuils!E33,(Seuils!B101-Seuils!E33)*15%&gt;B23),B23,IF(AND(B4=2,Seuils!B101&gt;Seuils!E33),(Seuils!B101-Seuils!E33)*15%,0)))))</f>
        <v>0</v>
      </c>
      <c r="E46" s="49">
        <f>E45+D45-(B45+C45)</f>
        <v>6975.873748</v>
      </c>
      <c r="F46" s="7">
        <f>E46/$D$14</f>
        <v>0.17584829553131548</v>
      </c>
    </row>
    <row r="47" spans="1:12" ht="15.6" x14ac:dyDescent="0.3">
      <c r="A47" s="50"/>
      <c r="B47" s="50"/>
      <c r="C47" s="50"/>
      <c r="D47" s="92" t="str">
        <f>IF(D46&gt;0,"Remboursement PSV"," ")</f>
        <v xml:space="preserve"> </v>
      </c>
      <c r="E47" s="50"/>
      <c r="F47" s="588" t="s">
        <v>242</v>
      </c>
      <c r="G47" s="589"/>
      <c r="H47" s="589"/>
      <c r="I47" s="589"/>
      <c r="J47" s="589"/>
      <c r="K47" s="589"/>
      <c r="L47" s="589"/>
    </row>
    <row r="48" spans="1:12" ht="15.6" x14ac:dyDescent="0.3">
      <c r="A48" s="39" t="s">
        <v>179</v>
      </c>
      <c r="B48" s="50"/>
      <c r="C48" s="50"/>
      <c r="D48" s="50"/>
      <c r="E48" s="38" t="s">
        <v>84</v>
      </c>
      <c r="F48" s="588" t="s">
        <v>241</v>
      </c>
      <c r="G48" s="589"/>
      <c r="H48" s="589"/>
      <c r="I48" s="589"/>
      <c r="J48" s="589"/>
      <c r="K48" s="589"/>
      <c r="L48" s="589"/>
    </row>
    <row r="49" spans="1:7" ht="15.6" x14ac:dyDescent="0.3">
      <c r="A49" s="37" t="s">
        <v>180</v>
      </c>
      <c r="B49" s="21">
        <f>C28-B45-C45</f>
        <v>0</v>
      </c>
      <c r="C49" s="21"/>
      <c r="D49" s="21">
        <f>E28-D45-E45-D46</f>
        <v>32693.966251999995</v>
      </c>
      <c r="E49" s="21">
        <f>D49-B49</f>
        <v>32693.966251999995</v>
      </c>
      <c r="F49" s="85"/>
    </row>
    <row r="50" spans="1:7" ht="15.6" x14ac:dyDescent="0.3">
      <c r="A50" s="37" t="s">
        <v>181</v>
      </c>
      <c r="B50" s="21">
        <f>B25+C25</f>
        <v>0</v>
      </c>
      <c r="C50" s="21"/>
      <c r="D50" s="21">
        <f>D25+E25</f>
        <v>0</v>
      </c>
      <c r="E50" s="21">
        <f t="shared" ref="E50:E53" si="1">D50-B50</f>
        <v>0</v>
      </c>
      <c r="F50" s="85">
        <f>-E50/$D$14</f>
        <v>0</v>
      </c>
    </row>
    <row r="51" spans="1:7" ht="15.6" x14ac:dyDescent="0.3">
      <c r="A51" s="37" t="s">
        <v>182</v>
      </c>
      <c r="B51" s="21">
        <f>Seuils!D60</f>
        <v>462.58</v>
      </c>
      <c r="C51" s="21"/>
      <c r="D51" s="21">
        <f>Seuils!E60</f>
        <v>462.58</v>
      </c>
      <c r="E51" s="21">
        <f t="shared" si="1"/>
        <v>0</v>
      </c>
      <c r="F51" s="85">
        <f>-E51/$D$14</f>
        <v>0</v>
      </c>
    </row>
    <row r="52" spans="1:7" ht="15.6" x14ac:dyDescent="0.3">
      <c r="A52" s="37" t="s">
        <v>183</v>
      </c>
      <c r="B52" s="21">
        <f>Seuils!J60</f>
        <v>1050.6199999999999</v>
      </c>
      <c r="C52" s="21"/>
      <c r="D52" s="21">
        <f>Seuils!K60</f>
        <v>864.14360000000022</v>
      </c>
      <c r="E52" s="21">
        <f t="shared" si="1"/>
        <v>-186.47639999999967</v>
      </c>
      <c r="F52" s="85">
        <f>-E52/$D$14</f>
        <v>4.7007096575131056E-3</v>
      </c>
    </row>
    <row r="53" spans="1:7" ht="15.6" x14ac:dyDescent="0.3">
      <c r="A53" s="37" t="s">
        <v>53</v>
      </c>
      <c r="B53" s="21">
        <f>SUM(B49:B52)</f>
        <v>1513.1999999999998</v>
      </c>
      <c r="C53" s="21"/>
      <c r="D53" s="51">
        <f>SUM(D49:D52)</f>
        <v>34020.689851999996</v>
      </c>
      <c r="E53" s="52">
        <f t="shared" si="1"/>
        <v>32507.489851999995</v>
      </c>
      <c r="F53" s="85">
        <f>SUM(F46:F52)</f>
        <v>0.18054900518882858</v>
      </c>
      <c r="G53" s="7"/>
    </row>
    <row r="54" spans="1:7" ht="15.6" x14ac:dyDescent="0.3">
      <c r="A54" s="37"/>
      <c r="B54" s="53"/>
      <c r="C54" s="38"/>
      <c r="D54" s="38"/>
      <c r="E54" s="53"/>
      <c r="F54" s="100"/>
    </row>
    <row r="55" spans="1:7" ht="15.6" x14ac:dyDescent="0.3">
      <c r="A55" s="37" t="s">
        <v>54</v>
      </c>
      <c r="B55" s="51">
        <f>D53</f>
        <v>34020.689851999996</v>
      </c>
      <c r="C55" s="37" t="s">
        <v>55</v>
      </c>
      <c r="D55" s="38"/>
      <c r="E55" s="50"/>
      <c r="F55" s="50"/>
    </row>
    <row r="56" spans="1:7" ht="15.6" x14ac:dyDescent="0.3">
      <c r="A56" s="37" t="s">
        <v>87</v>
      </c>
      <c r="B56" s="52">
        <f>B55-B53</f>
        <v>32507.489851999995</v>
      </c>
      <c r="C56" s="54">
        <f>1-B56/D56</f>
        <v>0.18054900518882866</v>
      </c>
      <c r="D56" s="52">
        <f>D26+E26-C26-B26</f>
        <v>39669.839999999997</v>
      </c>
      <c r="E56" s="50"/>
      <c r="F56" s="50"/>
    </row>
    <row r="57" spans="1:7" x14ac:dyDescent="0.3">
      <c r="A57" s="50"/>
      <c r="B57" s="50"/>
      <c r="C57" s="50"/>
      <c r="D57" s="50"/>
      <c r="E57" s="50"/>
      <c r="F57" s="50"/>
    </row>
    <row r="58" spans="1:7" x14ac:dyDescent="0.3">
      <c r="A58" s="50"/>
      <c r="B58" s="50"/>
      <c r="C58" s="50"/>
      <c r="D58" s="50"/>
      <c r="E58" s="50"/>
      <c r="F58" s="50"/>
    </row>
    <row r="59" spans="1:7" x14ac:dyDescent="0.3">
      <c r="A59" s="50" t="s">
        <v>374</v>
      </c>
      <c r="B59" s="50"/>
      <c r="C59" s="50"/>
      <c r="D59" s="50"/>
      <c r="E59" s="50"/>
      <c r="F59" s="50"/>
    </row>
    <row r="60" spans="1:7" x14ac:dyDescent="0.3">
      <c r="A60" s="539" t="s">
        <v>377</v>
      </c>
      <c r="B60" s="542">
        <f>I8</f>
        <v>0</v>
      </c>
      <c r="C60" s="50"/>
      <c r="D60" s="50">
        <f>B60</f>
        <v>0</v>
      </c>
      <c r="E60" s="50"/>
      <c r="F60" s="50"/>
    </row>
    <row r="61" spans="1:7" x14ac:dyDescent="0.3">
      <c r="A61" s="539" t="s">
        <v>94</v>
      </c>
      <c r="B61" s="540">
        <f>Seuils!H294</f>
        <v>3.7420000000000002E-2</v>
      </c>
      <c r="C61" s="50"/>
      <c r="D61" s="540">
        <f>B61</f>
        <v>3.7420000000000002E-2</v>
      </c>
      <c r="E61" s="50"/>
      <c r="F61" s="50"/>
    </row>
    <row r="62" spans="1:7" x14ac:dyDescent="0.3">
      <c r="A62" s="539" t="s">
        <v>306</v>
      </c>
      <c r="B62" s="540">
        <f>((1+B61)/(1+' Épargne nécessaire'!G7))-1</f>
        <v>1.4591687041564771E-2</v>
      </c>
      <c r="C62" s="50"/>
      <c r="D62" s="540">
        <f>B62</f>
        <v>1.4591687041564771E-2</v>
      </c>
      <c r="E62" s="50"/>
      <c r="F62" s="50"/>
    </row>
    <row r="63" spans="1:7" x14ac:dyDescent="0.3">
      <c r="A63" s="539" t="s">
        <v>96</v>
      </c>
      <c r="B63" s="540" t="e">
        <f>0.53*B62+1/B60</f>
        <v>#DIV/0!</v>
      </c>
      <c r="C63" s="50"/>
      <c r="D63" s="540" t="e">
        <f>B63</f>
        <v>#DIV/0!</v>
      </c>
      <c r="E63" s="50"/>
      <c r="F63" s="50"/>
    </row>
    <row r="64" spans="1:7" x14ac:dyDescent="0.3">
      <c r="A64" s="539" t="s">
        <v>375</v>
      </c>
      <c r="B64" s="541">
        <f>B18</f>
        <v>0</v>
      </c>
      <c r="C64" s="50"/>
      <c r="D64" s="541">
        <f>B19</f>
        <v>0</v>
      </c>
      <c r="E64" s="50"/>
      <c r="F64" s="50"/>
    </row>
    <row r="65" spans="1:6" x14ac:dyDescent="0.3">
      <c r="A65" s="539" t="s">
        <v>376</v>
      </c>
      <c r="B65" s="88" t="e">
        <f>B64*B63</f>
        <v>#DIV/0!</v>
      </c>
      <c r="C65" s="50"/>
      <c r="D65" s="88" t="e">
        <f>D64*D63</f>
        <v>#DIV/0!</v>
      </c>
      <c r="E65" s="50"/>
      <c r="F65" s="50"/>
    </row>
    <row r="66" spans="1:6" x14ac:dyDescent="0.3">
      <c r="A66" s="539"/>
      <c r="B66" s="88"/>
      <c r="C66" s="50"/>
      <c r="D66" s="88"/>
      <c r="E66" s="50"/>
      <c r="F66" s="50"/>
    </row>
    <row r="67" spans="1:6" ht="15.6" x14ac:dyDescent="0.3">
      <c r="A67" s="39" t="s">
        <v>178</v>
      </c>
      <c r="B67" s="50"/>
      <c r="C67" s="50"/>
      <c r="D67" s="50"/>
      <c r="E67" s="50"/>
      <c r="F67" s="50"/>
    </row>
    <row r="68" spans="1:6" ht="15.6" x14ac:dyDescent="0.3">
      <c r="A68" s="37" t="s">
        <v>129</v>
      </c>
      <c r="B68" s="21">
        <f>B53</f>
        <v>1513.1999999999998</v>
      </c>
      <c r="C68" s="38"/>
      <c r="D68" s="21">
        <f>D53</f>
        <v>34020.689851999996</v>
      </c>
      <c r="E68" s="50"/>
      <c r="F68" s="50"/>
    </row>
    <row r="69" spans="1:6" ht="15.6" x14ac:dyDescent="0.3">
      <c r="A69" s="37" t="s">
        <v>127</v>
      </c>
      <c r="B69" s="38">
        <f>Seuils!J62</f>
        <v>0</v>
      </c>
      <c r="C69" s="38"/>
      <c r="D69" s="38">
        <f>Seuils!K62</f>
        <v>0</v>
      </c>
      <c r="E69" s="50"/>
      <c r="F69" s="50"/>
    </row>
    <row r="70" spans="1:6" ht="15.6" x14ac:dyDescent="0.3">
      <c r="A70" s="37" t="s">
        <v>126</v>
      </c>
      <c r="B70" s="21">
        <f>B68+B69</f>
        <v>1513.1999999999998</v>
      </c>
      <c r="C70" s="38"/>
      <c r="D70" s="21">
        <f>D68+D69</f>
        <v>34020.689851999996</v>
      </c>
      <c r="E70" s="50"/>
      <c r="F70" s="50"/>
    </row>
    <row r="71" spans="1:6" ht="15.6" x14ac:dyDescent="0.3">
      <c r="A71" s="50"/>
      <c r="B71" s="38"/>
      <c r="C71" s="38"/>
      <c r="D71" s="38"/>
      <c r="E71" s="50"/>
      <c r="F71" s="50"/>
    </row>
    <row r="72" spans="1:6" ht="15.6" x14ac:dyDescent="0.3">
      <c r="A72" s="37" t="s">
        <v>128</v>
      </c>
      <c r="B72" s="21">
        <f>D70-B70</f>
        <v>32507.489851999995</v>
      </c>
      <c r="C72" s="54">
        <f>1-B72/D72</f>
        <v>0.18054900518882866</v>
      </c>
      <c r="D72" s="21">
        <f>D56</f>
        <v>39669.839999999997</v>
      </c>
      <c r="E72" s="50"/>
      <c r="F72" s="50"/>
    </row>
    <row r="73" spans="1:6" x14ac:dyDescent="0.3">
      <c r="A73" s="50"/>
      <c r="B73" s="50"/>
      <c r="C73" s="50"/>
      <c r="D73" s="50"/>
      <c r="E73" s="50"/>
    </row>
    <row r="74" spans="1:6" ht="15" thickBot="1" x14ac:dyDescent="0.35">
      <c r="A74" s="50"/>
      <c r="B74" s="50"/>
      <c r="C74" s="50"/>
      <c r="D74" s="50"/>
      <c r="E74" s="50"/>
    </row>
    <row r="75" spans="1:6" ht="16.2" thickBot="1" x14ac:dyDescent="0.35">
      <c r="A75" s="55" t="s">
        <v>56</v>
      </c>
      <c r="B75" s="56" t="s">
        <v>57</v>
      </c>
      <c r="C75" s="57"/>
      <c r="D75" s="58" t="s">
        <v>42</v>
      </c>
      <c r="E75" s="285" t="s">
        <v>234</v>
      </c>
    </row>
    <row r="76" spans="1:6" ht="15.6" x14ac:dyDescent="0.3">
      <c r="A76" s="59" t="s">
        <v>88</v>
      </c>
      <c r="B76" s="60">
        <f>D76</f>
        <v>0.42499999999999999</v>
      </c>
      <c r="C76" s="61"/>
      <c r="D76" s="15">
        <f>IF(B8&gt;Seuils!A9,Seuils!E9+Seuils!K9,IF(B8&gt;Seuils!I9,Seuils!E8+Seuils!K9,IF(B8&gt;Seuils!A8,Seuils!E8+Seuils!K8,IF(AND(D8&gt;Seuils!J56/90%,B8&gt;Seuils!A7),37.1%,IF(AND(B4=2,D8&gt;Seuils!J56/90%,B8&lt;Seuils!I7),28.5%,IF(AND(B4=2,D8&gt;Seuils!J56/90%,B8&lt;Seuils!A7),Seuils!K7+Seuils!E6+1%,IF(AND(B4=2,D8&gt;Seuils!D56/90%,B8&lt;Seuils!A7),35%,IF(AND(B4=2,D8&lt;27000),35%,IF(AND(B4=2,D8&lt;32500),45%,IF(AND(B4=2,D8&lt;36000),50%,IF(AND(B4=2,D8&lt;41500),58%,IF(AND(B4=2,D8&lt;47000),45%,IF(AND(B4=1,B8&gt;Seuils!J56/95%),Seuils!E7+Seuils!K7,IF(AND(B4=1,B8&gt;Seuils!D56/95%),44%,IF(AND(B4=1,B8&gt;Seuils!D55/90%),42.5%,IF(AND(B4=1,B8&gt;Seuils!J55/90%),37.5%,IF(AND(B4=1,B8&lt;Seuils!D12+Seuils!D19),30%,IF(AND(B4=1,B8&lt;Seuils!O32),44%,IF(AND(B4=1,B8&lt;Seuils!B277/90%),58%,IF(AND(B4=1,B8&lt;Seuils!O41/90%),37%,IF(AND(B4=1,B8&lt;Seuils!J16),28.5%,IF(AND(B4=1,B8&lt;Seuils!J16/90%),37.5%,IF(AND(B4=2,D8&gt;Seuils!J55+2410),44%,28.5%+10%)))))))))))))))))))))))</f>
        <v>0.42499999999999999</v>
      </c>
      <c r="E76" s="288">
        <f>D76</f>
        <v>0.42499999999999999</v>
      </c>
    </row>
    <row r="77" spans="1:6" ht="15.6" x14ac:dyDescent="0.3">
      <c r="A77" s="62" t="s">
        <v>58</v>
      </c>
      <c r="B77" s="63">
        <f>B79</f>
        <v>11029.137296391424</v>
      </c>
      <c r="C77" s="61"/>
      <c r="D77" s="64">
        <f>+D79/(1-D76)</f>
        <v>19181.108341550302</v>
      </c>
      <c r="E77" s="289">
        <f>PMT(E81,E80,,-E82)</f>
        <v>0</v>
      </c>
    </row>
    <row r="78" spans="1:6" ht="15.6" x14ac:dyDescent="0.3">
      <c r="A78" s="62" t="s">
        <v>83</v>
      </c>
      <c r="B78" s="65"/>
      <c r="C78" s="61"/>
      <c r="D78" s="64">
        <f>+D77*D76</f>
        <v>8151.971045158878</v>
      </c>
      <c r="E78" s="286">
        <f>+E77*E76</f>
        <v>0</v>
      </c>
    </row>
    <row r="79" spans="1:6" ht="15.6" x14ac:dyDescent="0.3">
      <c r="A79" s="62" t="s">
        <v>59</v>
      </c>
      <c r="B79" s="66">
        <f>PMT(D81,D80,,-Seuils!I293)</f>
        <v>11029.137296391424</v>
      </c>
      <c r="C79" s="61"/>
      <c r="D79" s="67">
        <f>B79</f>
        <v>11029.137296391424</v>
      </c>
      <c r="E79" s="287">
        <f>E77-E78</f>
        <v>0</v>
      </c>
    </row>
    <row r="80" spans="1:6" ht="15.6" x14ac:dyDescent="0.3">
      <c r="A80" s="62" t="s">
        <v>85</v>
      </c>
      <c r="B80" s="12">
        <f>' Épargne nécessaire'!E4</f>
        <v>15</v>
      </c>
      <c r="C80" s="68"/>
      <c r="D80" s="69">
        <f>B80</f>
        <v>15</v>
      </c>
      <c r="E80" s="290">
        <f>B80</f>
        <v>15</v>
      </c>
    </row>
    <row r="81" spans="1:10" ht="15.6" x14ac:dyDescent="0.3">
      <c r="A81" s="70" t="s">
        <v>86</v>
      </c>
      <c r="B81" s="13">
        <f>' Épargne nécessaire'!D23</f>
        <v>5.0999999999999997E-2</v>
      </c>
      <c r="C81" s="68"/>
      <c r="D81" s="71">
        <f>B81</f>
        <v>5.0999999999999997E-2</v>
      </c>
      <c r="E81" s="288">
        <f>B81</f>
        <v>5.0999999999999997E-2</v>
      </c>
    </row>
    <row r="82" spans="1:10" ht="16.2" thickBot="1" x14ac:dyDescent="0.35">
      <c r="A82" s="72" t="s">
        <v>60</v>
      </c>
      <c r="B82" s="35">
        <f>FV(B81,B80,-B77)</f>
        <v>239792.03562756503</v>
      </c>
      <c r="C82" s="73"/>
      <c r="D82" s="74">
        <f>FV(D81,D80,-D77)</f>
        <v>417029.62717837392</v>
      </c>
      <c r="E82" s="291">
        <f>B19</f>
        <v>0</v>
      </c>
    </row>
    <row r="83" spans="1:10" x14ac:dyDescent="0.3">
      <c r="A83" s="50"/>
      <c r="B83" s="50"/>
      <c r="C83" s="50"/>
      <c r="D83" s="50"/>
      <c r="E83" s="50"/>
    </row>
    <row r="84" spans="1:10" x14ac:dyDescent="0.3">
      <c r="A84" s="50"/>
      <c r="B84" s="50"/>
      <c r="C84" s="50"/>
      <c r="D84" s="50"/>
      <c r="E84" s="50"/>
    </row>
    <row r="85" spans="1:10" ht="15.6" x14ac:dyDescent="0.3">
      <c r="A85" s="39" t="s">
        <v>61</v>
      </c>
      <c r="B85" s="22">
        <f>B82</f>
        <v>239792.03562756503</v>
      </c>
      <c r="C85" s="38"/>
      <c r="D85" s="22">
        <f>D82</f>
        <v>417029.62717837392</v>
      </c>
      <c r="E85" s="50"/>
      <c r="F85" s="294">
        <f>E82</f>
        <v>0</v>
      </c>
    </row>
    <row r="86" spans="1:10" ht="15.6" x14ac:dyDescent="0.3">
      <c r="A86" s="37" t="s">
        <v>163</v>
      </c>
      <c r="B86" s="14">
        <f>Seuils!H299</f>
        <v>1.4591687041564771E-2</v>
      </c>
      <c r="C86" s="38"/>
      <c r="D86" s="75">
        <f>B86</f>
        <v>1.4591687041564771E-2</v>
      </c>
      <c r="E86" s="50"/>
      <c r="F86" s="96">
        <f>D86</f>
        <v>1.4591687041564771E-2</v>
      </c>
    </row>
    <row r="87" spans="1:10" ht="16.2" thickBot="1" x14ac:dyDescent="0.35">
      <c r="A87" s="38" t="s">
        <v>63</v>
      </c>
      <c r="B87" s="76">
        <f>IF('Optimisation retraite'!B13+'Optimisation retraite'!C13=0,Seuils!I292,Seuils!H347)</f>
        <v>9927.0487290000056</v>
      </c>
      <c r="C87" s="77" t="s">
        <v>100</v>
      </c>
      <c r="D87" s="76">
        <f>D56</f>
        <v>39669.839999999997</v>
      </c>
      <c r="E87" s="77" t="s">
        <v>100</v>
      </c>
      <c r="F87" s="294">
        <f>D87</f>
        <v>39669.839999999997</v>
      </c>
    </row>
    <row r="88" spans="1:10" ht="16.8" thickTop="1" thickBot="1" x14ac:dyDescent="0.35">
      <c r="A88" s="37" t="s">
        <v>62</v>
      </c>
      <c r="B88" s="293">
        <f>NPER(B86,B87,-B85,,1)</f>
        <v>29.461701900493281</v>
      </c>
      <c r="C88" s="79">
        <f>64+B88</f>
        <v>93.461701900493281</v>
      </c>
      <c r="D88" s="78">
        <f>NPER(D86,D87,-D85,,1)</f>
        <v>11.315481571886053</v>
      </c>
      <c r="E88" s="79">
        <f>64+D88</f>
        <v>75.315481571886053</v>
      </c>
      <c r="F88" s="295">
        <f>NPER(F86,F87,-F85,,1)</f>
        <v>0</v>
      </c>
    </row>
    <row r="89" spans="1:10" ht="16.2" thickTop="1" x14ac:dyDescent="0.3">
      <c r="A89" s="37" t="s">
        <v>64</v>
      </c>
      <c r="B89" s="76">
        <f>C119</f>
        <v>14462.085635328287</v>
      </c>
      <c r="C89" s="38"/>
      <c r="D89" s="76">
        <f>E119</f>
        <v>-754147.34590295283</v>
      </c>
      <c r="E89" s="50"/>
      <c r="G89" s="50"/>
      <c r="H89" s="50"/>
      <c r="I89" s="50"/>
    </row>
    <row r="90" spans="1:10" ht="15.6" x14ac:dyDescent="0.3">
      <c r="A90" s="37"/>
      <c r="B90" s="22" t="s">
        <v>238</v>
      </c>
      <c r="C90" s="296" t="s">
        <v>239</v>
      </c>
      <c r="D90" s="22" t="s">
        <v>237</v>
      </c>
      <c r="E90" s="296" t="s">
        <v>240</v>
      </c>
      <c r="G90" s="86" t="s">
        <v>65</v>
      </c>
      <c r="H90" s="86" t="s">
        <v>57</v>
      </c>
      <c r="I90" s="86" t="s">
        <v>45</v>
      </c>
      <c r="J90" s="86" t="s">
        <v>236</v>
      </c>
    </row>
    <row r="91" spans="1:10" ht="15.6" x14ac:dyDescent="0.3">
      <c r="A91" s="80" t="s">
        <v>65</v>
      </c>
      <c r="B91" s="38"/>
      <c r="C91" s="81">
        <f>B82</f>
        <v>239792.03562756503</v>
      </c>
      <c r="D91" s="38"/>
      <c r="E91" s="81">
        <f>D82</f>
        <v>417029.62717837392</v>
      </c>
      <c r="F91" s="82">
        <f>E82</f>
        <v>0</v>
      </c>
      <c r="G91" s="50"/>
      <c r="H91" s="87">
        <f>C91</f>
        <v>239792.03562756503</v>
      </c>
      <c r="I91" s="87">
        <f>E91</f>
        <v>417029.62717837392</v>
      </c>
      <c r="J91" s="292">
        <f>F91</f>
        <v>0</v>
      </c>
    </row>
    <row r="92" spans="1:10" ht="15.6" x14ac:dyDescent="0.3">
      <c r="A92" s="38">
        <v>65</v>
      </c>
      <c r="B92" s="81">
        <f t="shared" ref="B92:B121" si="2">$B$87</f>
        <v>9927.0487290000056</v>
      </c>
      <c r="C92" s="82">
        <f>(C91-B92)*(1+$B$86)</f>
        <v>233219.10484920227</v>
      </c>
      <c r="D92" s="81">
        <f t="shared" ref="D92:D121" si="3">$D$87</f>
        <v>39669.839999999997</v>
      </c>
      <c r="E92" s="82">
        <f>(E91-D92)*(1+$B$86)</f>
        <v>382866.10309495224</v>
      </c>
      <c r="F92" s="82">
        <f>(F91-$D$87)*(1+$B$86)</f>
        <v>-40248.689890268943</v>
      </c>
      <c r="G92" s="50">
        <f>A92</f>
        <v>65</v>
      </c>
      <c r="H92" s="88">
        <f>C92</f>
        <v>233219.10484920227</v>
      </c>
      <c r="I92" s="88">
        <f>E92</f>
        <v>382866.10309495224</v>
      </c>
      <c r="J92" s="292">
        <f t="shared" ref="J92:J121" si="4">F92</f>
        <v>-40248.689890268943</v>
      </c>
    </row>
    <row r="93" spans="1:10" ht="15.6" x14ac:dyDescent="0.3">
      <c r="A93" s="38">
        <f>A92+1</f>
        <v>66</v>
      </c>
      <c r="B93" s="81">
        <f t="shared" si="2"/>
        <v>9927.0487290000056</v>
      </c>
      <c r="C93" s="82">
        <f t="shared" ref="C93:C121" si="5">(C92-B93)*(1+$B$86)</f>
        <v>226550.26392197577</v>
      </c>
      <c r="D93" s="81">
        <f t="shared" si="3"/>
        <v>39669.839999999997</v>
      </c>
      <c r="E93" s="82">
        <f t="shared" ref="E93:E121" si="6">(E92-D93)*(1+$B$86)</f>
        <v>348204.0755598683</v>
      </c>
      <c r="F93" s="82">
        <f t="shared" ref="F93:F121" si="7">(F92-$D$87)*(1+$B$86)</f>
        <v>-81084.676067249689</v>
      </c>
      <c r="G93" s="50">
        <f t="shared" ref="G93:G121" si="8">A93</f>
        <v>66</v>
      </c>
      <c r="H93" s="88">
        <f t="shared" ref="H93:H121" si="9">C93</f>
        <v>226550.26392197577</v>
      </c>
      <c r="I93" s="88">
        <f t="shared" ref="I93:I121" si="10">E93</f>
        <v>348204.0755598683</v>
      </c>
      <c r="J93" s="292">
        <f t="shared" si="4"/>
        <v>-81084.676067249689</v>
      </c>
    </row>
    <row r="94" spans="1:10" ht="15.6" x14ac:dyDescent="0.3">
      <c r="A94" s="38">
        <f t="shared" ref="A94:A121" si="11">A93+1</f>
        <v>67</v>
      </c>
      <c r="B94" s="81">
        <f t="shared" si="2"/>
        <v>9927.0487290000056</v>
      </c>
      <c r="C94" s="82">
        <f t="shared" si="5"/>
        <v>219784.11335500921</v>
      </c>
      <c r="D94" s="81">
        <f t="shared" si="3"/>
        <v>39669.839999999997</v>
      </c>
      <c r="E94" s="82">
        <f t="shared" si="6"/>
        <v>313036.27056676632</v>
      </c>
      <c r="F94" s="82">
        <f t="shared" si="7"/>
        <v>-122516.5281745586</v>
      </c>
      <c r="G94" s="50">
        <f t="shared" si="8"/>
        <v>67</v>
      </c>
      <c r="H94" s="88">
        <f t="shared" si="9"/>
        <v>219784.11335500921</v>
      </c>
      <c r="I94" s="88">
        <f t="shared" si="10"/>
        <v>313036.27056676632</v>
      </c>
      <c r="J94" s="292">
        <f t="shared" si="4"/>
        <v>-122516.5281745586</v>
      </c>
    </row>
    <row r="95" spans="1:10" ht="15.6" x14ac:dyDescent="0.3">
      <c r="A95" s="38">
        <f t="shared" si="11"/>
        <v>68</v>
      </c>
      <c r="B95" s="81">
        <f t="shared" si="2"/>
        <v>9927.0487290000056</v>
      </c>
      <c r="C95" s="82">
        <f t="shared" si="5"/>
        <v>212919.23323649337</v>
      </c>
      <c r="D95" s="81">
        <f t="shared" si="3"/>
        <v>39669.839999999997</v>
      </c>
      <c r="E95" s="82">
        <f t="shared" si="6"/>
        <v>277355.3079692662</v>
      </c>
      <c r="F95" s="82">
        <f t="shared" si="7"/>
        <v>-164552.94090136976</v>
      </c>
      <c r="G95" s="50">
        <f t="shared" si="8"/>
        <v>68</v>
      </c>
      <c r="H95" s="88">
        <f t="shared" si="9"/>
        <v>212919.23323649337</v>
      </c>
      <c r="I95" s="88">
        <f t="shared" si="10"/>
        <v>277355.3079692662</v>
      </c>
      <c r="J95" s="292">
        <f t="shared" si="4"/>
        <v>-164552.94090136976</v>
      </c>
    </row>
    <row r="96" spans="1:10" ht="15.6" x14ac:dyDescent="0.3">
      <c r="A96" s="38">
        <f t="shared" si="11"/>
        <v>69</v>
      </c>
      <c r="B96" s="81">
        <f t="shared" si="2"/>
        <v>9927.0487290000056</v>
      </c>
      <c r="C96" s="82">
        <f t="shared" si="5"/>
        <v>205954.18293571027</v>
      </c>
      <c r="D96" s="81">
        <f t="shared" si="3"/>
        <v>39669.839999999997</v>
      </c>
      <c r="E96" s="82">
        <f t="shared" si="6"/>
        <v>241153.69993220159</v>
      </c>
      <c r="F96" s="82">
        <f t="shared" si="7"/>
        <v>-207202.73580704059</v>
      </c>
      <c r="G96" s="50">
        <f t="shared" si="8"/>
        <v>69</v>
      </c>
      <c r="H96" s="88">
        <f t="shared" si="9"/>
        <v>205954.18293571027</v>
      </c>
      <c r="I96" s="88">
        <f t="shared" si="10"/>
        <v>241153.69993220159</v>
      </c>
      <c r="J96" s="292">
        <f t="shared" si="4"/>
        <v>-207202.73580704059</v>
      </c>
    </row>
    <row r="97" spans="1:10" ht="15.6" x14ac:dyDescent="0.3">
      <c r="A97" s="38">
        <f t="shared" si="11"/>
        <v>70</v>
      </c>
      <c r="B97" s="81">
        <f t="shared" si="2"/>
        <v>9927.0487290000056</v>
      </c>
      <c r="C97" s="82">
        <f t="shared" si="5"/>
        <v>198887.50080070939</v>
      </c>
      <c r="D97" s="81">
        <f t="shared" si="3"/>
        <v>39669.839999999997</v>
      </c>
      <c r="E97" s="82">
        <f t="shared" si="6"/>
        <v>204423.84936025876</v>
      </c>
      <c r="F97" s="82">
        <f t="shared" si="7"/>
        <v>-250474.86317236189</v>
      </c>
      <c r="G97" s="50">
        <f t="shared" si="8"/>
        <v>70</v>
      </c>
      <c r="H97" s="88">
        <f t="shared" si="9"/>
        <v>198887.50080070939</v>
      </c>
      <c r="I97" s="88">
        <f t="shared" si="10"/>
        <v>204423.84936025876</v>
      </c>
      <c r="J97" s="292">
        <f t="shared" si="4"/>
        <v>-250474.86317236189</v>
      </c>
    </row>
    <row r="98" spans="1:10" ht="15.6" x14ac:dyDescent="0.3">
      <c r="A98" s="38">
        <f t="shared" si="11"/>
        <v>71</v>
      </c>
      <c r="B98" s="81">
        <f t="shared" si="2"/>
        <v>9927.0487290000056</v>
      </c>
      <c r="C98" s="82">
        <f t="shared" si="5"/>
        <v>191717.70385157235</v>
      </c>
      <c r="D98" s="81">
        <f t="shared" si="3"/>
        <v>39669.839999999997</v>
      </c>
      <c r="E98" s="82">
        <f t="shared" si="6"/>
        <v>167158.04830368669</v>
      </c>
      <c r="F98" s="82">
        <f t="shared" si="7"/>
        <v>-294378.4038778207</v>
      </c>
      <c r="G98" s="50">
        <f t="shared" si="8"/>
        <v>71</v>
      </c>
      <c r="H98" s="88">
        <f t="shared" si="9"/>
        <v>191717.70385157235</v>
      </c>
      <c r="I98" s="88">
        <f t="shared" si="10"/>
        <v>167158.04830368669</v>
      </c>
      <c r="J98" s="292">
        <f t="shared" si="4"/>
        <v>-294378.4038778207</v>
      </c>
    </row>
    <row r="99" spans="1:10" ht="15.6" x14ac:dyDescent="0.3">
      <c r="A99" s="38">
        <f t="shared" si="11"/>
        <v>72</v>
      </c>
      <c r="B99" s="81">
        <f t="shared" si="2"/>
        <v>9927.0487290000056</v>
      </c>
      <c r="C99" s="82">
        <f t="shared" si="5"/>
        <v>184443.28746920195</v>
      </c>
      <c r="D99" s="81">
        <f t="shared" si="3"/>
        <v>39669.839999999997</v>
      </c>
      <c r="E99" s="82">
        <f t="shared" si="6"/>
        <v>129348.47634074392</v>
      </c>
      <c r="F99" s="82">
        <f t="shared" si="7"/>
        <v>-338922.57130927016</v>
      </c>
      <c r="G99" s="50">
        <f t="shared" si="8"/>
        <v>72</v>
      </c>
      <c r="H99" s="88">
        <f t="shared" si="9"/>
        <v>184443.28746920195</v>
      </c>
      <c r="I99" s="88">
        <f t="shared" si="10"/>
        <v>129348.47634074392</v>
      </c>
      <c r="J99" s="292">
        <f t="shared" si="4"/>
        <v>-338922.57130927016</v>
      </c>
    </row>
    <row r="100" spans="1:10" ht="15.6" x14ac:dyDescent="0.3">
      <c r="A100" s="38">
        <f t="shared" si="11"/>
        <v>73</v>
      </c>
      <c r="B100" s="81">
        <f t="shared" si="2"/>
        <v>9927.0487290000056</v>
      </c>
      <c r="C100" s="82">
        <f t="shared" si="5"/>
        <v>177062.72507956999</v>
      </c>
      <c r="D100" s="81">
        <f t="shared" si="3"/>
        <v>39669.839999999997</v>
      </c>
      <c r="E100" s="82">
        <f t="shared" si="6"/>
        <v>90987.198936542351</v>
      </c>
      <c r="F100" s="82">
        <f t="shared" si="7"/>
        <v>-384116.7132914064</v>
      </c>
      <c r="G100" s="50">
        <f t="shared" si="8"/>
        <v>73</v>
      </c>
      <c r="H100" s="88">
        <f t="shared" si="9"/>
        <v>177062.72507956999</v>
      </c>
      <c r="I100" s="88">
        <f t="shared" si="10"/>
        <v>90987.198936542351</v>
      </c>
      <c r="J100" s="292">
        <f t="shared" si="4"/>
        <v>-384116.7132914064</v>
      </c>
    </row>
    <row r="101" spans="1:10" ht="15.6" x14ac:dyDescent="0.3">
      <c r="A101" s="38">
        <f t="shared" si="11"/>
        <v>74</v>
      </c>
      <c r="B101" s="81">
        <f t="shared" si="2"/>
        <v>9927.0487290000056</v>
      </c>
      <c r="C101" s="82">
        <f t="shared" si="5"/>
        <v>169574.46783335778</v>
      </c>
      <c r="D101" s="81">
        <f t="shared" si="3"/>
        <v>39669.839999999997</v>
      </c>
      <c r="E101" s="82">
        <f t="shared" si="6"/>
        <v>52066.165777944028</v>
      </c>
      <c r="F101" s="82">
        <f t="shared" si="7"/>
        <v>-429970.31404945796</v>
      </c>
      <c r="G101" s="50">
        <f t="shared" si="8"/>
        <v>74</v>
      </c>
      <c r="H101" s="88">
        <f t="shared" si="9"/>
        <v>169574.46783335778</v>
      </c>
      <c r="I101" s="88">
        <f t="shared" si="10"/>
        <v>52066.165777944028</v>
      </c>
      <c r="J101" s="292">
        <f t="shared" si="4"/>
        <v>-429970.31404945796</v>
      </c>
    </row>
    <row r="102" spans="1:10" ht="15.6" x14ac:dyDescent="0.3">
      <c r="A102" s="38">
        <f t="shared" si="11"/>
        <v>75</v>
      </c>
      <c r="B102" s="81">
        <f t="shared" si="2"/>
        <v>9927.0487290000056</v>
      </c>
      <c r="C102" s="82">
        <f t="shared" si="5"/>
        <v>161976.94428092209</v>
      </c>
      <c r="D102" s="81">
        <f t="shared" si="3"/>
        <v>39669.839999999997</v>
      </c>
      <c r="E102" s="82">
        <f t="shared" si="6"/>
        <v>12577.209084161073</v>
      </c>
      <c r="F102" s="82">
        <f t="shared" si="7"/>
        <v>-476492.99619949993</v>
      </c>
      <c r="G102" s="50">
        <f t="shared" si="8"/>
        <v>75</v>
      </c>
      <c r="H102" s="88">
        <f t="shared" si="9"/>
        <v>161976.94428092209</v>
      </c>
      <c r="I102" s="88">
        <f t="shared" si="10"/>
        <v>12577.209084161073</v>
      </c>
      <c r="J102" s="292">
        <f t="shared" si="4"/>
        <v>-476492.99619949993</v>
      </c>
    </row>
    <row r="103" spans="1:10" ht="15.6" x14ac:dyDescent="0.3">
      <c r="A103" s="38">
        <f t="shared" si="11"/>
        <v>76</v>
      </c>
      <c r="B103" s="81">
        <f t="shared" si="2"/>
        <v>9927.0487290000056</v>
      </c>
      <c r="C103" s="82">
        <f t="shared" si="5"/>
        <v>154268.56004251834</v>
      </c>
      <c r="D103" s="81">
        <f t="shared" si="3"/>
        <v>39669.839999999997</v>
      </c>
      <c r="E103" s="82">
        <f t="shared" si="6"/>
        <v>-27487.958107295468</v>
      </c>
      <c r="F103" s="82">
        <f t="shared" si="7"/>
        <v>-523694.52276780945</v>
      </c>
      <c r="G103" s="50">
        <f t="shared" si="8"/>
        <v>76</v>
      </c>
      <c r="H103" s="88">
        <f t="shared" si="9"/>
        <v>154268.56004251834</v>
      </c>
      <c r="I103" s="88">
        <f t="shared" si="10"/>
        <v>-27487.958107295468</v>
      </c>
      <c r="J103" s="292">
        <f t="shared" si="4"/>
        <v>-523694.52276780945</v>
      </c>
    </row>
    <row r="104" spans="1:10" ht="15.6" x14ac:dyDescent="0.3">
      <c r="A104" s="38">
        <f t="shared" si="11"/>
        <v>77</v>
      </c>
      <c r="B104" s="81">
        <f t="shared" si="2"/>
        <v>9927.0487290000056</v>
      </c>
      <c r="C104" s="82">
        <f t="shared" si="5"/>
        <v>146447.69747371168</v>
      </c>
      <c r="D104" s="81">
        <f t="shared" si="3"/>
        <v>39669.839999999997</v>
      </c>
      <c r="E104" s="82">
        <f t="shared" si="6"/>
        <v>-68137.743679677718</v>
      </c>
      <c r="F104" s="82">
        <f t="shared" si="7"/>
        <v>-571584.79923968785</v>
      </c>
      <c r="G104" s="50">
        <f t="shared" si="8"/>
        <v>77</v>
      </c>
      <c r="H104" s="88">
        <f t="shared" si="9"/>
        <v>146447.69747371168</v>
      </c>
      <c r="I104" s="88">
        <f t="shared" si="10"/>
        <v>-68137.743679677718</v>
      </c>
      <c r="J104" s="292">
        <f t="shared" si="4"/>
        <v>-571584.79923968785</v>
      </c>
    </row>
    <row r="105" spans="1:10" ht="15.6" x14ac:dyDescent="0.3">
      <c r="A105" s="38">
        <f t="shared" si="11"/>
        <v>78</v>
      </c>
      <c r="B105" s="81">
        <f t="shared" si="2"/>
        <v>9927.0487290000056</v>
      </c>
      <c r="C105" s="82">
        <f t="shared" si="5"/>
        <v>138512.71532590591</v>
      </c>
      <c r="D105" s="81">
        <f t="shared" si="3"/>
        <v>39669.839999999997</v>
      </c>
      <c r="E105" s="82">
        <f t="shared" si="6"/>
        <v>-109380.67820143887</v>
      </c>
      <c r="F105" s="82">
        <f t="shared" si="7"/>
        <v>-620173.87563817797</v>
      </c>
      <c r="G105" s="50">
        <f t="shared" si="8"/>
        <v>78</v>
      </c>
      <c r="H105" s="88">
        <f t="shared" si="9"/>
        <v>138512.71532590591</v>
      </c>
      <c r="I105" s="88">
        <f t="shared" si="10"/>
        <v>-109380.67820143887</v>
      </c>
      <c r="J105" s="292">
        <f t="shared" si="4"/>
        <v>-620173.87563817797</v>
      </c>
    </row>
    <row r="106" spans="1:10" ht="15.6" x14ac:dyDescent="0.3">
      <c r="A106" s="38">
        <f t="shared" si="11"/>
        <v>79</v>
      </c>
      <c r="B106" s="81">
        <f t="shared" si="2"/>
        <v>9927.0487290000056</v>
      </c>
      <c r="C106" s="82">
        <f t="shared" si="5"/>
        <v>130461.94840191895</v>
      </c>
      <c r="D106" s="81">
        <f t="shared" si="3"/>
        <v>39669.839999999997</v>
      </c>
      <c r="E106" s="82">
        <f t="shared" si="6"/>
        <v>-151225.41671641733</v>
      </c>
      <c r="F106" s="82">
        <f t="shared" si="7"/>
        <v>-669471.94863311353</v>
      </c>
      <c r="G106" s="50">
        <f t="shared" si="8"/>
        <v>79</v>
      </c>
      <c r="H106" s="88">
        <f t="shared" si="9"/>
        <v>130461.94840191895</v>
      </c>
      <c r="I106" s="88">
        <f t="shared" si="10"/>
        <v>-151225.41671641733</v>
      </c>
      <c r="J106" s="292">
        <f t="shared" si="4"/>
        <v>-669471.94863311353</v>
      </c>
    </row>
    <row r="107" spans="1:10" ht="15.6" x14ac:dyDescent="0.3">
      <c r="A107" s="38">
        <f t="shared" si="11"/>
        <v>80</v>
      </c>
      <c r="B107" s="81">
        <f t="shared" si="2"/>
        <v>9927.0487290000056</v>
      </c>
      <c r="C107" s="82">
        <f t="shared" si="5"/>
        <v>122293.70720653259</v>
      </c>
      <c r="D107" s="81">
        <f t="shared" si="3"/>
        <v>39669.839999999997</v>
      </c>
      <c r="E107" s="82">
        <f t="shared" si="6"/>
        <v>-193680.74056014244</v>
      </c>
      <c r="F107" s="82">
        <f t="shared" si="7"/>
        <v>-719489.36368094338</v>
      </c>
      <c r="G107" s="50">
        <f t="shared" si="8"/>
        <v>80</v>
      </c>
      <c r="H107" s="88">
        <f t="shared" si="9"/>
        <v>122293.70720653259</v>
      </c>
      <c r="I107" s="88">
        <f t="shared" si="10"/>
        <v>-193680.74056014244</v>
      </c>
      <c r="J107" s="292">
        <f t="shared" si="4"/>
        <v>-719489.36368094338</v>
      </c>
    </row>
    <row r="108" spans="1:10" ht="15.6" x14ac:dyDescent="0.3">
      <c r="A108" s="38">
        <f t="shared" si="11"/>
        <v>81</v>
      </c>
      <c r="B108" s="81">
        <f t="shared" si="2"/>
        <v>9927.0487290000056</v>
      </c>
      <c r="C108" s="82">
        <f t="shared" si="5"/>
        <v>114006.27759194313</v>
      </c>
      <c r="D108" s="81">
        <f t="shared" si="3"/>
        <v>39669.839999999997</v>
      </c>
      <c r="E108" s="82">
        <f t="shared" si="6"/>
        <v>-236755.55920264349</v>
      </c>
      <c r="F108" s="82">
        <f t="shared" si="7"/>
        <v>-770236.61719577922</v>
      </c>
      <c r="G108" s="50">
        <f t="shared" si="8"/>
        <v>81</v>
      </c>
      <c r="H108" s="88">
        <f t="shared" si="9"/>
        <v>114006.27759194313</v>
      </c>
      <c r="I108" s="88">
        <f t="shared" si="10"/>
        <v>-236755.55920264349</v>
      </c>
      <c r="J108" s="292">
        <f t="shared" si="4"/>
        <v>-770236.61719577922</v>
      </c>
    </row>
    <row r="109" spans="1:10" ht="15.6" x14ac:dyDescent="0.3">
      <c r="A109" s="38">
        <f t="shared" si="11"/>
        <v>82</v>
      </c>
      <c r="B109" s="81">
        <f t="shared" si="2"/>
        <v>9927.0487290000056</v>
      </c>
      <c r="C109" s="82">
        <f t="shared" si="5"/>
        <v>105597.92039803859</v>
      </c>
      <c r="D109" s="81">
        <f t="shared" si="3"/>
        <v>39669.839999999997</v>
      </c>
      <c r="E109" s="82">
        <f t="shared" si="6"/>
        <v>-280458.91211814806</v>
      </c>
      <c r="F109" s="82">
        <f t="shared" si="7"/>
        <v>-821724.3587521225</v>
      </c>
      <c r="G109" s="50">
        <f t="shared" si="8"/>
        <v>82</v>
      </c>
      <c r="H109" s="88">
        <f t="shared" si="9"/>
        <v>105597.92039803859</v>
      </c>
      <c r="I109" s="88">
        <f t="shared" si="10"/>
        <v>-280458.91211814806</v>
      </c>
      <c r="J109" s="292">
        <f t="shared" si="4"/>
        <v>-821724.3587521225</v>
      </c>
    </row>
    <row r="110" spans="1:10" ht="15.6" x14ac:dyDescent="0.3">
      <c r="A110" s="38">
        <f t="shared" si="11"/>
        <v>83</v>
      </c>
      <c r="B110" s="81">
        <f t="shared" si="2"/>
        <v>9927.0487290000056</v>
      </c>
      <c r="C110" s="82">
        <f t="shared" si="5"/>
        <v>97066.871087426902</v>
      </c>
      <c r="D110" s="81">
        <f t="shared" si="3"/>
        <v>39669.839999999997</v>
      </c>
      <c r="E110" s="82">
        <f t="shared" si="6"/>
        <v>-324799.97068206273</v>
      </c>
      <c r="F110" s="82">
        <f t="shared" si="7"/>
        <v>-873963.39331973286</v>
      </c>
      <c r="G110" s="50">
        <f t="shared" si="8"/>
        <v>83</v>
      </c>
      <c r="H110" s="88">
        <f t="shared" si="9"/>
        <v>97066.871087426902</v>
      </c>
      <c r="I110" s="88">
        <f t="shared" si="10"/>
        <v>-324799.97068206273</v>
      </c>
      <c r="J110" s="292">
        <f t="shared" si="4"/>
        <v>-873963.39331973286</v>
      </c>
    </row>
    <row r="111" spans="1:10" ht="15.6" x14ac:dyDescent="0.3">
      <c r="A111" s="38">
        <f t="shared" si="11"/>
        <v>84</v>
      </c>
      <c r="B111" s="81">
        <f t="shared" si="2"/>
        <v>9927.0487290000056</v>
      </c>
      <c r="C111" s="82">
        <f t="shared" si="5"/>
        <v>88411.339375138617</v>
      </c>
      <c r="D111" s="81">
        <f t="shared" si="3"/>
        <v>39669.839999999997</v>
      </c>
      <c r="E111" s="82">
        <f t="shared" si="6"/>
        <v>-369788.04009563377</v>
      </c>
      <c r="F111" s="82">
        <f t="shared" si="7"/>
        <v>-926964.68353110726</v>
      </c>
      <c r="G111" s="50">
        <f t="shared" si="8"/>
        <v>84</v>
      </c>
      <c r="H111" s="88">
        <f t="shared" si="9"/>
        <v>88411.339375138617</v>
      </c>
      <c r="I111" s="88">
        <f t="shared" si="10"/>
        <v>-369788.04009563377</v>
      </c>
      <c r="J111" s="292">
        <f t="shared" si="4"/>
        <v>-926964.68353110726</v>
      </c>
    </row>
    <row r="112" spans="1:10" ht="15.6" x14ac:dyDescent="0.3">
      <c r="A112" s="38">
        <f t="shared" si="11"/>
        <v>85</v>
      </c>
      <c r="B112" s="81">
        <f t="shared" si="2"/>
        <v>9927.0487290000056</v>
      </c>
      <c r="C112" s="82">
        <f t="shared" si="5"/>
        <v>79629.508852926287</v>
      </c>
      <c r="D112" s="81">
        <f t="shared" si="3"/>
        <v>39669.839999999997</v>
      </c>
      <c r="E112" s="82">
        <f t="shared" si="6"/>
        <v>-415432.56133869186</v>
      </c>
      <c r="F112" s="82">
        <f t="shared" si="7"/>
        <v>-980739.35198204522</v>
      </c>
      <c r="G112" s="50">
        <f t="shared" si="8"/>
        <v>85</v>
      </c>
      <c r="H112" s="88">
        <f t="shared" si="9"/>
        <v>79629.508852926287</v>
      </c>
      <c r="I112" s="88">
        <f t="shared" si="10"/>
        <v>-415432.56133869186</v>
      </c>
      <c r="J112" s="292">
        <f t="shared" si="4"/>
        <v>-980739.35198204522</v>
      </c>
    </row>
    <row r="113" spans="1:10" ht="15.6" x14ac:dyDescent="0.3">
      <c r="A113" s="38">
        <f t="shared" si="11"/>
        <v>86</v>
      </c>
      <c r="B113" s="81">
        <f t="shared" si="2"/>
        <v>9927.0487290000056</v>
      </c>
      <c r="C113" s="82">
        <f t="shared" si="5"/>
        <v>70719.536608081762</v>
      </c>
      <c r="D113" s="81">
        <f t="shared" si="3"/>
        <v>39669.839999999997</v>
      </c>
      <c r="E113" s="82">
        <f t="shared" si="6"/>
        <v>-461743.11315089063</v>
      </c>
      <c r="F113" s="82">
        <f t="shared" si="7"/>
        <v>-1035298.6835657832</v>
      </c>
      <c r="G113" s="50">
        <f t="shared" si="8"/>
        <v>86</v>
      </c>
      <c r="H113" s="88">
        <f t="shared" si="9"/>
        <v>70719.536608081762</v>
      </c>
      <c r="I113" s="88">
        <f t="shared" si="10"/>
        <v>-461743.11315089063</v>
      </c>
      <c r="J113" s="292">
        <f t="shared" si="4"/>
        <v>-1035298.6835657832</v>
      </c>
    </row>
    <row r="114" spans="1:10" ht="15.6" x14ac:dyDescent="0.3">
      <c r="A114" s="38">
        <f t="shared" si="11"/>
        <v>87</v>
      </c>
      <c r="B114" s="81">
        <f t="shared" si="2"/>
        <v>9927.0487290000056</v>
      </c>
      <c r="C114" s="82">
        <f t="shared" si="5"/>
        <v>61679.552836691444</v>
      </c>
      <c r="D114" s="81">
        <f t="shared" si="3"/>
        <v>39669.839999999997</v>
      </c>
      <c r="E114" s="82">
        <f t="shared" si="6"/>
        <v>-508729.4140418552</v>
      </c>
      <c r="F114" s="82">
        <f t="shared" si="7"/>
        <v>-1090654.1278411881</v>
      </c>
      <c r="G114" s="50">
        <f t="shared" si="8"/>
        <v>87</v>
      </c>
      <c r="H114" s="88">
        <f t="shared" si="9"/>
        <v>61679.552836691444</v>
      </c>
      <c r="I114" s="88">
        <f t="shared" si="10"/>
        <v>-508729.4140418552</v>
      </c>
      <c r="J114" s="292">
        <f t="shared" si="4"/>
        <v>-1090654.1278411881</v>
      </c>
    </row>
    <row r="115" spans="1:10" ht="15.6" x14ac:dyDescent="0.3">
      <c r="A115" s="38">
        <f t="shared" si="11"/>
        <v>88</v>
      </c>
      <c r="B115" s="81">
        <f t="shared" si="2"/>
        <v>9927.0487290000056</v>
      </c>
      <c r="C115" s="82">
        <f t="shared" si="5"/>
        <v>52507.660451248164</v>
      </c>
      <c r="D115" s="81">
        <f t="shared" si="3"/>
        <v>39669.839999999997</v>
      </c>
      <c r="E115" s="82">
        <f t="shared" si="6"/>
        <v>-556401.32433066156</v>
      </c>
      <c r="F115" s="82">
        <f t="shared" si="7"/>
        <v>-1146817.3014355064</v>
      </c>
      <c r="G115" s="50">
        <f t="shared" si="8"/>
        <v>88</v>
      </c>
      <c r="H115" s="88">
        <f t="shared" si="9"/>
        <v>52507.660451248164</v>
      </c>
      <c r="I115" s="88">
        <f t="shared" si="10"/>
        <v>-556401.32433066156</v>
      </c>
      <c r="J115" s="292">
        <f t="shared" si="4"/>
        <v>-1146817.3014355064</v>
      </c>
    </row>
    <row r="116" spans="1:10" ht="15.6" x14ac:dyDescent="0.3">
      <c r="A116" s="38">
        <f t="shared" si="11"/>
        <v>89</v>
      </c>
      <c r="B116" s="81">
        <f t="shared" si="2"/>
        <v>9927.0487290000056</v>
      </c>
      <c r="C116" s="82">
        <f t="shared" si="5"/>
        <v>43201.934682537583</v>
      </c>
      <c r="D116" s="81">
        <f t="shared" si="3"/>
        <v>39669.839999999997</v>
      </c>
      <c r="E116" s="82">
        <f t="shared" si="6"/>
        <v>-604768.84821507568</v>
      </c>
      <c r="F116" s="82">
        <f t="shared" si="7"/>
        <v>-1203799.9904821743</v>
      </c>
      <c r="G116" s="50">
        <f t="shared" si="8"/>
        <v>89</v>
      </c>
      <c r="H116" s="88">
        <f t="shared" si="9"/>
        <v>43201.934682537583</v>
      </c>
      <c r="I116" s="88">
        <f t="shared" si="10"/>
        <v>-604768.84821507568</v>
      </c>
      <c r="J116" s="292">
        <f t="shared" si="4"/>
        <v>-1203799.9904821743</v>
      </c>
    </row>
    <row r="117" spans="1:10" ht="15.6" x14ac:dyDescent="0.3">
      <c r="A117" s="38">
        <f t="shared" si="11"/>
        <v>90</v>
      </c>
      <c r="B117" s="81">
        <f t="shared" si="2"/>
        <v>9927.0487290000056</v>
      </c>
      <c r="C117" s="82">
        <f t="shared" si="5"/>
        <v>33760.422675715359</v>
      </c>
      <c r="D117" s="81">
        <f t="shared" si="3"/>
        <v>39669.839999999997</v>
      </c>
      <c r="E117" s="82">
        <f t="shared" si="6"/>
        <v>-653842.13587098662</v>
      </c>
      <c r="F117" s="82">
        <f t="shared" si="7"/>
        <v>-1261614.1530941979</v>
      </c>
      <c r="G117" s="50">
        <f t="shared" si="8"/>
        <v>90</v>
      </c>
      <c r="H117" s="88">
        <f t="shared" si="9"/>
        <v>33760.422675715359</v>
      </c>
      <c r="I117" s="88">
        <f t="shared" si="10"/>
        <v>-653842.13587098662</v>
      </c>
      <c r="J117" s="292">
        <f t="shared" si="4"/>
        <v>-1261614.1530941979</v>
      </c>
    </row>
    <row r="118" spans="1:10" ht="15.6" x14ac:dyDescent="0.3">
      <c r="A118" s="38">
        <f t="shared" si="11"/>
        <v>91</v>
      </c>
      <c r="B118" s="81">
        <f t="shared" si="2"/>
        <v>9927.0487290000056</v>
      </c>
      <c r="C118" s="82">
        <f t="shared" si="5"/>
        <v>24181.143080490408</v>
      </c>
      <c r="D118" s="81">
        <f t="shared" si="3"/>
        <v>39669.839999999997</v>
      </c>
      <c r="E118" s="82">
        <f t="shared" si="6"/>
        <v>-703631.48558247322</v>
      </c>
      <c r="F118" s="82">
        <f t="shared" si="7"/>
        <v>-1320271.9218736263</v>
      </c>
      <c r="G118" s="50">
        <f t="shared" si="8"/>
        <v>91</v>
      </c>
      <c r="H118" s="88">
        <f t="shared" si="9"/>
        <v>24181.143080490408</v>
      </c>
      <c r="I118" s="88">
        <f t="shared" si="10"/>
        <v>-703631.48558247322</v>
      </c>
      <c r="J118" s="292">
        <f t="shared" si="4"/>
        <v>-1320271.9218736263</v>
      </c>
    </row>
    <row r="119" spans="1:10" ht="15.6" x14ac:dyDescent="0.3">
      <c r="A119" s="38">
        <f t="shared" si="11"/>
        <v>92</v>
      </c>
      <c r="B119" s="81">
        <f t="shared" si="2"/>
        <v>9927.0487290000056</v>
      </c>
      <c r="C119" s="82">
        <f t="shared" si="5"/>
        <v>14462.085635328287</v>
      </c>
      <c r="D119" s="81">
        <f t="shared" si="3"/>
        <v>39669.839999999997</v>
      </c>
      <c r="E119" s="82">
        <f t="shared" si="6"/>
        <v>-754147.34590295283</v>
      </c>
      <c r="F119" s="82">
        <f t="shared" si="7"/>
        <v>-1379785.6064576406</v>
      </c>
      <c r="G119" s="50">
        <f t="shared" si="8"/>
        <v>92</v>
      </c>
      <c r="H119" s="88">
        <f t="shared" si="9"/>
        <v>14462.085635328287</v>
      </c>
      <c r="I119" s="88">
        <f t="shared" si="10"/>
        <v>-754147.34590295283</v>
      </c>
      <c r="J119" s="292">
        <f t="shared" si="4"/>
        <v>-1379785.6064576406</v>
      </c>
    </row>
    <row r="120" spans="1:10" ht="15.6" x14ac:dyDescent="0.3">
      <c r="A120" s="38">
        <f t="shared" si="11"/>
        <v>93</v>
      </c>
      <c r="B120" s="81">
        <f t="shared" si="2"/>
        <v>9927.0487290000056</v>
      </c>
      <c r="C120" s="82">
        <f t="shared" si="5"/>
        <v>4601.2107455873702</v>
      </c>
      <c r="D120" s="81">
        <f t="shared" si="3"/>
        <v>39669.839999999997</v>
      </c>
      <c r="E120" s="82">
        <f t="shared" si="6"/>
        <v>-805400.31784786435</v>
      </c>
      <c r="F120" s="82">
        <f t="shared" si="7"/>
        <v>-1440167.6961017952</v>
      </c>
      <c r="G120" s="50">
        <f t="shared" si="8"/>
        <v>93</v>
      </c>
      <c r="H120" s="88">
        <f t="shared" si="9"/>
        <v>4601.2107455873702</v>
      </c>
      <c r="I120" s="88">
        <f t="shared" si="10"/>
        <v>-805400.31784786435</v>
      </c>
      <c r="J120" s="292">
        <f t="shared" si="4"/>
        <v>-1440167.6961017952</v>
      </c>
    </row>
    <row r="121" spans="1:10" ht="15.6" x14ac:dyDescent="0.3">
      <c r="A121" s="38">
        <f t="shared" si="11"/>
        <v>94</v>
      </c>
      <c r="B121" s="81">
        <f t="shared" si="2"/>
        <v>9927.0487290000056</v>
      </c>
      <c r="C121" s="82">
        <f t="shared" si="5"/>
        <v>-5403.550944500671</v>
      </c>
      <c r="D121" s="81">
        <f t="shared" si="3"/>
        <v>39669.839999999997</v>
      </c>
      <c r="E121" s="82">
        <f t="shared" si="6"/>
        <v>-857401.15711934608</v>
      </c>
      <c r="F121" s="82">
        <f t="shared" si="7"/>
        <v>-1501430.8623009529</v>
      </c>
      <c r="G121" s="50">
        <f t="shared" si="8"/>
        <v>94</v>
      </c>
      <c r="H121" s="88">
        <f t="shared" si="9"/>
        <v>-5403.550944500671</v>
      </c>
      <c r="I121" s="88">
        <f t="shared" si="10"/>
        <v>-857401.15711934608</v>
      </c>
      <c r="J121" s="292">
        <f t="shared" si="4"/>
        <v>-1501430.8623009529</v>
      </c>
    </row>
  </sheetData>
  <sheetProtection algorithmName="SHA-512" hashValue="wisW8VFfTjnE8nDw5MJIu1uKU9jxlja433xpNO7RhVtmQo9xgZruD5JpuZELR1yXnOCoPB7LCJl1EpC6b2vtIQ==" saltValue="wr2bejwYJPdRHQl9cAONDw==" spinCount="100000" sheet="1" objects="1" scenarios="1"/>
  <mergeCells count="8">
    <mergeCell ref="F47:L47"/>
    <mergeCell ref="F48:L48"/>
    <mergeCell ref="A1:E1"/>
    <mergeCell ref="K14:M14"/>
    <mergeCell ref="B22:C22"/>
    <mergeCell ref="D22:E22"/>
    <mergeCell ref="B30:C30"/>
    <mergeCell ref="D30:E30"/>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252C2-776C-438D-9556-869E06AF8790}">
  <dimension ref="A1:M122"/>
  <sheetViews>
    <sheetView workbookViewId="0">
      <selection activeCell="B8" sqref="B8"/>
    </sheetView>
  </sheetViews>
  <sheetFormatPr baseColWidth="10" defaultRowHeight="14.4" x14ac:dyDescent="0.3"/>
  <cols>
    <col min="1" max="1" width="44.33203125" customWidth="1"/>
  </cols>
  <sheetData>
    <row r="1" spans="1:13" ht="21" x14ac:dyDescent="0.4">
      <c r="A1" s="591" t="s">
        <v>167</v>
      </c>
      <c r="B1" s="592"/>
      <c r="C1" s="592"/>
      <c r="D1" s="592"/>
      <c r="E1" s="592"/>
    </row>
    <row r="2" spans="1:13" ht="21" x14ac:dyDescent="0.4">
      <c r="A2" s="6"/>
    </row>
    <row r="3" spans="1:13" x14ac:dyDescent="0.3">
      <c r="B3" t="s">
        <v>67</v>
      </c>
      <c r="C3" t="s">
        <v>68</v>
      </c>
      <c r="D3" t="s">
        <v>69</v>
      </c>
      <c r="F3" s="50" t="s">
        <v>102</v>
      </c>
      <c r="G3" s="50"/>
    </row>
    <row r="4" spans="1:13" ht="15.6" x14ac:dyDescent="0.3">
      <c r="A4" s="1" t="s">
        <v>66</v>
      </c>
      <c r="B4" s="10">
        <f>'Optimisation retraite'!B4</f>
        <v>1</v>
      </c>
      <c r="C4" s="19"/>
      <c r="F4" s="50" t="s">
        <v>67</v>
      </c>
      <c r="G4" s="50" t="s">
        <v>103</v>
      </c>
    </row>
    <row r="5" spans="1:13" ht="15.6" x14ac:dyDescent="0.3">
      <c r="A5" s="1" t="s">
        <v>256</v>
      </c>
      <c r="B5" s="20">
        <f>'Optimisation retraite'!B5</f>
        <v>50</v>
      </c>
      <c r="C5" s="20">
        <f>'Optimisation retraite'!C5</f>
        <v>0</v>
      </c>
      <c r="D5" t="s">
        <v>69</v>
      </c>
      <c r="F5" s="50">
        <f>IF(B5&gt;=65,0,65-B5)</f>
        <v>15</v>
      </c>
      <c r="G5" s="50">
        <f>IF(B4=1,0,IF(C5&gt;=65,0,65-C5))</f>
        <v>0</v>
      </c>
      <c r="H5" s="305">
        <f>MAX(F5,G5)</f>
        <v>15</v>
      </c>
    </row>
    <row r="6" spans="1:13" ht="15.6" x14ac:dyDescent="0.3">
      <c r="A6" s="1" t="s">
        <v>266</v>
      </c>
      <c r="B6" s="20">
        <f>'Optimisation retraite'!B6</f>
        <v>65</v>
      </c>
      <c r="C6" s="20">
        <f>'Optimisation retraite'!C6</f>
        <v>0</v>
      </c>
      <c r="F6" s="50">
        <f>IF(B6&gt;=65,0,65-B6)</f>
        <v>0</v>
      </c>
      <c r="G6" s="50">
        <f>IF(B4=1,0,IF(C6&gt;=65,0,65-C6))</f>
        <v>0</v>
      </c>
      <c r="H6" s="305">
        <f>MAX(F6,G6)</f>
        <v>0</v>
      </c>
      <c r="I6">
        <f>ABS(B6-C6)</f>
        <v>65</v>
      </c>
    </row>
    <row r="7" spans="1:13" ht="16.2" thickBot="1" x14ac:dyDescent="0.35">
      <c r="A7" s="1" t="s">
        <v>378</v>
      </c>
      <c r="B7" s="20">
        <f>IF(AND(B4=1,B6&lt;60,B6&gt;54),B6,IF(AND(B4=2,B6=H8),C7+I6,I7+H6-I6))</f>
        <v>-65</v>
      </c>
      <c r="C7" s="20">
        <f>IF(B4=1,0,IF(C6&lt;B6,65-I6,H8+G6))</f>
        <v>0</v>
      </c>
      <c r="D7" t="b">
        <f>IF(OR(B7&gt;=65,C7&gt;=65),65)</f>
        <v>0</v>
      </c>
      <c r="F7" s="50">
        <f>IF(B6&gt;=60,0,60-B6)</f>
        <v>0</v>
      </c>
      <c r="G7" s="50">
        <f>IF(C6&gt;=60,0,60-C6)</f>
        <v>60</v>
      </c>
      <c r="H7" s="305">
        <f>MAX(F7,G7)</f>
        <v>60</v>
      </c>
      <c r="I7">
        <f>MIN(B6:C6)</f>
        <v>0</v>
      </c>
    </row>
    <row r="8" spans="1:13" ht="16.2" thickBot="1" x14ac:dyDescent="0.35">
      <c r="A8" s="5" t="s">
        <v>78</v>
      </c>
      <c r="B8" s="11">
        <f>'Optimisation retraite'!B7</f>
        <v>50000</v>
      </c>
      <c r="C8" s="11">
        <f>'Optimisation retraite'!C7</f>
        <v>0</v>
      </c>
      <c r="D8" s="21">
        <f>SUM(B8:C8)</f>
        <v>50000</v>
      </c>
      <c r="E8" s="96"/>
      <c r="F8" s="85">
        <f>IF(AND(B8=6,B10&gt;0),F10/(F10+G10),B8/(B8+C8))</f>
        <v>1</v>
      </c>
      <c r="G8" s="85">
        <f>100%-F8</f>
        <v>0</v>
      </c>
      <c r="H8">
        <f>MAX(B6,C6)</f>
        <v>65</v>
      </c>
      <c r="I8" s="544">
        <f>IF(AND(B4=1,B6&gt;=65),0,IF(AND(B4=2,B6&gt;=65,C6&gt;=65),0,IF(AND(B4=1,B6&gt;59),65-B6,IF(AND(B4=1,B6&gt;55),60-B6,IF(AND(B4=2,I7&gt;59),0,IF(AND(B4=2,I6&gt;4),60-H10,0))))))</f>
        <v>0</v>
      </c>
      <c r="J8">
        <f>IF(B4=2,(G7-F6),IF(AND(B4=1,B6&lt;60),60-B6,0))</f>
        <v>0</v>
      </c>
    </row>
    <row r="9" spans="1:13" ht="16.2" thickBot="1" x14ac:dyDescent="0.35">
      <c r="A9" s="5" t="s">
        <v>134</v>
      </c>
      <c r="B9" s="11">
        <f>IF($B$7&lt;65,0,IF($B$7&gt;=65,'Optimisation retraite'!B8,'Optimisation retraite'!B8*POWER(1+Seuils!$H$296,$B$5-64)))</f>
        <v>0</v>
      </c>
      <c r="C9" s="11">
        <f>IF($C$7&lt;65,0,IF($C$7=65,'Optimisation retraite'!C8,'Optimisation retraite'!C8*POWER(1+Seuils!$H$296,$C$5-64)))</f>
        <v>0</v>
      </c>
      <c r="D9" s="21"/>
      <c r="E9" s="1"/>
      <c r="F9" s="88" t="str">
        <f>IF(B8&gt;0," ",(B10*61600/80%)/(61600*25%*94.15%))</f>
        <v xml:space="preserve"> </v>
      </c>
      <c r="G9" s="88" t="str">
        <f>IF(OR(B4=1,C8&gt;0)," ",(C10*61600/80%)/(61600*25%*94.15%))</f>
        <v xml:space="preserve"> </v>
      </c>
      <c r="L9">
        <f>IF(AND(B4=1,C29&lt;Seuils!D55,'Optimisation retraite'!E29&lt;Seuils!D55),Seuils!D55,IF(AND(B4=1,C29&lt;Seuils!D55,'Optimisation retraite'!E29&gt;Seuils!D55),'Optimisation retraite'!E29+Seuils!E152+Seuils!H152,IF(AND(B4=1,'Optimisation retraite'!P9=0),Seuils!J7,IF('Optimal &lt; 65'!B4=1,'Optimisation retraite'!E29+Seuils!F108,IF(AND(B4=2,I6&gt;4,'Optimisation retraite'!P9=1),'Optimisation retraite'!E29+(Seuils!E152+Seuils!H152),IF(C29&gt;Seuils!I7*2,'Optimisation retraite'!E29+(Seuils!E152+Seuils!H152),Seuils!I7*2))))))</f>
        <v>39669.839999999997</v>
      </c>
      <c r="M9" s="3">
        <f>L9/D8</f>
        <v>0.7933967999999999</v>
      </c>
    </row>
    <row r="10" spans="1:13" ht="16.2" thickBot="1" x14ac:dyDescent="0.35">
      <c r="A10" s="1" t="s">
        <v>101</v>
      </c>
      <c r="B10" s="11">
        <f>IF($B$7&lt;65,0,IF($B$7&gt;=65,'Optimisation retraite'!B9,'Optimisation retraite'!B9*POWER(1+Seuils!$H$296,$B$5-64)))</f>
        <v>0</v>
      </c>
      <c r="C10" s="11">
        <f>IF($C$7&lt;65,0,IF($C$7=65,'Optimisation retraite'!C9,'Optimisation retraite'!C9*POWER(1+Seuils!$H$296,$C$5-64)))</f>
        <v>0</v>
      </c>
      <c r="D10" s="89">
        <f>SUM(B10:C10)</f>
        <v>0</v>
      </c>
      <c r="E10" s="1"/>
      <c r="F10">
        <f>IF(AND(G7&lt;F7,I6&gt;4),65-I6,IF(AND(G7&gt;F7,I6&gt;4),65,0))</f>
        <v>65</v>
      </c>
      <c r="G10">
        <f>IF(AND(G7&lt;F7,I6&gt;4),65,IF(AND(G7&gt;F7,I6&gt;4),65-I6,0))</f>
        <v>0</v>
      </c>
      <c r="H10" s="305">
        <f>MIN(F10:G10)</f>
        <v>0</v>
      </c>
      <c r="L10">
        <f>'Optimisation retraite'!E29+Seuils!F125</f>
        <v>36361.117647058825</v>
      </c>
      <c r="M10" s="3">
        <f>L10/B8</f>
        <v>0.72722235294117654</v>
      </c>
    </row>
    <row r="11" spans="1:13" ht="18" x14ac:dyDescent="0.35">
      <c r="A11" s="5" t="s">
        <v>70</v>
      </c>
      <c r="B11" s="11">
        <f>'Optimisation retraite'!B10</f>
        <v>1000</v>
      </c>
      <c r="C11" s="11">
        <v>0</v>
      </c>
      <c r="D11" s="21">
        <f>SUM(B11:C11)</f>
        <v>1000</v>
      </c>
      <c r="E11" s="1" t="s">
        <v>177</v>
      </c>
      <c r="H11" s="83" t="s">
        <v>107</v>
      </c>
      <c r="I11" s="50"/>
      <c r="J11" s="50"/>
      <c r="K11" s="50"/>
      <c r="L11" s="94">
        <f>IF(AND(B4=1,C29&gt;Seuils!D55),Seuils!E33,IF(AND(B4=1,B8&gt;Seuils!A9),Seuils!E33,IF(AND(B4=1,B10&lt;Seuils!E33/80%,B10&lt;=61600*25%*94.15%),Seuils!D55,IF(AND(B4=1,B10&lt;Seuils!E33/80%,B10&gt;61600*25%*94.15%),Seuils!J55,IF(C29&gt;Seuils!A8,Seuils!E33*2,IF('Optimisation retraite'!C29&gt;Seuils!I7*2,Seuils!A8,IF(AND(B15+C15+D10&gt;21300,C29&lt;Seuils!C16),Seuils!C16,Seuils!J6*2)))))))</f>
        <v>39669.839999999997</v>
      </c>
      <c r="M11" s="95">
        <f>IF(D8=0,L11/(F10+G10),L11/D8)</f>
        <v>0.7933967999999999</v>
      </c>
    </row>
    <row r="12" spans="1:13" ht="15.6" x14ac:dyDescent="0.3">
      <c r="A12" s="1" t="s">
        <v>135</v>
      </c>
      <c r="B12" s="18">
        <f>'Optimisation retraite'!B11</f>
        <v>642</v>
      </c>
      <c r="C12" s="11">
        <f>'Optimisation retraite'!C11</f>
        <v>0</v>
      </c>
      <c r="D12" s="21">
        <f>SUM(B12:C12)</f>
        <v>642</v>
      </c>
      <c r="E12" s="17" t="s">
        <v>106</v>
      </c>
      <c r="F12" s="17" t="s">
        <v>161</v>
      </c>
      <c r="G12" t="str">
        <f>IF(B4=1,"seuil limite","optimal #2")</f>
        <v>seuil limite</v>
      </c>
      <c r="H12" s="50"/>
      <c r="I12" s="50"/>
      <c r="J12" s="50"/>
      <c r="K12" s="50"/>
      <c r="L12" s="94">
        <f>IF(AND(B4=2,D8&gt;150000,C29&gt;Seuils!I7*2),Seuils!E33*2,IF(AND(B4=2,L11=Seuils!I7*2),Seuils!C16,IF(AND(B4=2,L11=Seuils!C16),Seuils!I7*2,IF(AND(B4=1,L11=Seuils!D55),Seuils!E33,Seuils!D55))))</f>
        <v>79845</v>
      </c>
      <c r="M12" s="95">
        <f>IF(D8=0,L12/(F10+G10),L12/D8)</f>
        <v>1.5969</v>
      </c>
    </row>
    <row r="13" spans="1:13" ht="15.6" x14ac:dyDescent="0.3">
      <c r="A13" s="5" t="s">
        <v>82</v>
      </c>
      <c r="B13" s="52">
        <f>IF(B8=0,(F9+G9)*E13,(B8+C8)*E13)</f>
        <v>39669.839999999997</v>
      </c>
      <c r="C13" s="21"/>
      <c r="D13" s="21">
        <f>SUM(B13:C13)</f>
        <v>39669.839999999997</v>
      </c>
      <c r="E13" s="270">
        <f>M9</f>
        <v>0.7933967999999999</v>
      </c>
      <c r="F13" s="93">
        <f>M11</f>
        <v>0.7933967999999999</v>
      </c>
      <c r="G13" s="99">
        <f>IF(B4=1,Seuils!E33/B8,M12)</f>
        <v>1.5969</v>
      </c>
    </row>
    <row r="14" spans="1:13" ht="18" x14ac:dyDescent="0.35">
      <c r="A14" s="5" t="s">
        <v>136</v>
      </c>
      <c r="B14" s="11">
        <f>IF(AND(B4=2,C8&gt;15000),(B13-D10-B24-C24)*F8,B13-D10-B24-C24)</f>
        <v>39669.839999999997</v>
      </c>
      <c r="C14" s="22">
        <f>IF(AND(B4=2,C8&gt;15000),(B13-D10-B24-C24)*(1-F8),0)</f>
        <v>0</v>
      </c>
      <c r="D14" s="21">
        <f t="shared" ref="D14" si="0">SUM(B14:C14)</f>
        <v>39669.839999999997</v>
      </c>
      <c r="E14" s="1"/>
      <c r="H14" s="83" t="s">
        <v>105</v>
      </c>
      <c r="I14" s="83"/>
      <c r="J14" s="84">
        <f>D77</f>
        <v>0.42499999999999999</v>
      </c>
      <c r="K14" s="622" t="str">
        <f>IF(J14&lt;J16-0.5%,"Maximiser d'abord votre CELI !",IF(J14&gt;J16+0.5%,"Privillégiez le REER OPTIMAL", "Indifférent entre REER et CELI"))</f>
        <v>Privillégiez le REER OPTIMAL</v>
      </c>
      <c r="L14" s="623"/>
      <c r="M14" s="623"/>
    </row>
    <row r="15" spans="1:13" ht="18" x14ac:dyDescent="0.35">
      <c r="A15" s="5" t="s">
        <v>246</v>
      </c>
      <c r="B15" s="11">
        <f>IF(AND('Optimisation retraite'!B5&gt;=65,B4=1),0,IF(B7&gt;=65,'Optimisation retraite'!B13,IF(AND(B7&lt;65,B7&gt;59),' Épargne nécessaire'!B35,IF(B7&lt;55,0,' Épargne nécessaire'!B36))))</f>
        <v>0</v>
      </c>
      <c r="C15" s="11">
        <f>IF(AND('Optimisation retraite'!B5&gt;65,B4=1),0,IF(C7&gt;=65,'Optimisation retraite'!C13,IF(AND(C7&lt;65,C7&gt;59),' Épargne nécessaire'!C35,IF(C7&lt;55,0,' Épargne nécessaire'!C36))))</f>
        <v>0</v>
      </c>
      <c r="D15" s="21"/>
      <c r="E15" s="1"/>
      <c r="H15" s="83" t="s">
        <v>489</v>
      </c>
      <c r="I15" s="50"/>
      <c r="J15" s="84">
        <f>C57</f>
        <v>0.17340776730634644</v>
      </c>
      <c r="K15" s="50"/>
      <c r="L15" s="50"/>
      <c r="M15" s="50"/>
    </row>
    <row r="16" spans="1:13" ht="18" x14ac:dyDescent="0.35">
      <c r="A16" s="5" t="s">
        <v>191</v>
      </c>
      <c r="B16" s="271">
        <f>'Optimisation retraite'!B14</f>
        <v>0.5</v>
      </c>
      <c r="C16" s="271">
        <f>'Optimisation retraite'!C14</f>
        <v>0.5</v>
      </c>
      <c r="D16" s="21"/>
      <c r="E16" s="1"/>
      <c r="H16" s="83"/>
      <c r="J16" s="90"/>
      <c r="K16" s="50"/>
      <c r="L16" s="50"/>
      <c r="M16" s="50"/>
    </row>
    <row r="17" spans="1:13" ht="18" x14ac:dyDescent="0.35">
      <c r="A17" s="5" t="s">
        <v>192</v>
      </c>
      <c r="B17" s="11">
        <f>'Optimisation retraite'!B15</f>
        <v>0</v>
      </c>
      <c r="C17" s="11">
        <f>'Optimisation retraite'!C15</f>
        <v>0</v>
      </c>
      <c r="D17" s="21"/>
      <c r="E17" s="1"/>
      <c r="H17" s="83" t="str">
        <f>IF(B4=1," ",IF(C8&lt;Seuils!A7,"N.B. Conjoint #2 ne devrait nullement cotiser à son REER !",IF(AND(C8&lt;Seuils!I8,'Optimisation retraite'!J11&gt;Seuils!E7+Seuils!K7+2%),"N.B. Conjoint #2 ne devrait nullement cotiser à son REER !"," ")))</f>
        <v xml:space="preserve"> </v>
      </c>
      <c r="I17" s="50"/>
      <c r="J17" s="84"/>
      <c r="K17" s="50"/>
      <c r="L17" s="50"/>
      <c r="M17" s="50"/>
    </row>
    <row r="18" spans="1:13" ht="15.6" x14ac:dyDescent="0.3">
      <c r="A18" s="5" t="s">
        <v>137</v>
      </c>
      <c r="B18" s="98">
        <f>Seuils!M296</f>
        <v>0</v>
      </c>
      <c r="C18" s="22"/>
      <c r="D18" s="21"/>
      <c r="E18" s="1"/>
      <c r="K18" s="50"/>
      <c r="L18" s="50"/>
      <c r="M18" s="50"/>
    </row>
    <row r="19" spans="1:13" ht="15.6" x14ac:dyDescent="0.3">
      <c r="A19" s="5" t="s">
        <v>138</v>
      </c>
      <c r="B19" s="98">
        <f>Seuils!M297</f>
        <v>0</v>
      </c>
      <c r="C19" s="22"/>
      <c r="D19" s="21"/>
      <c r="E19" s="1"/>
      <c r="M19" s="50"/>
    </row>
    <row r="20" spans="1:13" ht="15.6" x14ac:dyDescent="0.3">
      <c r="A20" s="5"/>
      <c r="B20" s="98"/>
      <c r="C20" s="22"/>
      <c r="D20" s="21"/>
      <c r="E20" s="1"/>
      <c r="M20" s="50"/>
    </row>
    <row r="21" spans="1:13" ht="15.6" x14ac:dyDescent="0.3">
      <c r="A21" s="5"/>
      <c r="B21" s="98"/>
      <c r="C21" s="22"/>
      <c r="D21" s="21"/>
      <c r="E21" s="1"/>
      <c r="M21" s="50"/>
    </row>
    <row r="22" spans="1:13" ht="18.600000000000001" thickBot="1" x14ac:dyDescent="0.4">
      <c r="A22" s="543" t="str">
        <f>IF(B4=1,"Célibataire prenant sa retraite avant 65 ans","Période où l'un des conjoints a plus de 65 ans et l'autre entre 55 et 60 ans")</f>
        <v>Célibataire prenant sa retraite avant 65 ans</v>
      </c>
      <c r="B22" s="306"/>
      <c r="C22" s="380"/>
      <c r="D22" s="380"/>
      <c r="E22" s="1"/>
      <c r="H22" s="83"/>
      <c r="I22" s="50"/>
      <c r="J22" s="84"/>
      <c r="K22" s="50"/>
      <c r="L22" s="50"/>
      <c r="M22" s="50"/>
    </row>
    <row r="23" spans="1:13" ht="16.2" thickBot="1" x14ac:dyDescent="0.35">
      <c r="A23" s="23" t="s">
        <v>162</v>
      </c>
      <c r="B23" s="624" t="s">
        <v>164</v>
      </c>
      <c r="C23" s="625"/>
      <c r="D23" s="624" t="s">
        <v>165</v>
      </c>
      <c r="E23" s="625"/>
    </row>
    <row r="24" spans="1:13" ht="15.6" x14ac:dyDescent="0.3">
      <c r="A24" s="24" t="s">
        <v>43</v>
      </c>
      <c r="B24" s="25">
        <f>B9</f>
        <v>0</v>
      </c>
      <c r="C24" s="26">
        <f>C9</f>
        <v>0</v>
      </c>
      <c r="D24" s="25">
        <f>B9</f>
        <v>0</v>
      </c>
      <c r="E24" s="26">
        <f>C9</f>
        <v>0</v>
      </c>
    </row>
    <row r="25" spans="1:13" ht="15.6" x14ac:dyDescent="0.3">
      <c r="A25" s="24" t="s">
        <v>44</v>
      </c>
      <c r="B25" s="27">
        <f>B10</f>
        <v>0</v>
      </c>
      <c r="C25" s="28">
        <f>C10</f>
        <v>0</v>
      </c>
      <c r="D25" s="27">
        <f>B25</f>
        <v>0</v>
      </c>
      <c r="E25" s="28">
        <f>C25</f>
        <v>0</v>
      </c>
    </row>
    <row r="26" spans="1:13" ht="15.6" x14ac:dyDescent="0.3">
      <c r="A26" s="24" t="s">
        <v>31</v>
      </c>
      <c r="B26" s="27">
        <f>IF(B4=2,0,IF(B5&lt;65,0,IF(D10+B27&gt;Seuils!E29,0,IF(D10+B27&gt;Seuils!D31,Seuils!D28-(D10+B27)*50%,IF(D10+B27&gt;Seuils!D30,Seuils!D26-(D10+B27-Seuils!D30)*75%,Seuils!D27-(D10+B27)*50%)))))</f>
        <v>0</v>
      </c>
      <c r="C26" s="28">
        <f>IF(B4=1,0,IF(AND(B7&lt;65,C7&lt;65),0,IF(D10+B27+C27&gt;Seuils!C29,0,Seuils!C27-(D10+B27+C27)*50%)))</f>
        <v>0</v>
      </c>
      <c r="D26" s="27">
        <f>IF(B4=2,0,IF('Optimisation retraite'!D9+'Optimisation retraite'!D16&gt;Seuils!E29,0,Seuils!D28-(D10+D14)*50%))</f>
        <v>0</v>
      </c>
      <c r="E26" s="28">
        <f>IF(B4=1,0,IF(D10+D14&gt;Seuils!D29,0,Seuils!D28-(D10+D14)*50%))</f>
        <v>0</v>
      </c>
    </row>
    <row r="27" spans="1:13" ht="16.2" thickBot="1" x14ac:dyDescent="0.35">
      <c r="A27" s="24" t="s">
        <v>166</v>
      </c>
      <c r="B27" s="29">
        <f>B15+B17</f>
        <v>0</v>
      </c>
      <c r="C27" s="30">
        <f>C15+C17</f>
        <v>0</v>
      </c>
      <c r="D27" s="29">
        <f>B14</f>
        <v>39669.839999999997</v>
      </c>
      <c r="E27" s="30">
        <f>C14</f>
        <v>0</v>
      </c>
    </row>
    <row r="28" spans="1:13" ht="16.2" thickBot="1" x14ac:dyDescent="0.35">
      <c r="A28" s="31" t="s">
        <v>76</v>
      </c>
      <c r="B28" s="32">
        <f>SUM(B24:B27)-B26</f>
        <v>0</v>
      </c>
      <c r="C28" s="33">
        <f>SUM(C24:C27)-C26</f>
        <v>0</v>
      </c>
      <c r="D28" s="32">
        <f>SUM(D24:D27)-D26</f>
        <v>39669.839999999997</v>
      </c>
      <c r="E28" s="33">
        <f>SUM(E24:E27)-E26</f>
        <v>0</v>
      </c>
    </row>
    <row r="29" spans="1:13" ht="16.2" thickBot="1" x14ac:dyDescent="0.35">
      <c r="A29" s="34" t="s">
        <v>77</v>
      </c>
      <c r="B29" s="35"/>
      <c r="C29" s="35">
        <f>B28+C28</f>
        <v>0</v>
      </c>
      <c r="D29" s="35"/>
      <c r="E29" s="36">
        <f>D28+E28</f>
        <v>39669.839999999997</v>
      </c>
    </row>
    <row r="30" spans="1:13" ht="16.2" thickBot="1" x14ac:dyDescent="0.35">
      <c r="A30" s="37"/>
      <c r="B30" s="38"/>
      <c r="C30" s="38"/>
      <c r="D30" s="38"/>
      <c r="E30" s="39"/>
    </row>
    <row r="31" spans="1:13" ht="16.2" thickBot="1" x14ac:dyDescent="0.35">
      <c r="A31" s="40" t="s">
        <v>81</v>
      </c>
      <c r="B31" s="624" t="s">
        <v>164</v>
      </c>
      <c r="C31" s="625"/>
      <c r="D31" s="624" t="s">
        <v>165</v>
      </c>
      <c r="E31" s="625"/>
    </row>
    <row r="32" spans="1:13" ht="16.2" thickBot="1" x14ac:dyDescent="0.35">
      <c r="A32" s="41"/>
      <c r="B32" s="244" t="s">
        <v>46</v>
      </c>
      <c r="C32" s="245" t="s">
        <v>47</v>
      </c>
      <c r="D32" s="246" t="s">
        <v>46</v>
      </c>
      <c r="E32" s="245" t="s">
        <v>47</v>
      </c>
    </row>
    <row r="33" spans="1:12" ht="15.6" x14ac:dyDescent="0.3">
      <c r="A33" s="42" t="s">
        <v>79</v>
      </c>
      <c r="B33" s="25">
        <f>IF(B4=2,Seuils!D12+Seuils!D13,Seuils!D12)</f>
        <v>13808</v>
      </c>
      <c r="C33" s="26">
        <f>IF(B4=2,Seuils!J12*2,Seuils!J12)</f>
        <v>15728</v>
      </c>
      <c r="D33" s="25">
        <f>IF(B4=2,Seuils!D12+Seuils!E13,Seuils!D12)</f>
        <v>13808</v>
      </c>
      <c r="E33" s="26">
        <f>C33</f>
        <v>15728</v>
      </c>
    </row>
    <row r="34" spans="1:12" ht="15.6" x14ac:dyDescent="0.3">
      <c r="A34" s="42" t="s">
        <v>80</v>
      </c>
      <c r="B34" s="27">
        <f>IF(B4=2,Seuils!D151,Seuils!B151)</f>
        <v>0</v>
      </c>
      <c r="C34" s="520">
        <f>Seuils!N18</f>
        <v>1802</v>
      </c>
      <c r="D34" s="43">
        <f>Seuils!D142</f>
        <v>0</v>
      </c>
      <c r="E34" s="28">
        <f>IF(E29&lt;Seuils!$J$16,Seuils!$M$15,IF(E29&gt;Seuils!$L$17,0,Seuils!$M$15-(E29-Seuils!$J$16)*18.75%))</f>
        <v>3987.2800000000007</v>
      </c>
    </row>
    <row r="35" spans="1:12" ht="15.6" x14ac:dyDescent="0.3">
      <c r="A35" s="42" t="s">
        <v>168</v>
      </c>
      <c r="B35" s="27">
        <f>IF(AND(B4=1,B15&gt;Seuils!C19),Seuils!C19,IF(AND(B4=1,B15&lt;2000),B15,IF(AND(B4=2,B15&gt;2000,C15&gt;2000),Seuils!C19*2,IF(AND(B4=2,B15&gt;2000,C15&lt;2000),Seuils!C19+C15,IF(AND(B4=2,C15&gt;2000,B15&lt;2000),Seuils!C19+'Optimal &lt; 65'!B15,IF(AND('Optimal &lt; 65'!B4=2,'Optimal &lt; 65'!B15&lt;2000,'Optimal &lt; 65'!C15&lt;2000),B27+C27,0))))))</f>
        <v>0</v>
      </c>
      <c r="C35" s="28"/>
      <c r="D35" s="43">
        <f>IF(AND(B5&lt;65,B15+C15&lt;=2000*B4),B15+C15,IF(AND(B5&lt;65,B15+C15&gt;2000*B4),2000*B4,Seuils!D19*'Optimal &lt; 65'!B4))</f>
        <v>0</v>
      </c>
      <c r="E35" s="28"/>
    </row>
    <row r="36" spans="1:12" ht="15.6" x14ac:dyDescent="0.3">
      <c r="A36" s="42" t="s">
        <v>15</v>
      </c>
      <c r="B36" s="27">
        <f>Seuils!C134</f>
        <v>1642</v>
      </c>
      <c r="C36" s="28">
        <f>Seuils!J24</f>
        <v>1335.118379</v>
      </c>
      <c r="D36" s="43">
        <f>Seuils!C24</f>
        <v>451.90480000000025</v>
      </c>
      <c r="E36" s="28">
        <f>Seuils!L24</f>
        <v>629.09999999999991</v>
      </c>
    </row>
    <row r="37" spans="1:12" ht="15.6" x14ac:dyDescent="0.3">
      <c r="A37" s="42" t="s">
        <v>48</v>
      </c>
      <c r="B37" s="27">
        <f>SUM(B33:B36)</f>
        <v>15450</v>
      </c>
      <c r="C37" s="28">
        <f>SUM(C33:C36)</f>
        <v>18865.118379</v>
      </c>
      <c r="D37" s="43">
        <f>SUM(D33:D36)</f>
        <v>14259.9048</v>
      </c>
      <c r="E37" s="28">
        <f>SUM(E33:E36)</f>
        <v>20344.379999999997</v>
      </c>
    </row>
    <row r="38" spans="1:12" ht="15.6" x14ac:dyDescent="0.3">
      <c r="A38" s="44"/>
      <c r="B38" s="27"/>
      <c r="C38" s="28"/>
      <c r="D38" s="43"/>
      <c r="E38" s="28"/>
    </row>
    <row r="39" spans="1:12" ht="15.6" x14ac:dyDescent="0.3">
      <c r="A39" s="42" t="s">
        <v>49</v>
      </c>
      <c r="B39" s="27">
        <f>Seuils!D149</f>
        <v>0</v>
      </c>
      <c r="C39" s="28">
        <f>Seuils!L149</f>
        <v>0</v>
      </c>
      <c r="D39" s="43">
        <f>Seuils!D140</f>
        <v>5950.4759999999997</v>
      </c>
      <c r="E39" s="45">
        <f>Seuils!L140</f>
        <v>5950.4759999999997</v>
      </c>
    </row>
    <row r="40" spans="1:12" ht="15.6" x14ac:dyDescent="0.3">
      <c r="A40" s="42" t="s">
        <v>50</v>
      </c>
      <c r="B40" s="27">
        <f>B37*15%</f>
        <v>2317.5</v>
      </c>
      <c r="C40" s="28">
        <f>(C33+C34)*Seuils!K6+C36*20%</f>
        <v>2896.5236758000001</v>
      </c>
      <c r="D40" s="43">
        <f>D37*15%</f>
        <v>2138.9857200000001</v>
      </c>
      <c r="E40" s="28">
        <f>(E33+E34)*Seuils!K6+E36*20%</f>
        <v>3083.1120000000001</v>
      </c>
    </row>
    <row r="41" spans="1:12" ht="15.6" x14ac:dyDescent="0.3">
      <c r="A41" s="42" t="s">
        <v>51</v>
      </c>
      <c r="B41" s="27">
        <f>IF(B39&gt;B40,(B39-B40)*16.5%,0)</f>
        <v>0</v>
      </c>
      <c r="C41" s="28"/>
      <c r="D41" s="43">
        <f>IF(D39&gt;D40,(D39-D40)*16.5%,0)</f>
        <v>628.89589619999992</v>
      </c>
      <c r="E41" s="28"/>
    </row>
    <row r="42" spans="1:12" ht="15.6" x14ac:dyDescent="0.3">
      <c r="A42" s="42" t="s">
        <v>35</v>
      </c>
      <c r="B42" s="27"/>
      <c r="C42" s="28">
        <f>Seuils!L151</f>
        <v>0</v>
      </c>
      <c r="D42" s="43"/>
      <c r="E42" s="28">
        <f>Seuils!L142</f>
        <v>150</v>
      </c>
    </row>
    <row r="43" spans="1:12" ht="15.6" x14ac:dyDescent="0.3">
      <c r="A43" s="42" t="s">
        <v>18</v>
      </c>
      <c r="B43" s="27"/>
      <c r="C43" s="28">
        <f>Seuils!R28</f>
        <v>0</v>
      </c>
      <c r="D43" s="43"/>
      <c r="E43" s="28">
        <f>Seuils!L28</f>
        <v>679.1</v>
      </c>
    </row>
    <row r="44" spans="1:12" ht="15.6" x14ac:dyDescent="0.3">
      <c r="A44" s="42" t="s">
        <v>169</v>
      </c>
      <c r="B44" s="29"/>
      <c r="C44" s="30"/>
      <c r="D44" s="46"/>
      <c r="E44" s="30"/>
    </row>
    <row r="45" spans="1:12" ht="16.2" thickBot="1" x14ac:dyDescent="0.35">
      <c r="A45" s="42" t="s">
        <v>133</v>
      </c>
      <c r="B45" s="29">
        <f>B47</f>
        <v>0</v>
      </c>
      <c r="C45" s="30"/>
      <c r="D45" s="46">
        <f>D47</f>
        <v>0</v>
      </c>
      <c r="E45" s="30"/>
    </row>
    <row r="46" spans="1:12" ht="16.2" thickBot="1" x14ac:dyDescent="0.35">
      <c r="A46" s="31" t="s">
        <v>52</v>
      </c>
      <c r="B46" s="32">
        <f>IF(B40&gt;B39-B41+B42+B43+B45,0,B39+B42+B43+B45-B40-B41)</f>
        <v>0</v>
      </c>
      <c r="C46" s="33">
        <f>IF(C40&gt;C39,C42+C43+C45,C39+C42+C43+C45-C40)</f>
        <v>0</v>
      </c>
      <c r="D46" s="47">
        <f>IF(D40&gt;D39-D41+D42+D43+D45,0,D39-D41+D42+D43+D45-D40)</f>
        <v>3182.5943837999998</v>
      </c>
      <c r="E46" s="33">
        <f>IF(E40&gt;E39,E42+E43+E45,E39+E42+E43+E45-E40)</f>
        <v>3696.4639999999999</v>
      </c>
    </row>
    <row r="47" spans="1:12" ht="15.6" x14ac:dyDescent="0.3">
      <c r="A47" s="48" t="s">
        <v>170</v>
      </c>
      <c r="B47" s="91">
        <f>IF(B6&lt;65,0,IF(AND(B4=1,B28&gt;Seuils!E34),Seuils!E32,IF(AND(B4=1,'Optimisation retraite'!B28&gt;Seuils!E33),(B28-Seuils!E33)*15%,IF(AND(B4=2,Seuils!B110&gt;Seuils!E33,(Seuils!B110-Seuils!E33)*15%&gt;B24),B24,IF(AND(B4=2,Seuils!B110&gt;Seuils!E33),(Seuils!B110-Seuils!E33)*15%,0)))))</f>
        <v>0</v>
      </c>
      <c r="C47" s="49"/>
      <c r="D47" s="91">
        <f>IF(B6&lt;65,0,IF(AND(B4=1,D28&gt;Seuils!E34),Seuils!E32,IF(AND(B4=1,'Optimisation retraite'!D28&gt;Seuils!E33),(D28-Seuils!E33)*15%,IF(AND(B4=2,Seuils!B101&gt;Seuils!E33,(Seuils!B101-Seuils!E33)*15%&gt;B24),B24,IF(AND(B4=2,Seuils!B101&gt;Seuils!E33),(Seuils!B101-Seuils!E33)*15%,0)))))</f>
        <v>0</v>
      </c>
      <c r="E47" s="49">
        <f>E46+D46-(B46+C46)</f>
        <v>6879.0583838000002</v>
      </c>
      <c r="F47" s="7">
        <f>E47/$D$14</f>
        <v>0.17340776730634661</v>
      </c>
    </row>
    <row r="48" spans="1:12" ht="15.6" x14ac:dyDescent="0.3">
      <c r="A48" s="50"/>
      <c r="B48" s="50"/>
      <c r="C48" s="50"/>
      <c r="D48" s="92" t="str">
        <f>IF(D47&gt;0,"Remboursement PSV"," ")</f>
        <v xml:space="preserve"> </v>
      </c>
      <c r="E48" s="50"/>
      <c r="F48" s="588"/>
      <c r="G48" s="589"/>
      <c r="H48" s="589"/>
      <c r="I48" s="589"/>
      <c r="J48" s="589"/>
      <c r="K48" s="589"/>
      <c r="L48" s="589"/>
    </row>
    <row r="49" spans="1:12" ht="15.6" x14ac:dyDescent="0.3">
      <c r="A49" s="39" t="s">
        <v>179</v>
      </c>
      <c r="B49" s="50"/>
      <c r="C49" s="50"/>
      <c r="D49" s="50"/>
      <c r="E49" s="38" t="s">
        <v>84</v>
      </c>
      <c r="F49" s="588"/>
      <c r="G49" s="589"/>
      <c r="H49" s="589"/>
      <c r="I49" s="589"/>
      <c r="J49" s="589"/>
      <c r="K49" s="589"/>
      <c r="L49" s="589"/>
    </row>
    <row r="50" spans="1:12" ht="15.6" x14ac:dyDescent="0.3">
      <c r="A50" s="37" t="s">
        <v>180</v>
      </c>
      <c r="B50" s="21">
        <f>C29-B46-C46</f>
        <v>0</v>
      </c>
      <c r="C50" s="21"/>
      <c r="D50" s="21">
        <f>E29-D46-E46-D47</f>
        <v>32790.781616199994</v>
      </c>
      <c r="E50" s="21">
        <f>D50-B50</f>
        <v>32790.781616199994</v>
      </c>
      <c r="F50" s="85"/>
    </row>
    <row r="51" spans="1:12" ht="15.6" x14ac:dyDescent="0.3">
      <c r="A51" s="37" t="s">
        <v>181</v>
      </c>
      <c r="B51" s="21">
        <f>B26+C26</f>
        <v>0</v>
      </c>
      <c r="C51" s="21"/>
      <c r="D51" s="21">
        <f>D26+E26</f>
        <v>0</v>
      </c>
      <c r="E51" s="21">
        <f t="shared" ref="E51:E54" si="1">D51-B51</f>
        <v>0</v>
      </c>
      <c r="F51" s="85">
        <f>-E51/$D$14</f>
        <v>0</v>
      </c>
    </row>
    <row r="52" spans="1:12" ht="15.6" x14ac:dyDescent="0.3">
      <c r="A52" s="37" t="s">
        <v>182</v>
      </c>
      <c r="B52" s="21">
        <f>Seuils!D59</f>
        <v>462.58</v>
      </c>
      <c r="C52" s="21"/>
      <c r="D52" s="21">
        <f>Seuils!E59</f>
        <v>462.58</v>
      </c>
      <c r="E52" s="21">
        <f t="shared" si="1"/>
        <v>0</v>
      </c>
      <c r="F52" s="85">
        <f>-E52/$D$14</f>
        <v>0</v>
      </c>
    </row>
    <row r="53" spans="1:12" ht="15.6" x14ac:dyDescent="0.3">
      <c r="A53" s="37" t="s">
        <v>183</v>
      </c>
      <c r="B53" s="21">
        <f>Seuils!J59</f>
        <v>1050.6199999999999</v>
      </c>
      <c r="C53" s="21"/>
      <c r="D53" s="21">
        <f>Seuils!K59</f>
        <v>1050.6199999999999</v>
      </c>
      <c r="E53" s="21">
        <f t="shared" si="1"/>
        <v>0</v>
      </c>
      <c r="F53" s="85">
        <f>-E53/$D$14</f>
        <v>0</v>
      </c>
    </row>
    <row r="54" spans="1:12" ht="15.6" x14ac:dyDescent="0.3">
      <c r="A54" s="37" t="s">
        <v>53</v>
      </c>
      <c r="B54" s="21">
        <f>SUM(B50:B53)</f>
        <v>1513.1999999999998</v>
      </c>
      <c r="C54" s="21"/>
      <c r="D54" s="51">
        <f>SUM(D50:D53)</f>
        <v>34303.981616199999</v>
      </c>
      <c r="E54" s="52">
        <f t="shared" si="1"/>
        <v>32790.781616200002</v>
      </c>
      <c r="F54" s="85">
        <f>SUM(F47:F53)</f>
        <v>0.17340776730634661</v>
      </c>
      <c r="G54" s="7"/>
    </row>
    <row r="55" spans="1:12" ht="15.6" x14ac:dyDescent="0.3">
      <c r="A55" s="37"/>
      <c r="B55" s="53"/>
      <c r="C55" s="38"/>
      <c r="D55" s="38"/>
      <c r="E55" s="53"/>
      <c r="F55" s="100"/>
    </row>
    <row r="56" spans="1:12" ht="15.6" x14ac:dyDescent="0.3">
      <c r="A56" s="37" t="s">
        <v>54</v>
      </c>
      <c r="B56" s="51">
        <f>D54</f>
        <v>34303.981616199999</v>
      </c>
      <c r="C56" s="37" t="s">
        <v>55</v>
      </c>
      <c r="D56" s="38"/>
      <c r="E56" s="50"/>
      <c r="F56" s="50"/>
    </row>
    <row r="57" spans="1:12" ht="15.6" x14ac:dyDescent="0.3">
      <c r="A57" s="37" t="s">
        <v>87</v>
      </c>
      <c r="B57" s="52">
        <f>B56-B54</f>
        <v>32790.781616200002</v>
      </c>
      <c r="C57" s="54">
        <f>1-B57/D57</f>
        <v>0.17340776730634644</v>
      </c>
      <c r="D57" s="52">
        <f>D27+E27-C27-B27</f>
        <v>39669.839999999997</v>
      </c>
      <c r="E57" s="50"/>
      <c r="F57" s="50"/>
    </row>
    <row r="58" spans="1:12" x14ac:dyDescent="0.3">
      <c r="A58" s="50"/>
      <c r="B58" s="50"/>
      <c r="C58" s="50"/>
      <c r="D58" s="50"/>
      <c r="E58" s="50"/>
      <c r="F58" s="50"/>
    </row>
    <row r="59" spans="1:12" x14ac:dyDescent="0.3">
      <c r="A59" s="50" t="s">
        <v>374</v>
      </c>
      <c r="B59" s="50"/>
      <c r="C59" s="50"/>
      <c r="D59" s="50"/>
      <c r="E59" s="50"/>
      <c r="F59" s="50"/>
    </row>
    <row r="60" spans="1:12" x14ac:dyDescent="0.3">
      <c r="A60" s="539" t="s">
        <v>377</v>
      </c>
      <c r="B60" s="542">
        <f>I8</f>
        <v>0</v>
      </c>
      <c r="C60" s="50"/>
      <c r="D60" s="50">
        <f>B60</f>
        <v>0</v>
      </c>
      <c r="E60" s="50"/>
      <c r="F60" s="50"/>
    </row>
    <row r="61" spans="1:12" x14ac:dyDescent="0.3">
      <c r="A61" s="539" t="s">
        <v>94</v>
      </c>
      <c r="B61" s="540">
        <f>Seuils!H294</f>
        <v>3.7420000000000002E-2</v>
      </c>
      <c r="C61" s="50"/>
      <c r="D61" s="540">
        <f>B61</f>
        <v>3.7420000000000002E-2</v>
      </c>
      <c r="E61" s="50"/>
      <c r="F61" s="50"/>
    </row>
    <row r="62" spans="1:12" x14ac:dyDescent="0.3">
      <c r="A62" s="539" t="s">
        <v>306</v>
      </c>
      <c r="B62" s="540">
        <f>((1+B61)/(1+' Épargne nécessaire'!G7))-1</f>
        <v>1.4591687041564771E-2</v>
      </c>
      <c r="C62" s="50"/>
      <c r="D62" s="540">
        <f>B62</f>
        <v>1.4591687041564771E-2</v>
      </c>
      <c r="E62" s="50"/>
      <c r="F62" s="50"/>
    </row>
    <row r="63" spans="1:12" x14ac:dyDescent="0.3">
      <c r="A63" s="539" t="s">
        <v>96</v>
      </c>
      <c r="B63" s="540" t="e">
        <f>0.53*B62+1/B60</f>
        <v>#DIV/0!</v>
      </c>
      <c r="C63" s="50"/>
      <c r="D63" s="540" t="e">
        <f>B63</f>
        <v>#DIV/0!</v>
      </c>
      <c r="E63" s="50"/>
      <c r="F63" s="50"/>
    </row>
    <row r="64" spans="1:12" x14ac:dyDescent="0.3">
      <c r="A64" s="539" t="s">
        <v>375</v>
      </c>
      <c r="B64" s="541">
        <f>B18</f>
        <v>0</v>
      </c>
      <c r="C64" s="50"/>
      <c r="D64" s="541">
        <f>B19</f>
        <v>0</v>
      </c>
      <c r="E64" s="50"/>
      <c r="F64" s="50"/>
    </row>
    <row r="65" spans="1:6" x14ac:dyDescent="0.3">
      <c r="A65" s="539" t="s">
        <v>376</v>
      </c>
      <c r="B65" s="88" t="e">
        <f>B64*B63</f>
        <v>#DIV/0!</v>
      </c>
      <c r="C65" s="50"/>
      <c r="D65" s="88" t="e">
        <f>D64*D63</f>
        <v>#DIV/0!</v>
      </c>
      <c r="E65" s="50"/>
      <c r="F65" s="50"/>
    </row>
    <row r="66" spans="1:6" x14ac:dyDescent="0.3">
      <c r="A66" s="50"/>
      <c r="B66" s="50"/>
      <c r="C66" s="50"/>
      <c r="D66" s="50"/>
      <c r="E66" s="50"/>
      <c r="F66" s="50"/>
    </row>
    <row r="67" spans="1:6" x14ac:dyDescent="0.3">
      <c r="A67" s="50"/>
      <c r="B67" s="50"/>
      <c r="C67" s="50"/>
      <c r="D67" s="50"/>
      <c r="E67" s="50"/>
      <c r="F67" s="50"/>
    </row>
    <row r="68" spans="1:6" ht="15.6" x14ac:dyDescent="0.3">
      <c r="A68" s="39" t="s">
        <v>178</v>
      </c>
      <c r="B68" s="50"/>
      <c r="C68" s="50"/>
      <c r="D68" s="50"/>
      <c r="E68" s="50"/>
      <c r="F68" s="50"/>
    </row>
    <row r="69" spans="1:6" ht="15.6" x14ac:dyDescent="0.3">
      <c r="A69" s="37" t="s">
        <v>129</v>
      </c>
      <c r="B69" s="21">
        <f>B54</f>
        <v>1513.1999999999998</v>
      </c>
      <c r="C69" s="38"/>
      <c r="D69" s="21">
        <f>D54</f>
        <v>34303.981616199999</v>
      </c>
      <c r="E69" s="50"/>
      <c r="F69" s="50"/>
    </row>
    <row r="70" spans="1:6" ht="15.6" x14ac:dyDescent="0.3">
      <c r="A70" s="37" t="s">
        <v>127</v>
      </c>
      <c r="B70" s="38">
        <f>Seuils!J61</f>
        <v>209</v>
      </c>
      <c r="C70" s="38"/>
      <c r="D70" s="38">
        <f>Seuils!K61</f>
        <v>0</v>
      </c>
      <c r="E70" s="50"/>
      <c r="F70" s="50"/>
    </row>
    <row r="71" spans="1:6" ht="15.6" x14ac:dyDescent="0.3">
      <c r="A71" s="37" t="s">
        <v>126</v>
      </c>
      <c r="B71" s="21">
        <f>B69+B70</f>
        <v>1722.1999999999998</v>
      </c>
      <c r="C71" s="38"/>
      <c r="D71" s="21">
        <f>D69+D70</f>
        <v>34303.981616199999</v>
      </c>
      <c r="E71" s="50"/>
      <c r="F71" s="50"/>
    </row>
    <row r="72" spans="1:6" ht="15.6" x14ac:dyDescent="0.3">
      <c r="A72" s="50"/>
      <c r="B72" s="38"/>
      <c r="C72" s="38"/>
      <c r="D72" s="38"/>
      <c r="E72" s="50"/>
      <c r="F72" s="50"/>
    </row>
    <row r="73" spans="1:6" ht="15.6" x14ac:dyDescent="0.3">
      <c r="A73" s="37" t="s">
        <v>128</v>
      </c>
      <c r="B73" s="21">
        <f>D71-B71</f>
        <v>32581.781616199998</v>
      </c>
      <c r="C73" s="54">
        <f>1-B73/D73</f>
        <v>0.17867625339048498</v>
      </c>
      <c r="D73" s="21">
        <f>D57</f>
        <v>39669.839999999997</v>
      </c>
      <c r="E73" s="50"/>
      <c r="F73" s="50"/>
    </row>
    <row r="74" spans="1:6" x14ac:dyDescent="0.3">
      <c r="A74" s="50"/>
      <c r="B74" s="50"/>
      <c r="C74" s="50"/>
      <c r="D74" s="50"/>
      <c r="E74" s="50"/>
    </row>
    <row r="75" spans="1:6" ht="15" thickBot="1" x14ac:dyDescent="0.35">
      <c r="A75" s="50"/>
      <c r="B75" s="50"/>
      <c r="C75" s="50"/>
      <c r="D75" s="50"/>
      <c r="E75" s="50"/>
    </row>
    <row r="76" spans="1:6" ht="16.2" thickBot="1" x14ac:dyDescent="0.35">
      <c r="A76" s="55" t="s">
        <v>56</v>
      </c>
      <c r="B76" s="56" t="s">
        <v>57</v>
      </c>
      <c r="C76" s="57"/>
      <c r="D76" s="58" t="s">
        <v>42</v>
      </c>
      <c r="E76" s="285" t="s">
        <v>234</v>
      </c>
    </row>
    <row r="77" spans="1:6" ht="15.6" x14ac:dyDescent="0.3">
      <c r="A77" s="59" t="s">
        <v>88</v>
      </c>
      <c r="B77" s="60">
        <f>D77</f>
        <v>0.42499999999999999</v>
      </c>
      <c r="C77" s="61"/>
      <c r="D77" s="15">
        <f>IF(B8&gt;Seuils!A9,Seuils!E9+Seuils!K9,IF(B8&gt;Seuils!I9,Seuils!E8+Seuils!K9,IF(B8&gt;Seuils!A8,Seuils!E8+Seuils!K8,IF(AND(D8&gt;Seuils!J56/90%,B8&gt;Seuils!A7),37.1%,IF(AND(B4=2,D8&gt;Seuils!J56/90%,B8&lt;Seuils!I7),28.5%,IF(AND(B4=2,D8&gt;Seuils!J56/90%,B8&lt;Seuils!A7),Seuils!K7+Seuils!E6+1%,IF(AND(B4=2,D8&gt;Seuils!D56/90%,B8&lt;Seuils!A7),35%,IF(AND(B4=2,D8&lt;27000),35%,IF(AND(B4=2,D8&lt;32500),45%,IF(AND(B4=2,D8&lt;36000),50%,IF(AND(B4=2,D8&lt;41500),58%,IF(AND(B4=2,D8&lt;47000),45%,IF(AND(B4=1,B8&gt;Seuils!J56/95%),Seuils!E7+Seuils!K7,IF(AND(B4=1,B8&gt;Seuils!D56/95%),44%,IF(AND(B4=1,B8&gt;Seuils!D55/90%),42.5%,IF(AND(B4=1,B8&gt;Seuils!J55/90%),37.5%,IF(AND(B4=1,B8&lt;Seuils!D12+Seuils!D19),30%,IF(AND(B4=1,B8&lt;Seuils!O32),44%,IF(AND(B4=1,B8&lt;Seuils!B277/90%),58%,IF(AND(B4=1,B8&lt;Seuils!O41/90%),37%,IF(AND(B4=1,B8&lt;Seuils!J16),28.5%,IF(AND(B4=1,B8&lt;Seuils!J16/90%),37.5%,IF(AND(B4=2,D8&gt;Seuils!J55+2410),44%,28.5%+10%)))))))))))))))))))))))</f>
        <v>0.42499999999999999</v>
      </c>
      <c r="E77" s="288">
        <f>D77</f>
        <v>0.42499999999999999</v>
      </c>
    </row>
    <row r="78" spans="1:6" ht="15.6" x14ac:dyDescent="0.3">
      <c r="A78" s="62" t="s">
        <v>58</v>
      </c>
      <c r="B78" s="63">
        <f>B80</f>
        <v>11029.137296391424</v>
      </c>
      <c r="C78" s="61"/>
      <c r="D78" s="64">
        <f>+D80/(1-D77)</f>
        <v>19181.108341550302</v>
      </c>
      <c r="E78" s="289">
        <f>PMT(E82,E81,,-E83)</f>
        <v>0</v>
      </c>
    </row>
    <row r="79" spans="1:6" ht="15.6" x14ac:dyDescent="0.3">
      <c r="A79" s="62" t="s">
        <v>83</v>
      </c>
      <c r="B79" s="65"/>
      <c r="C79" s="61"/>
      <c r="D79" s="64">
        <f>+D78*D77</f>
        <v>8151.971045158878</v>
      </c>
      <c r="E79" s="286">
        <f>+E78*E77</f>
        <v>0</v>
      </c>
    </row>
    <row r="80" spans="1:6" ht="15.6" x14ac:dyDescent="0.3">
      <c r="A80" s="62" t="s">
        <v>59</v>
      </c>
      <c r="B80" s="66">
        <f>PMT(D82,D81,,-Seuils!I293)</f>
        <v>11029.137296391424</v>
      </c>
      <c r="C80" s="61"/>
      <c r="D80" s="67">
        <f>B80</f>
        <v>11029.137296391424</v>
      </c>
      <c r="E80" s="287">
        <f>E78-E79</f>
        <v>0</v>
      </c>
    </row>
    <row r="81" spans="1:10" ht="15.6" x14ac:dyDescent="0.3">
      <c r="A81" s="62" t="s">
        <v>85</v>
      </c>
      <c r="B81" s="12">
        <f>' Épargne nécessaire'!E4</f>
        <v>15</v>
      </c>
      <c r="C81" s="68"/>
      <c r="D81" s="69">
        <f>B81</f>
        <v>15</v>
      </c>
      <c r="E81" s="290">
        <f>B81</f>
        <v>15</v>
      </c>
    </row>
    <row r="82" spans="1:10" ht="15.6" x14ac:dyDescent="0.3">
      <c r="A82" s="70" t="s">
        <v>86</v>
      </c>
      <c r="B82" s="13">
        <f>' Épargne nécessaire'!D23</f>
        <v>5.0999999999999997E-2</v>
      </c>
      <c r="C82" s="68"/>
      <c r="D82" s="71">
        <f>B82</f>
        <v>5.0999999999999997E-2</v>
      </c>
      <c r="E82" s="288">
        <f>B82</f>
        <v>5.0999999999999997E-2</v>
      </c>
    </row>
    <row r="83" spans="1:10" ht="16.2" thickBot="1" x14ac:dyDescent="0.35">
      <c r="A83" s="72" t="s">
        <v>60</v>
      </c>
      <c r="B83" s="35">
        <f>FV(B82,B81,-B78)</f>
        <v>239792.03562756503</v>
      </c>
      <c r="C83" s="73"/>
      <c r="D83" s="74">
        <f>FV(D82,D81,-D78)</f>
        <v>417029.62717837392</v>
      </c>
      <c r="E83" s="291">
        <f>B19</f>
        <v>0</v>
      </c>
    </row>
    <row r="84" spans="1:10" x14ac:dyDescent="0.3">
      <c r="A84" s="50"/>
      <c r="B84" s="50"/>
      <c r="C84" s="50"/>
      <c r="D84" s="50"/>
      <c r="E84" s="50"/>
    </row>
    <row r="85" spans="1:10" x14ac:dyDescent="0.3">
      <c r="A85" s="50"/>
      <c r="B85" s="50"/>
      <c r="C85" s="50"/>
      <c r="D85" s="50"/>
      <c r="E85" s="50"/>
    </row>
    <row r="86" spans="1:10" ht="15.6" x14ac:dyDescent="0.3">
      <c r="A86" s="39" t="s">
        <v>61</v>
      </c>
      <c r="B86" s="22">
        <f>B83</f>
        <v>239792.03562756503</v>
      </c>
      <c r="C86" s="38"/>
      <c r="D86" s="22">
        <f>D83</f>
        <v>417029.62717837392</v>
      </c>
      <c r="E86" s="50"/>
      <c r="F86" s="294">
        <f>E83</f>
        <v>0</v>
      </c>
    </row>
    <row r="87" spans="1:10" ht="15.6" x14ac:dyDescent="0.3">
      <c r="A87" s="37" t="s">
        <v>163</v>
      </c>
      <c r="B87" s="14">
        <f>Seuils!H299</f>
        <v>1.4591687041564771E-2</v>
      </c>
      <c r="C87" s="38"/>
      <c r="D87" s="75">
        <f>B87</f>
        <v>1.4591687041564771E-2</v>
      </c>
      <c r="E87" s="50"/>
      <c r="F87" s="96">
        <f>D87</f>
        <v>1.4591687041564771E-2</v>
      </c>
    </row>
    <row r="88" spans="1:10" ht="16.2" thickBot="1" x14ac:dyDescent="0.35">
      <c r="A88" s="38" t="s">
        <v>63</v>
      </c>
      <c r="B88" s="76">
        <f>IF('Optimisation retraite'!B13+'Optimisation retraite'!C13=0,Seuils!I292,Seuils!H347)</f>
        <v>9927.0487290000056</v>
      </c>
      <c r="C88" s="77" t="s">
        <v>100</v>
      </c>
      <c r="D88" s="76">
        <f>D57</f>
        <v>39669.839999999997</v>
      </c>
      <c r="E88" s="77" t="s">
        <v>100</v>
      </c>
      <c r="F88" s="294">
        <f>D88</f>
        <v>39669.839999999997</v>
      </c>
    </row>
    <row r="89" spans="1:10" ht="16.8" thickTop="1" thickBot="1" x14ac:dyDescent="0.35">
      <c r="A89" s="37" t="s">
        <v>62</v>
      </c>
      <c r="B89" s="293">
        <f>NPER(B87,B88,-B86,,1)</f>
        <v>29.461701900493281</v>
      </c>
      <c r="C89" s="79">
        <f>64+B89</f>
        <v>93.461701900493281</v>
      </c>
      <c r="D89" s="78">
        <f>NPER(D87,D88,-D86,,1)</f>
        <v>11.315481571886053</v>
      </c>
      <c r="E89" s="79">
        <f>64+D89</f>
        <v>75.315481571886053</v>
      </c>
      <c r="F89" s="295">
        <f>NPER(F87,F88,-F86,,1)</f>
        <v>0</v>
      </c>
    </row>
    <row r="90" spans="1:10" ht="16.2" thickTop="1" x14ac:dyDescent="0.3">
      <c r="A90" s="37" t="s">
        <v>64</v>
      </c>
      <c r="B90" s="76">
        <f>C120</f>
        <v>14462.085635328287</v>
      </c>
      <c r="C90" s="38"/>
      <c r="D90" s="76">
        <f>E120</f>
        <v>-754147.34590295283</v>
      </c>
      <c r="E90" s="50"/>
      <c r="G90" s="50"/>
      <c r="H90" s="50"/>
      <c r="I90" s="50"/>
    </row>
    <row r="91" spans="1:10" ht="15.6" x14ac:dyDescent="0.3">
      <c r="A91" s="37"/>
      <c r="B91" s="22" t="s">
        <v>238</v>
      </c>
      <c r="C91" s="296" t="s">
        <v>239</v>
      </c>
      <c r="D91" s="22" t="s">
        <v>237</v>
      </c>
      <c r="E91" s="296" t="s">
        <v>240</v>
      </c>
      <c r="G91" s="86" t="s">
        <v>65</v>
      </c>
      <c r="H91" s="86" t="s">
        <v>57</v>
      </c>
      <c r="I91" s="86" t="s">
        <v>45</v>
      </c>
      <c r="J91" s="86" t="s">
        <v>236</v>
      </c>
    </row>
    <row r="92" spans="1:10" ht="15.6" x14ac:dyDescent="0.3">
      <c r="A92" s="80" t="s">
        <v>65</v>
      </c>
      <c r="B92" s="38"/>
      <c r="C92" s="81">
        <f>B83</f>
        <v>239792.03562756503</v>
      </c>
      <c r="D92" s="38"/>
      <c r="E92" s="81">
        <f>D83</f>
        <v>417029.62717837392</v>
      </c>
      <c r="F92" s="82">
        <f>E83</f>
        <v>0</v>
      </c>
      <c r="G92" s="50"/>
      <c r="H92" s="87">
        <f>C92</f>
        <v>239792.03562756503</v>
      </c>
      <c r="I92" s="87">
        <f>E92</f>
        <v>417029.62717837392</v>
      </c>
      <c r="J92" s="292">
        <f>F92</f>
        <v>0</v>
      </c>
    </row>
    <row r="93" spans="1:10" ht="15.6" x14ac:dyDescent="0.3">
      <c r="A93" s="38">
        <v>65</v>
      </c>
      <c r="B93" s="81">
        <f t="shared" ref="B93:B122" si="2">$B$88</f>
        <v>9927.0487290000056</v>
      </c>
      <c r="C93" s="82">
        <f>(C92-B93)*(1+$B$87)</f>
        <v>233219.10484920227</v>
      </c>
      <c r="D93" s="81">
        <f t="shared" ref="D93:D122" si="3">$D$88</f>
        <v>39669.839999999997</v>
      </c>
      <c r="E93" s="82">
        <f>(E92-D93)*(1+$B$87)</f>
        <v>382866.10309495224</v>
      </c>
      <c r="F93" s="82">
        <f>(F92-$D$88)*(1+$B$87)</f>
        <v>-40248.689890268943</v>
      </c>
      <c r="G93" s="50">
        <f>A93</f>
        <v>65</v>
      </c>
      <c r="H93" s="88">
        <f>C93</f>
        <v>233219.10484920227</v>
      </c>
      <c r="I93" s="88">
        <f>E93</f>
        <v>382866.10309495224</v>
      </c>
      <c r="J93" s="292">
        <f t="shared" ref="J93:J122" si="4">F93</f>
        <v>-40248.689890268943</v>
      </c>
    </row>
    <row r="94" spans="1:10" ht="15.6" x14ac:dyDescent="0.3">
      <c r="A94" s="38">
        <f>A93+1</f>
        <v>66</v>
      </c>
      <c r="B94" s="81">
        <f t="shared" si="2"/>
        <v>9927.0487290000056</v>
      </c>
      <c r="C94" s="82">
        <f t="shared" ref="C94:C122" si="5">(C93-B94)*(1+$B$87)</f>
        <v>226550.26392197577</v>
      </c>
      <c r="D94" s="81">
        <f t="shared" si="3"/>
        <v>39669.839999999997</v>
      </c>
      <c r="E94" s="82">
        <f t="shared" ref="E94:E122" si="6">(E93-D94)*(1+$B$87)</f>
        <v>348204.0755598683</v>
      </c>
      <c r="F94" s="82">
        <f t="shared" ref="F94:F122" si="7">(F93-$D$88)*(1+$B$87)</f>
        <v>-81084.676067249689</v>
      </c>
      <c r="G94" s="50">
        <f t="shared" ref="G94:G122" si="8">A94</f>
        <v>66</v>
      </c>
      <c r="H94" s="88">
        <f t="shared" ref="H94:H122" si="9">C94</f>
        <v>226550.26392197577</v>
      </c>
      <c r="I94" s="88">
        <f t="shared" ref="I94:I122" si="10">E94</f>
        <v>348204.0755598683</v>
      </c>
      <c r="J94" s="292">
        <f t="shared" si="4"/>
        <v>-81084.676067249689</v>
      </c>
    </row>
    <row r="95" spans="1:10" ht="15.6" x14ac:dyDescent="0.3">
      <c r="A95" s="38">
        <f t="shared" ref="A95:A122" si="11">A94+1</f>
        <v>67</v>
      </c>
      <c r="B95" s="81">
        <f t="shared" si="2"/>
        <v>9927.0487290000056</v>
      </c>
      <c r="C95" s="82">
        <f t="shared" si="5"/>
        <v>219784.11335500921</v>
      </c>
      <c r="D95" s="81">
        <f t="shared" si="3"/>
        <v>39669.839999999997</v>
      </c>
      <c r="E95" s="82">
        <f t="shared" si="6"/>
        <v>313036.27056676632</v>
      </c>
      <c r="F95" s="82">
        <f t="shared" si="7"/>
        <v>-122516.5281745586</v>
      </c>
      <c r="G95" s="50">
        <f t="shared" si="8"/>
        <v>67</v>
      </c>
      <c r="H95" s="88">
        <f t="shared" si="9"/>
        <v>219784.11335500921</v>
      </c>
      <c r="I95" s="88">
        <f t="shared" si="10"/>
        <v>313036.27056676632</v>
      </c>
      <c r="J95" s="292">
        <f t="shared" si="4"/>
        <v>-122516.5281745586</v>
      </c>
    </row>
    <row r="96" spans="1:10" ht="15.6" x14ac:dyDescent="0.3">
      <c r="A96" s="38">
        <f t="shared" si="11"/>
        <v>68</v>
      </c>
      <c r="B96" s="81">
        <f t="shared" si="2"/>
        <v>9927.0487290000056</v>
      </c>
      <c r="C96" s="82">
        <f t="shared" si="5"/>
        <v>212919.23323649337</v>
      </c>
      <c r="D96" s="81">
        <f t="shared" si="3"/>
        <v>39669.839999999997</v>
      </c>
      <c r="E96" s="82">
        <f t="shared" si="6"/>
        <v>277355.3079692662</v>
      </c>
      <c r="F96" s="82">
        <f t="shared" si="7"/>
        <v>-164552.94090136976</v>
      </c>
      <c r="G96" s="50">
        <f t="shared" si="8"/>
        <v>68</v>
      </c>
      <c r="H96" s="88">
        <f t="shared" si="9"/>
        <v>212919.23323649337</v>
      </c>
      <c r="I96" s="88">
        <f t="shared" si="10"/>
        <v>277355.3079692662</v>
      </c>
      <c r="J96" s="292">
        <f t="shared" si="4"/>
        <v>-164552.94090136976</v>
      </c>
    </row>
    <row r="97" spans="1:10" ht="15.6" x14ac:dyDescent="0.3">
      <c r="A97" s="38">
        <f t="shared" si="11"/>
        <v>69</v>
      </c>
      <c r="B97" s="81">
        <f t="shared" si="2"/>
        <v>9927.0487290000056</v>
      </c>
      <c r="C97" s="82">
        <f t="shared" si="5"/>
        <v>205954.18293571027</v>
      </c>
      <c r="D97" s="81">
        <f t="shared" si="3"/>
        <v>39669.839999999997</v>
      </c>
      <c r="E97" s="82">
        <f t="shared" si="6"/>
        <v>241153.69993220159</v>
      </c>
      <c r="F97" s="82">
        <f t="shared" si="7"/>
        <v>-207202.73580704059</v>
      </c>
      <c r="G97" s="50">
        <f t="shared" si="8"/>
        <v>69</v>
      </c>
      <c r="H97" s="88">
        <f t="shared" si="9"/>
        <v>205954.18293571027</v>
      </c>
      <c r="I97" s="88">
        <f t="shared" si="10"/>
        <v>241153.69993220159</v>
      </c>
      <c r="J97" s="292">
        <f t="shared" si="4"/>
        <v>-207202.73580704059</v>
      </c>
    </row>
    <row r="98" spans="1:10" ht="15.6" x14ac:dyDescent="0.3">
      <c r="A98" s="38">
        <f t="shared" si="11"/>
        <v>70</v>
      </c>
      <c r="B98" s="81">
        <f t="shared" si="2"/>
        <v>9927.0487290000056</v>
      </c>
      <c r="C98" s="82">
        <f t="shared" si="5"/>
        <v>198887.50080070939</v>
      </c>
      <c r="D98" s="81">
        <f t="shared" si="3"/>
        <v>39669.839999999997</v>
      </c>
      <c r="E98" s="82">
        <f t="shared" si="6"/>
        <v>204423.84936025876</v>
      </c>
      <c r="F98" s="82">
        <f t="shared" si="7"/>
        <v>-250474.86317236189</v>
      </c>
      <c r="G98" s="50">
        <f t="shared" si="8"/>
        <v>70</v>
      </c>
      <c r="H98" s="88">
        <f t="shared" si="9"/>
        <v>198887.50080070939</v>
      </c>
      <c r="I98" s="88">
        <f t="shared" si="10"/>
        <v>204423.84936025876</v>
      </c>
      <c r="J98" s="292">
        <f t="shared" si="4"/>
        <v>-250474.86317236189</v>
      </c>
    </row>
    <row r="99" spans="1:10" ht="15.6" x14ac:dyDescent="0.3">
      <c r="A99" s="38">
        <f t="shared" si="11"/>
        <v>71</v>
      </c>
      <c r="B99" s="81">
        <f t="shared" si="2"/>
        <v>9927.0487290000056</v>
      </c>
      <c r="C99" s="82">
        <f t="shared" si="5"/>
        <v>191717.70385157235</v>
      </c>
      <c r="D99" s="81">
        <f t="shared" si="3"/>
        <v>39669.839999999997</v>
      </c>
      <c r="E99" s="82">
        <f t="shared" si="6"/>
        <v>167158.04830368669</v>
      </c>
      <c r="F99" s="82">
        <f t="shared" si="7"/>
        <v>-294378.4038778207</v>
      </c>
      <c r="G99" s="50">
        <f t="shared" si="8"/>
        <v>71</v>
      </c>
      <c r="H99" s="88">
        <f t="shared" si="9"/>
        <v>191717.70385157235</v>
      </c>
      <c r="I99" s="88">
        <f t="shared" si="10"/>
        <v>167158.04830368669</v>
      </c>
      <c r="J99" s="292">
        <f t="shared" si="4"/>
        <v>-294378.4038778207</v>
      </c>
    </row>
    <row r="100" spans="1:10" ht="15.6" x14ac:dyDescent="0.3">
      <c r="A100" s="38">
        <f t="shared" si="11"/>
        <v>72</v>
      </c>
      <c r="B100" s="81">
        <f t="shared" si="2"/>
        <v>9927.0487290000056</v>
      </c>
      <c r="C100" s="82">
        <f t="shared" si="5"/>
        <v>184443.28746920195</v>
      </c>
      <c r="D100" s="81">
        <f t="shared" si="3"/>
        <v>39669.839999999997</v>
      </c>
      <c r="E100" s="82">
        <f t="shared" si="6"/>
        <v>129348.47634074392</v>
      </c>
      <c r="F100" s="82">
        <f t="shared" si="7"/>
        <v>-338922.57130927016</v>
      </c>
      <c r="G100" s="50">
        <f t="shared" si="8"/>
        <v>72</v>
      </c>
      <c r="H100" s="88">
        <f t="shared" si="9"/>
        <v>184443.28746920195</v>
      </c>
      <c r="I100" s="88">
        <f t="shared" si="10"/>
        <v>129348.47634074392</v>
      </c>
      <c r="J100" s="292">
        <f t="shared" si="4"/>
        <v>-338922.57130927016</v>
      </c>
    </row>
    <row r="101" spans="1:10" ht="15.6" x14ac:dyDescent="0.3">
      <c r="A101" s="38">
        <f t="shared" si="11"/>
        <v>73</v>
      </c>
      <c r="B101" s="81">
        <f t="shared" si="2"/>
        <v>9927.0487290000056</v>
      </c>
      <c r="C101" s="82">
        <f t="shared" si="5"/>
        <v>177062.72507956999</v>
      </c>
      <c r="D101" s="81">
        <f t="shared" si="3"/>
        <v>39669.839999999997</v>
      </c>
      <c r="E101" s="82">
        <f t="shared" si="6"/>
        <v>90987.198936542351</v>
      </c>
      <c r="F101" s="82">
        <f t="shared" si="7"/>
        <v>-384116.7132914064</v>
      </c>
      <c r="G101" s="50">
        <f t="shared" si="8"/>
        <v>73</v>
      </c>
      <c r="H101" s="88">
        <f t="shared" si="9"/>
        <v>177062.72507956999</v>
      </c>
      <c r="I101" s="88">
        <f t="shared" si="10"/>
        <v>90987.198936542351</v>
      </c>
      <c r="J101" s="292">
        <f t="shared" si="4"/>
        <v>-384116.7132914064</v>
      </c>
    </row>
    <row r="102" spans="1:10" ht="15.6" x14ac:dyDescent="0.3">
      <c r="A102" s="38">
        <f t="shared" si="11"/>
        <v>74</v>
      </c>
      <c r="B102" s="81">
        <f t="shared" si="2"/>
        <v>9927.0487290000056</v>
      </c>
      <c r="C102" s="82">
        <f t="shared" si="5"/>
        <v>169574.46783335778</v>
      </c>
      <c r="D102" s="81">
        <f t="shared" si="3"/>
        <v>39669.839999999997</v>
      </c>
      <c r="E102" s="82">
        <f t="shared" si="6"/>
        <v>52066.165777944028</v>
      </c>
      <c r="F102" s="82">
        <f t="shared" si="7"/>
        <v>-429970.31404945796</v>
      </c>
      <c r="G102" s="50">
        <f t="shared" si="8"/>
        <v>74</v>
      </c>
      <c r="H102" s="88">
        <f t="shared" si="9"/>
        <v>169574.46783335778</v>
      </c>
      <c r="I102" s="88">
        <f t="shared" si="10"/>
        <v>52066.165777944028</v>
      </c>
      <c r="J102" s="292">
        <f t="shared" si="4"/>
        <v>-429970.31404945796</v>
      </c>
    </row>
    <row r="103" spans="1:10" ht="15.6" x14ac:dyDescent="0.3">
      <c r="A103" s="38">
        <f t="shared" si="11"/>
        <v>75</v>
      </c>
      <c r="B103" s="81">
        <f t="shared" si="2"/>
        <v>9927.0487290000056</v>
      </c>
      <c r="C103" s="82">
        <f t="shared" si="5"/>
        <v>161976.94428092209</v>
      </c>
      <c r="D103" s="81">
        <f t="shared" si="3"/>
        <v>39669.839999999997</v>
      </c>
      <c r="E103" s="82">
        <f t="shared" si="6"/>
        <v>12577.209084161073</v>
      </c>
      <c r="F103" s="82">
        <f t="shared" si="7"/>
        <v>-476492.99619949993</v>
      </c>
      <c r="G103" s="50">
        <f t="shared" si="8"/>
        <v>75</v>
      </c>
      <c r="H103" s="88">
        <f t="shared" si="9"/>
        <v>161976.94428092209</v>
      </c>
      <c r="I103" s="88">
        <f t="shared" si="10"/>
        <v>12577.209084161073</v>
      </c>
      <c r="J103" s="292">
        <f t="shared" si="4"/>
        <v>-476492.99619949993</v>
      </c>
    </row>
    <row r="104" spans="1:10" ht="15.6" x14ac:dyDescent="0.3">
      <c r="A104" s="38">
        <f t="shared" si="11"/>
        <v>76</v>
      </c>
      <c r="B104" s="81">
        <f t="shared" si="2"/>
        <v>9927.0487290000056</v>
      </c>
      <c r="C104" s="82">
        <f t="shared" si="5"/>
        <v>154268.56004251834</v>
      </c>
      <c r="D104" s="81">
        <f t="shared" si="3"/>
        <v>39669.839999999997</v>
      </c>
      <c r="E104" s="82">
        <f t="shared" si="6"/>
        <v>-27487.958107295468</v>
      </c>
      <c r="F104" s="82">
        <f t="shared" si="7"/>
        <v>-523694.52276780945</v>
      </c>
      <c r="G104" s="50">
        <f t="shared" si="8"/>
        <v>76</v>
      </c>
      <c r="H104" s="88">
        <f t="shared" si="9"/>
        <v>154268.56004251834</v>
      </c>
      <c r="I104" s="88">
        <f t="shared" si="10"/>
        <v>-27487.958107295468</v>
      </c>
      <c r="J104" s="292">
        <f t="shared" si="4"/>
        <v>-523694.52276780945</v>
      </c>
    </row>
    <row r="105" spans="1:10" ht="15.6" x14ac:dyDescent="0.3">
      <c r="A105" s="38">
        <f t="shared" si="11"/>
        <v>77</v>
      </c>
      <c r="B105" s="81">
        <f t="shared" si="2"/>
        <v>9927.0487290000056</v>
      </c>
      <c r="C105" s="82">
        <f t="shared" si="5"/>
        <v>146447.69747371168</v>
      </c>
      <c r="D105" s="81">
        <f t="shared" si="3"/>
        <v>39669.839999999997</v>
      </c>
      <c r="E105" s="82">
        <f t="shared" si="6"/>
        <v>-68137.743679677718</v>
      </c>
      <c r="F105" s="82">
        <f t="shared" si="7"/>
        <v>-571584.79923968785</v>
      </c>
      <c r="G105" s="50">
        <f t="shared" si="8"/>
        <v>77</v>
      </c>
      <c r="H105" s="88">
        <f t="shared" si="9"/>
        <v>146447.69747371168</v>
      </c>
      <c r="I105" s="88">
        <f t="shared" si="10"/>
        <v>-68137.743679677718</v>
      </c>
      <c r="J105" s="292">
        <f t="shared" si="4"/>
        <v>-571584.79923968785</v>
      </c>
    </row>
    <row r="106" spans="1:10" ht="15.6" x14ac:dyDescent="0.3">
      <c r="A106" s="38">
        <f t="shared" si="11"/>
        <v>78</v>
      </c>
      <c r="B106" s="81">
        <f t="shared" si="2"/>
        <v>9927.0487290000056</v>
      </c>
      <c r="C106" s="82">
        <f t="shared" si="5"/>
        <v>138512.71532590591</v>
      </c>
      <c r="D106" s="81">
        <f t="shared" si="3"/>
        <v>39669.839999999997</v>
      </c>
      <c r="E106" s="82">
        <f t="shared" si="6"/>
        <v>-109380.67820143887</v>
      </c>
      <c r="F106" s="82">
        <f t="shared" si="7"/>
        <v>-620173.87563817797</v>
      </c>
      <c r="G106" s="50">
        <f t="shared" si="8"/>
        <v>78</v>
      </c>
      <c r="H106" s="88">
        <f t="shared" si="9"/>
        <v>138512.71532590591</v>
      </c>
      <c r="I106" s="88">
        <f t="shared" si="10"/>
        <v>-109380.67820143887</v>
      </c>
      <c r="J106" s="292">
        <f t="shared" si="4"/>
        <v>-620173.87563817797</v>
      </c>
    </row>
    <row r="107" spans="1:10" ht="15.6" x14ac:dyDescent="0.3">
      <c r="A107" s="38">
        <f t="shared" si="11"/>
        <v>79</v>
      </c>
      <c r="B107" s="81">
        <f t="shared" si="2"/>
        <v>9927.0487290000056</v>
      </c>
      <c r="C107" s="82">
        <f t="shared" si="5"/>
        <v>130461.94840191895</v>
      </c>
      <c r="D107" s="81">
        <f t="shared" si="3"/>
        <v>39669.839999999997</v>
      </c>
      <c r="E107" s="82">
        <f t="shared" si="6"/>
        <v>-151225.41671641733</v>
      </c>
      <c r="F107" s="82">
        <f t="shared" si="7"/>
        <v>-669471.94863311353</v>
      </c>
      <c r="G107" s="50">
        <f t="shared" si="8"/>
        <v>79</v>
      </c>
      <c r="H107" s="88">
        <f t="shared" si="9"/>
        <v>130461.94840191895</v>
      </c>
      <c r="I107" s="88">
        <f t="shared" si="10"/>
        <v>-151225.41671641733</v>
      </c>
      <c r="J107" s="292">
        <f t="shared" si="4"/>
        <v>-669471.94863311353</v>
      </c>
    </row>
    <row r="108" spans="1:10" ht="15.6" x14ac:dyDescent="0.3">
      <c r="A108" s="38">
        <f t="shared" si="11"/>
        <v>80</v>
      </c>
      <c r="B108" s="81">
        <f t="shared" si="2"/>
        <v>9927.0487290000056</v>
      </c>
      <c r="C108" s="82">
        <f t="shared" si="5"/>
        <v>122293.70720653259</v>
      </c>
      <c r="D108" s="81">
        <f t="shared" si="3"/>
        <v>39669.839999999997</v>
      </c>
      <c r="E108" s="82">
        <f t="shared" si="6"/>
        <v>-193680.74056014244</v>
      </c>
      <c r="F108" s="82">
        <f t="shared" si="7"/>
        <v>-719489.36368094338</v>
      </c>
      <c r="G108" s="50">
        <f t="shared" si="8"/>
        <v>80</v>
      </c>
      <c r="H108" s="88">
        <f t="shared" si="9"/>
        <v>122293.70720653259</v>
      </c>
      <c r="I108" s="88">
        <f t="shared" si="10"/>
        <v>-193680.74056014244</v>
      </c>
      <c r="J108" s="292">
        <f t="shared" si="4"/>
        <v>-719489.36368094338</v>
      </c>
    </row>
    <row r="109" spans="1:10" ht="15.6" x14ac:dyDescent="0.3">
      <c r="A109" s="38">
        <f t="shared" si="11"/>
        <v>81</v>
      </c>
      <c r="B109" s="81">
        <f t="shared" si="2"/>
        <v>9927.0487290000056</v>
      </c>
      <c r="C109" s="82">
        <f t="shared" si="5"/>
        <v>114006.27759194313</v>
      </c>
      <c r="D109" s="81">
        <f t="shared" si="3"/>
        <v>39669.839999999997</v>
      </c>
      <c r="E109" s="82">
        <f t="shared" si="6"/>
        <v>-236755.55920264349</v>
      </c>
      <c r="F109" s="82">
        <f t="shared" si="7"/>
        <v>-770236.61719577922</v>
      </c>
      <c r="G109" s="50">
        <f t="shared" si="8"/>
        <v>81</v>
      </c>
      <c r="H109" s="88">
        <f t="shared" si="9"/>
        <v>114006.27759194313</v>
      </c>
      <c r="I109" s="88">
        <f t="shared" si="10"/>
        <v>-236755.55920264349</v>
      </c>
      <c r="J109" s="292">
        <f t="shared" si="4"/>
        <v>-770236.61719577922</v>
      </c>
    </row>
    <row r="110" spans="1:10" ht="15.6" x14ac:dyDescent="0.3">
      <c r="A110" s="38">
        <f t="shared" si="11"/>
        <v>82</v>
      </c>
      <c r="B110" s="81">
        <f t="shared" si="2"/>
        <v>9927.0487290000056</v>
      </c>
      <c r="C110" s="82">
        <f t="shared" si="5"/>
        <v>105597.92039803859</v>
      </c>
      <c r="D110" s="81">
        <f t="shared" si="3"/>
        <v>39669.839999999997</v>
      </c>
      <c r="E110" s="82">
        <f t="shared" si="6"/>
        <v>-280458.91211814806</v>
      </c>
      <c r="F110" s="82">
        <f t="shared" si="7"/>
        <v>-821724.3587521225</v>
      </c>
      <c r="G110" s="50">
        <f t="shared" si="8"/>
        <v>82</v>
      </c>
      <c r="H110" s="88">
        <f t="shared" si="9"/>
        <v>105597.92039803859</v>
      </c>
      <c r="I110" s="88">
        <f t="shared" si="10"/>
        <v>-280458.91211814806</v>
      </c>
      <c r="J110" s="292">
        <f t="shared" si="4"/>
        <v>-821724.3587521225</v>
      </c>
    </row>
    <row r="111" spans="1:10" ht="15.6" x14ac:dyDescent="0.3">
      <c r="A111" s="38">
        <f t="shared" si="11"/>
        <v>83</v>
      </c>
      <c r="B111" s="81">
        <f t="shared" si="2"/>
        <v>9927.0487290000056</v>
      </c>
      <c r="C111" s="82">
        <f t="shared" si="5"/>
        <v>97066.871087426902</v>
      </c>
      <c r="D111" s="81">
        <f t="shared" si="3"/>
        <v>39669.839999999997</v>
      </c>
      <c r="E111" s="82">
        <f t="shared" si="6"/>
        <v>-324799.97068206273</v>
      </c>
      <c r="F111" s="82">
        <f t="shared" si="7"/>
        <v>-873963.39331973286</v>
      </c>
      <c r="G111" s="50">
        <f t="shared" si="8"/>
        <v>83</v>
      </c>
      <c r="H111" s="88">
        <f t="shared" si="9"/>
        <v>97066.871087426902</v>
      </c>
      <c r="I111" s="88">
        <f t="shared" si="10"/>
        <v>-324799.97068206273</v>
      </c>
      <c r="J111" s="292">
        <f t="shared" si="4"/>
        <v>-873963.39331973286</v>
      </c>
    </row>
    <row r="112" spans="1:10" ht="15.6" x14ac:dyDescent="0.3">
      <c r="A112" s="38">
        <f t="shared" si="11"/>
        <v>84</v>
      </c>
      <c r="B112" s="81">
        <f t="shared" si="2"/>
        <v>9927.0487290000056</v>
      </c>
      <c r="C112" s="82">
        <f t="shared" si="5"/>
        <v>88411.339375138617</v>
      </c>
      <c r="D112" s="81">
        <f t="shared" si="3"/>
        <v>39669.839999999997</v>
      </c>
      <c r="E112" s="82">
        <f t="shared" si="6"/>
        <v>-369788.04009563377</v>
      </c>
      <c r="F112" s="82">
        <f t="shared" si="7"/>
        <v>-926964.68353110726</v>
      </c>
      <c r="G112" s="50">
        <f t="shared" si="8"/>
        <v>84</v>
      </c>
      <c r="H112" s="88">
        <f t="shared" si="9"/>
        <v>88411.339375138617</v>
      </c>
      <c r="I112" s="88">
        <f t="shared" si="10"/>
        <v>-369788.04009563377</v>
      </c>
      <c r="J112" s="292">
        <f t="shared" si="4"/>
        <v>-926964.68353110726</v>
      </c>
    </row>
    <row r="113" spans="1:10" ht="15.6" x14ac:dyDescent="0.3">
      <c r="A113" s="38">
        <f t="shared" si="11"/>
        <v>85</v>
      </c>
      <c r="B113" s="81">
        <f t="shared" si="2"/>
        <v>9927.0487290000056</v>
      </c>
      <c r="C113" s="82">
        <f t="shared" si="5"/>
        <v>79629.508852926287</v>
      </c>
      <c r="D113" s="81">
        <f t="shared" si="3"/>
        <v>39669.839999999997</v>
      </c>
      <c r="E113" s="82">
        <f t="shared" si="6"/>
        <v>-415432.56133869186</v>
      </c>
      <c r="F113" s="82">
        <f t="shared" si="7"/>
        <v>-980739.35198204522</v>
      </c>
      <c r="G113" s="50">
        <f t="shared" si="8"/>
        <v>85</v>
      </c>
      <c r="H113" s="88">
        <f t="shared" si="9"/>
        <v>79629.508852926287</v>
      </c>
      <c r="I113" s="88">
        <f t="shared" si="10"/>
        <v>-415432.56133869186</v>
      </c>
      <c r="J113" s="292">
        <f t="shared" si="4"/>
        <v>-980739.35198204522</v>
      </c>
    </row>
    <row r="114" spans="1:10" ht="15.6" x14ac:dyDescent="0.3">
      <c r="A114" s="38">
        <f t="shared" si="11"/>
        <v>86</v>
      </c>
      <c r="B114" s="81">
        <f t="shared" si="2"/>
        <v>9927.0487290000056</v>
      </c>
      <c r="C114" s="82">
        <f t="shared" si="5"/>
        <v>70719.536608081762</v>
      </c>
      <c r="D114" s="81">
        <f t="shared" si="3"/>
        <v>39669.839999999997</v>
      </c>
      <c r="E114" s="82">
        <f t="shared" si="6"/>
        <v>-461743.11315089063</v>
      </c>
      <c r="F114" s="82">
        <f t="shared" si="7"/>
        <v>-1035298.6835657832</v>
      </c>
      <c r="G114" s="50">
        <f t="shared" si="8"/>
        <v>86</v>
      </c>
      <c r="H114" s="88">
        <f t="shared" si="9"/>
        <v>70719.536608081762</v>
      </c>
      <c r="I114" s="88">
        <f t="shared" si="10"/>
        <v>-461743.11315089063</v>
      </c>
      <c r="J114" s="292">
        <f t="shared" si="4"/>
        <v>-1035298.6835657832</v>
      </c>
    </row>
    <row r="115" spans="1:10" ht="15.6" x14ac:dyDescent="0.3">
      <c r="A115" s="38">
        <f t="shared" si="11"/>
        <v>87</v>
      </c>
      <c r="B115" s="81">
        <f t="shared" si="2"/>
        <v>9927.0487290000056</v>
      </c>
      <c r="C115" s="82">
        <f t="shared" si="5"/>
        <v>61679.552836691444</v>
      </c>
      <c r="D115" s="81">
        <f t="shared" si="3"/>
        <v>39669.839999999997</v>
      </c>
      <c r="E115" s="82">
        <f t="shared" si="6"/>
        <v>-508729.4140418552</v>
      </c>
      <c r="F115" s="82">
        <f t="shared" si="7"/>
        <v>-1090654.1278411881</v>
      </c>
      <c r="G115" s="50">
        <f t="shared" si="8"/>
        <v>87</v>
      </c>
      <c r="H115" s="88">
        <f t="shared" si="9"/>
        <v>61679.552836691444</v>
      </c>
      <c r="I115" s="88">
        <f t="shared" si="10"/>
        <v>-508729.4140418552</v>
      </c>
      <c r="J115" s="292">
        <f t="shared" si="4"/>
        <v>-1090654.1278411881</v>
      </c>
    </row>
    <row r="116" spans="1:10" ht="15.6" x14ac:dyDescent="0.3">
      <c r="A116" s="38">
        <f t="shared" si="11"/>
        <v>88</v>
      </c>
      <c r="B116" s="81">
        <f t="shared" si="2"/>
        <v>9927.0487290000056</v>
      </c>
      <c r="C116" s="82">
        <f t="shared" si="5"/>
        <v>52507.660451248164</v>
      </c>
      <c r="D116" s="81">
        <f t="shared" si="3"/>
        <v>39669.839999999997</v>
      </c>
      <c r="E116" s="82">
        <f t="shared" si="6"/>
        <v>-556401.32433066156</v>
      </c>
      <c r="F116" s="82">
        <f t="shared" si="7"/>
        <v>-1146817.3014355064</v>
      </c>
      <c r="G116" s="50">
        <f t="shared" si="8"/>
        <v>88</v>
      </c>
      <c r="H116" s="88">
        <f t="shared" si="9"/>
        <v>52507.660451248164</v>
      </c>
      <c r="I116" s="88">
        <f t="shared" si="10"/>
        <v>-556401.32433066156</v>
      </c>
      <c r="J116" s="292">
        <f t="shared" si="4"/>
        <v>-1146817.3014355064</v>
      </c>
    </row>
    <row r="117" spans="1:10" ht="15.6" x14ac:dyDescent="0.3">
      <c r="A117" s="38">
        <f t="shared" si="11"/>
        <v>89</v>
      </c>
      <c r="B117" s="81">
        <f t="shared" si="2"/>
        <v>9927.0487290000056</v>
      </c>
      <c r="C117" s="82">
        <f t="shared" si="5"/>
        <v>43201.934682537583</v>
      </c>
      <c r="D117" s="81">
        <f t="shared" si="3"/>
        <v>39669.839999999997</v>
      </c>
      <c r="E117" s="82">
        <f t="shared" si="6"/>
        <v>-604768.84821507568</v>
      </c>
      <c r="F117" s="82">
        <f t="shared" si="7"/>
        <v>-1203799.9904821743</v>
      </c>
      <c r="G117" s="50">
        <f t="shared" si="8"/>
        <v>89</v>
      </c>
      <c r="H117" s="88">
        <f t="shared" si="9"/>
        <v>43201.934682537583</v>
      </c>
      <c r="I117" s="88">
        <f t="shared" si="10"/>
        <v>-604768.84821507568</v>
      </c>
      <c r="J117" s="292">
        <f t="shared" si="4"/>
        <v>-1203799.9904821743</v>
      </c>
    </row>
    <row r="118" spans="1:10" ht="15.6" x14ac:dyDescent="0.3">
      <c r="A118" s="38">
        <f t="shared" si="11"/>
        <v>90</v>
      </c>
      <c r="B118" s="81">
        <f t="shared" si="2"/>
        <v>9927.0487290000056</v>
      </c>
      <c r="C118" s="82">
        <f t="shared" si="5"/>
        <v>33760.422675715359</v>
      </c>
      <c r="D118" s="81">
        <f t="shared" si="3"/>
        <v>39669.839999999997</v>
      </c>
      <c r="E118" s="82">
        <f t="shared" si="6"/>
        <v>-653842.13587098662</v>
      </c>
      <c r="F118" s="82">
        <f t="shared" si="7"/>
        <v>-1261614.1530941979</v>
      </c>
      <c r="G118" s="50">
        <f t="shared" si="8"/>
        <v>90</v>
      </c>
      <c r="H118" s="88">
        <f t="shared" si="9"/>
        <v>33760.422675715359</v>
      </c>
      <c r="I118" s="88">
        <f t="shared" si="10"/>
        <v>-653842.13587098662</v>
      </c>
      <c r="J118" s="292">
        <f t="shared" si="4"/>
        <v>-1261614.1530941979</v>
      </c>
    </row>
    <row r="119" spans="1:10" ht="15.6" x14ac:dyDescent="0.3">
      <c r="A119" s="38">
        <f t="shared" si="11"/>
        <v>91</v>
      </c>
      <c r="B119" s="81">
        <f t="shared" si="2"/>
        <v>9927.0487290000056</v>
      </c>
      <c r="C119" s="82">
        <f t="shared" si="5"/>
        <v>24181.143080490408</v>
      </c>
      <c r="D119" s="81">
        <f t="shared" si="3"/>
        <v>39669.839999999997</v>
      </c>
      <c r="E119" s="82">
        <f t="shared" si="6"/>
        <v>-703631.48558247322</v>
      </c>
      <c r="F119" s="82">
        <f t="shared" si="7"/>
        <v>-1320271.9218736263</v>
      </c>
      <c r="G119" s="50">
        <f t="shared" si="8"/>
        <v>91</v>
      </c>
      <c r="H119" s="88">
        <f t="shared" si="9"/>
        <v>24181.143080490408</v>
      </c>
      <c r="I119" s="88">
        <f t="shared" si="10"/>
        <v>-703631.48558247322</v>
      </c>
      <c r="J119" s="292">
        <f t="shared" si="4"/>
        <v>-1320271.9218736263</v>
      </c>
    </row>
    <row r="120" spans="1:10" ht="15.6" x14ac:dyDescent="0.3">
      <c r="A120" s="38">
        <f t="shared" si="11"/>
        <v>92</v>
      </c>
      <c r="B120" s="81">
        <f t="shared" si="2"/>
        <v>9927.0487290000056</v>
      </c>
      <c r="C120" s="82">
        <f t="shared" si="5"/>
        <v>14462.085635328287</v>
      </c>
      <c r="D120" s="81">
        <f t="shared" si="3"/>
        <v>39669.839999999997</v>
      </c>
      <c r="E120" s="82">
        <f t="shared" si="6"/>
        <v>-754147.34590295283</v>
      </c>
      <c r="F120" s="82">
        <f t="shared" si="7"/>
        <v>-1379785.6064576406</v>
      </c>
      <c r="G120" s="50">
        <f t="shared" si="8"/>
        <v>92</v>
      </c>
      <c r="H120" s="88">
        <f t="shared" si="9"/>
        <v>14462.085635328287</v>
      </c>
      <c r="I120" s="88">
        <f t="shared" si="10"/>
        <v>-754147.34590295283</v>
      </c>
      <c r="J120" s="292">
        <f t="shared" si="4"/>
        <v>-1379785.6064576406</v>
      </c>
    </row>
    <row r="121" spans="1:10" ht="15.6" x14ac:dyDescent="0.3">
      <c r="A121" s="38">
        <f t="shared" si="11"/>
        <v>93</v>
      </c>
      <c r="B121" s="81">
        <f t="shared" si="2"/>
        <v>9927.0487290000056</v>
      </c>
      <c r="C121" s="82">
        <f t="shared" si="5"/>
        <v>4601.2107455873702</v>
      </c>
      <c r="D121" s="81">
        <f t="shared" si="3"/>
        <v>39669.839999999997</v>
      </c>
      <c r="E121" s="82">
        <f t="shared" si="6"/>
        <v>-805400.31784786435</v>
      </c>
      <c r="F121" s="82">
        <f t="shared" si="7"/>
        <v>-1440167.6961017952</v>
      </c>
      <c r="G121" s="50">
        <f t="shared" si="8"/>
        <v>93</v>
      </c>
      <c r="H121" s="88">
        <f t="shared" si="9"/>
        <v>4601.2107455873702</v>
      </c>
      <c r="I121" s="88">
        <f t="shared" si="10"/>
        <v>-805400.31784786435</v>
      </c>
      <c r="J121" s="292">
        <f t="shared" si="4"/>
        <v>-1440167.6961017952</v>
      </c>
    </row>
    <row r="122" spans="1:10" ht="15.6" x14ac:dyDescent="0.3">
      <c r="A122" s="38">
        <f t="shared" si="11"/>
        <v>94</v>
      </c>
      <c r="B122" s="81">
        <f t="shared" si="2"/>
        <v>9927.0487290000056</v>
      </c>
      <c r="C122" s="82">
        <f t="shared" si="5"/>
        <v>-5403.550944500671</v>
      </c>
      <c r="D122" s="81">
        <f t="shared" si="3"/>
        <v>39669.839999999997</v>
      </c>
      <c r="E122" s="82">
        <f t="shared" si="6"/>
        <v>-857401.15711934608</v>
      </c>
      <c r="F122" s="82">
        <f t="shared" si="7"/>
        <v>-1501430.8623009529</v>
      </c>
      <c r="G122" s="50">
        <f t="shared" si="8"/>
        <v>94</v>
      </c>
      <c r="H122" s="88">
        <f t="shared" si="9"/>
        <v>-5403.550944500671</v>
      </c>
      <c r="I122" s="88">
        <f t="shared" si="10"/>
        <v>-857401.15711934608</v>
      </c>
      <c r="J122" s="292">
        <f t="shared" si="4"/>
        <v>-1501430.8623009529</v>
      </c>
    </row>
  </sheetData>
  <sheetProtection algorithmName="SHA-512" hashValue="qqJjwheFTFBY0/o1Hv9dNFzWzT/ZRXusWzpUsWfzFW17tfdMsloU6Auo7+TgzrjzT0l6clo3Pg3JKGmqQnjhlg==" saltValue="l04leukpJC1BV2DqW7csyw==" spinCount="100000" sheet="1" objects="1" scenarios="1"/>
  <mergeCells count="8">
    <mergeCell ref="F48:L48"/>
    <mergeCell ref="F49:L49"/>
    <mergeCell ref="A1:E1"/>
    <mergeCell ref="K14:M14"/>
    <mergeCell ref="B23:C23"/>
    <mergeCell ref="D23:E23"/>
    <mergeCell ref="B31:C31"/>
    <mergeCell ref="D31:E3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AEB9F-14C9-4FDA-9B95-7ACC19AE8295}">
  <dimension ref="A1:M120"/>
  <sheetViews>
    <sheetView workbookViewId="0">
      <selection activeCell="C15" sqref="C15"/>
    </sheetView>
  </sheetViews>
  <sheetFormatPr baseColWidth="10" defaultRowHeight="14.4" x14ac:dyDescent="0.3"/>
  <cols>
    <col min="1" max="1" width="42.77734375" customWidth="1"/>
  </cols>
  <sheetData>
    <row r="1" spans="1:13" ht="21" x14ac:dyDescent="0.4">
      <c r="A1" s="591" t="s">
        <v>167</v>
      </c>
      <c r="B1" s="592"/>
      <c r="C1" s="592"/>
      <c r="D1" s="592"/>
      <c r="E1" s="592"/>
    </row>
    <row r="2" spans="1:13" ht="21" x14ac:dyDescent="0.4">
      <c r="A2" s="6"/>
    </row>
    <row r="3" spans="1:13" x14ac:dyDescent="0.3">
      <c r="B3" t="s">
        <v>67</v>
      </c>
      <c r="C3" t="s">
        <v>68</v>
      </c>
      <c r="D3" t="s">
        <v>69</v>
      </c>
      <c r="F3" s="50" t="s">
        <v>102</v>
      </c>
      <c r="G3" s="50"/>
    </row>
    <row r="4" spans="1:13" ht="15.6" x14ac:dyDescent="0.3">
      <c r="A4" s="1" t="s">
        <v>66</v>
      </c>
      <c r="B4" s="10">
        <f>'Optimisation retraite'!B4</f>
        <v>1</v>
      </c>
      <c r="C4" s="19"/>
      <c r="F4" s="50" t="s">
        <v>67</v>
      </c>
      <c r="G4" s="50" t="s">
        <v>103</v>
      </c>
    </row>
    <row r="5" spans="1:13" ht="15.6" x14ac:dyDescent="0.3">
      <c r="A5" s="1" t="s">
        <v>256</v>
      </c>
      <c r="B5" s="20">
        <f>'Optimisation retraite'!B5</f>
        <v>50</v>
      </c>
      <c r="C5" s="20">
        <f>'Optimisation retraite'!C5</f>
        <v>0</v>
      </c>
      <c r="D5" t="s">
        <v>69</v>
      </c>
      <c r="F5" s="50">
        <f>IF(B5&gt;=65,0,65-B5)</f>
        <v>15</v>
      </c>
      <c r="G5" s="50">
        <f>IF(B4=1,0,IF(C5&gt;=65,0,65-C5))</f>
        <v>0</v>
      </c>
      <c r="H5" s="305">
        <f>MAX(F5,G5)</f>
        <v>15</v>
      </c>
    </row>
    <row r="6" spans="1:13" ht="15.6" x14ac:dyDescent="0.3">
      <c r="A6" s="1" t="s">
        <v>266</v>
      </c>
      <c r="B6" s="20">
        <f>'Optimisation retraite'!B6</f>
        <v>65</v>
      </c>
      <c r="C6" s="20">
        <f>'Optimisation retraite'!C6</f>
        <v>0</v>
      </c>
      <c r="F6" s="50">
        <f>IF(B6&gt;=65,0,65-B6)</f>
        <v>0</v>
      </c>
      <c r="G6" s="50">
        <f>IF(B4=1,0,IF(C6&gt;=65,0,65-C6))</f>
        <v>0</v>
      </c>
      <c r="H6" s="305">
        <f>MAX(F6,G6)</f>
        <v>0</v>
      </c>
      <c r="I6">
        <f>ABS(B6-C6)</f>
        <v>65</v>
      </c>
    </row>
    <row r="7" spans="1:13" ht="16.2" thickBot="1" x14ac:dyDescent="0.35">
      <c r="A7" s="1" t="s">
        <v>378</v>
      </c>
      <c r="B7" s="20">
        <f>F10</f>
        <v>0</v>
      </c>
      <c r="C7" s="20">
        <f>G10</f>
        <v>125</v>
      </c>
      <c r="F7" s="50">
        <f>IF(B6&gt;=60,0,60-B6)</f>
        <v>0</v>
      </c>
      <c r="G7" s="50">
        <f>IF(C6&gt;=60,0,60-C6)</f>
        <v>60</v>
      </c>
      <c r="H7" s="305">
        <f>MAX(F7,G7)</f>
        <v>60</v>
      </c>
      <c r="I7">
        <f>MIN(B6:C6)</f>
        <v>0</v>
      </c>
    </row>
    <row r="8" spans="1:13" ht="16.2" thickBot="1" x14ac:dyDescent="0.35">
      <c r="A8" s="5" t="s">
        <v>78</v>
      </c>
      <c r="B8" s="11">
        <f>'Optimisation retraite'!B7</f>
        <v>50000</v>
      </c>
      <c r="C8" s="11">
        <f>'Optimisation retraite'!C7</f>
        <v>0</v>
      </c>
      <c r="D8" s="21">
        <f>SUM(B8:C8)</f>
        <v>50000</v>
      </c>
      <c r="E8" s="96"/>
      <c r="F8" s="85">
        <f>IF(AND(B8=6,B10&gt;0),F10/(F10+G10),B8/(B8+C8))</f>
        <v>1</v>
      </c>
      <c r="G8" s="85">
        <f>100%-F8</f>
        <v>0</v>
      </c>
      <c r="H8">
        <f>MAX(B6,C6)</f>
        <v>65</v>
      </c>
      <c r="I8" s="544">
        <f>IF(AND(B4=2,I6&gt;4),0,IF(B4=1,0,IF(I7&gt;64,0,IF(H8&gt;64,0,65-I10))))</f>
        <v>0</v>
      </c>
    </row>
    <row r="9" spans="1:13" ht="16.2" thickBot="1" x14ac:dyDescent="0.35">
      <c r="A9" s="5" t="s">
        <v>134</v>
      </c>
      <c r="B9" s="11">
        <f>IF($B$7&lt;65,0,IF($B$7=65,'Optimisation retraite'!B8,'Optimisation retraite'!B8*POWER(1+Seuils!$H$296,$B$7-64)))</f>
        <v>0</v>
      </c>
      <c r="C9" s="11">
        <f>IF($C$5&lt;65,0,IF($C$5=65,'Optimisation retraite'!C8,'Optimisation retraite'!C8*POWER(1+Seuils!$H$296,$C$5-64)))</f>
        <v>0</v>
      </c>
      <c r="D9" s="21"/>
      <c r="E9" s="1"/>
      <c r="F9" s="88" t="str">
        <f>IF(B8&gt;0," ",(B10*61600/80%)/(61600*25%*94.15%))</f>
        <v xml:space="preserve"> </v>
      </c>
      <c r="G9" s="88" t="str">
        <f>IF(OR(B4=1,C8&gt;0)," ",(C10*61600/80%)/(61600*25%*94.15%))</f>
        <v xml:space="preserve"> </v>
      </c>
      <c r="L9">
        <f>IF(AND(B4=1,C29&lt;Seuils!D55,'Optimisation retraite'!E29&lt;Seuils!D55),Seuils!D55,IF(AND(B4=1,C29&lt;Seuils!D55,'Optimisation retraite'!E29&gt;Seuils!D55),'Optimisation retraite'!E29+Seuils!E152+Seuils!H152,IF(AND(B4=1,'Optimisation retraite'!P9=0),Seuils!J7,IF('Optimal &lt; 65'!B4=1,'Optimisation retraite'!E29+Seuils!F108,IF(C29&gt;Seuils!I7*2,'Optimisation retraite'!E29+Seuils!E152+Seuils!H152,Seuils!I7*2)))))</f>
        <v>39669.839999999997</v>
      </c>
      <c r="M9" s="3">
        <f>L9/D8</f>
        <v>0.7933967999999999</v>
      </c>
    </row>
    <row r="10" spans="1:13" ht="16.2" thickBot="1" x14ac:dyDescent="0.35">
      <c r="A10" s="1" t="s">
        <v>101</v>
      </c>
      <c r="B10" s="11">
        <f>IF($B$5&lt;65,0,IF($B$5=65,'Optimisation retraite'!B9,'Optimisation retraite'!B9*POWER(1+Seuils!$H$296,$B$5-64)))</f>
        <v>0</v>
      </c>
      <c r="C10" s="11">
        <f>IF($C$5&lt;65,0,IF($C$5=65,'Optimisation retraite'!C9,'Optimisation retraite'!C9*POWER(1+Seuils!$H$296,$C$5-64)))</f>
        <v>0</v>
      </c>
      <c r="D10" s="89">
        <f>SUM(B10:C10)</f>
        <v>0</v>
      </c>
      <c r="E10" s="1"/>
      <c r="F10">
        <f>IF(B4=1,0,IF(AND(B4=2,I6&gt;4),0,IF(AND(B4=2,I6&lt;5,B6&lt;C6),60,60+I6)))</f>
        <v>0</v>
      </c>
      <c r="G10">
        <f>IF(AND(B4=2,I6&lt;5,B6&gt;C6),60,60+I6)</f>
        <v>125</v>
      </c>
      <c r="H10">
        <f>MIN(F10:G10)</f>
        <v>0</v>
      </c>
      <c r="I10">
        <f>MAX(F10:G10)</f>
        <v>125</v>
      </c>
      <c r="L10">
        <f>'Optimisation retraite'!E29+Seuils!F125</f>
        <v>36361.117647058825</v>
      </c>
      <c r="M10" s="3">
        <f>L10/B8</f>
        <v>0.72722235294117654</v>
      </c>
    </row>
    <row r="11" spans="1:13" ht="18" x14ac:dyDescent="0.35">
      <c r="A11" s="5" t="s">
        <v>70</v>
      </c>
      <c r="B11" s="11">
        <f>'Optimisation retraite'!B10</f>
        <v>1000</v>
      </c>
      <c r="C11" s="11">
        <v>0</v>
      </c>
      <c r="D11" s="21">
        <f>SUM(B11:C11)</f>
        <v>1000</v>
      </c>
      <c r="E11" s="1" t="s">
        <v>177</v>
      </c>
      <c r="H11" s="83" t="s">
        <v>107</v>
      </c>
      <c r="I11" s="50"/>
      <c r="J11" s="50"/>
      <c r="K11" s="50"/>
      <c r="L11" s="94">
        <f>IF(AND(B4=1,C28&gt;Seuils!D55),Seuils!E33,IF(AND(B4=1,B8&gt;Seuils!A9),Seuils!E33,IF(AND(B4=1,B10&lt;Seuils!E33/80%,B10&lt;=61600*25%*94.15%),Seuils!D55,IF(AND(B4=1,B10&lt;Seuils!E33/80%,B10&gt;61600*25%*94.15%),Seuils!J55,IF(C28&gt;Seuils!A8,Seuils!E33*2,IF('Optimisation retraite'!C29&gt;Seuils!I7*2,Seuils!A8,IF(AND(B15+C15+D10&gt;21300,C28&lt;Seuils!C16),Seuils!C16,Seuils!J6*2)))))))</f>
        <v>39669.839999999997</v>
      </c>
      <c r="M11" s="95">
        <f>IF(D8=0,L11/(F10+G10),L11/D8)</f>
        <v>0.7933967999999999</v>
      </c>
    </row>
    <row r="12" spans="1:13" ht="15.6" x14ac:dyDescent="0.3">
      <c r="A12" s="1" t="s">
        <v>135</v>
      </c>
      <c r="B12" s="18">
        <f>'Optimisation retraite'!B11</f>
        <v>642</v>
      </c>
      <c r="C12" s="11">
        <f>'Optimisation retraite'!C11</f>
        <v>0</v>
      </c>
      <c r="D12" s="21">
        <f>SUM(B12:C12)</f>
        <v>642</v>
      </c>
      <c r="E12" s="17" t="s">
        <v>106</v>
      </c>
      <c r="F12" s="17" t="s">
        <v>161</v>
      </c>
      <c r="G12" t="str">
        <f>IF(B4=1,"seuil limite","optimal #2")</f>
        <v>seuil limite</v>
      </c>
      <c r="H12" s="50"/>
      <c r="I12" s="50"/>
      <c r="J12" s="50"/>
      <c r="K12" s="50"/>
      <c r="L12" s="94">
        <f>IF(AND(B4=2,D8&gt;150000,C28&gt;Seuils!I7*2),Seuils!E33*2,IF(AND(B4=2,L11=Seuils!I7*2),Seuils!C16,IF(AND(B4=2,L11=Seuils!C16),Seuils!I7*2,IF(AND(B4=1,L11=Seuils!D55),Seuils!E33,Seuils!D55))))</f>
        <v>79845</v>
      </c>
      <c r="M12" s="95">
        <f>IF(D8=0,L12/(F10+G10),L12/D8)</f>
        <v>1.5969</v>
      </c>
    </row>
    <row r="13" spans="1:13" ht="15.6" x14ac:dyDescent="0.3">
      <c r="A13" s="5" t="s">
        <v>82</v>
      </c>
      <c r="B13" s="52">
        <f>IF(B8=0,(F9+G9)*E13,(B8+C8)*E13)</f>
        <v>39669.839999999997</v>
      </c>
      <c r="C13" s="21"/>
      <c r="D13" s="21">
        <f>SUM(B13:C13)</f>
        <v>39669.839999999997</v>
      </c>
      <c r="E13" s="270">
        <f>M9</f>
        <v>0.7933967999999999</v>
      </c>
      <c r="F13" s="93">
        <f>M11</f>
        <v>0.7933967999999999</v>
      </c>
      <c r="G13" s="99">
        <f>IF(B4=1,Seuils!E33/B8,M12)</f>
        <v>1.5969</v>
      </c>
    </row>
    <row r="14" spans="1:13" ht="18" x14ac:dyDescent="0.35">
      <c r="A14" s="5" t="s">
        <v>136</v>
      </c>
      <c r="B14" s="11">
        <f>IF(AND(B4=2,C8&gt;15000),(B13-D10-B23-C23)*F8,B13-D10-B23-C23)</f>
        <v>39669.839999999997</v>
      </c>
      <c r="C14" s="22">
        <f>IF(AND(B4=2,C8&gt;15000),(B13-D10-B23-C23)*(1-F8),0)</f>
        <v>0</v>
      </c>
      <c r="D14" s="21">
        <f t="shared" ref="D14" si="0">SUM(B14:C14)</f>
        <v>39669.839999999997</v>
      </c>
      <c r="E14" s="1"/>
      <c r="H14" s="83" t="s">
        <v>105</v>
      </c>
      <c r="I14" s="83"/>
      <c r="J14" s="84">
        <f>D75</f>
        <v>0.42499999999999999</v>
      </c>
      <c r="K14" s="622" t="str">
        <f>IF(J14&lt;J16-0.5%,"Maximiser d'abord votre CELI !",IF(J14&gt;J16+0.5%,"Privillégiez le REER OPTIMAL", "Indifférent entre REER et CELI"))</f>
        <v>Privillégiez le REER OPTIMAL</v>
      </c>
      <c r="L14" s="623"/>
      <c r="M14" s="623"/>
    </row>
    <row r="15" spans="1:13" ht="18" x14ac:dyDescent="0.35">
      <c r="A15" s="5" t="s">
        <v>246</v>
      </c>
      <c r="B15" s="11">
        <f>IF('Optimisation retraite'!B6&gt;65,0,IF(AND(B7&lt;65,B7&gt;59),' Épargne nécessaire'!B35,IF(B7&lt;60,' Épargne nécessaire'!B36)))</f>
        <v>0</v>
      </c>
      <c r="C15" s="11">
        <f>IF(C7&gt;=65,'Optimisation retraite'!C13,IF(AND(C7&lt;65,C7&gt;59),' Épargne nécessaire'!C35,IF(C7&lt;55,0,IF(C7&lt;60,' Épargne nécessaire'!C36))))</f>
        <v>0</v>
      </c>
      <c r="D15" s="21">
        <f>B15+C15</f>
        <v>0</v>
      </c>
      <c r="E15" s="1"/>
      <c r="H15" s="83" t="s">
        <v>489</v>
      </c>
      <c r="I15" s="50"/>
      <c r="J15" s="84">
        <f>C56</f>
        <v>0.17411407315481986</v>
      </c>
      <c r="K15" s="50"/>
      <c r="L15" s="50"/>
      <c r="M15" s="50"/>
    </row>
    <row r="16" spans="1:13" ht="18" x14ac:dyDescent="0.35">
      <c r="A16" s="5" t="s">
        <v>191</v>
      </c>
      <c r="B16" s="271">
        <f>'Optimisation retraite'!B14</f>
        <v>0.5</v>
      </c>
      <c r="C16" s="271">
        <f>'Optimisation retraite'!C14</f>
        <v>0.5</v>
      </c>
      <c r="D16" s="21"/>
      <c r="E16" s="1"/>
      <c r="H16" s="83"/>
      <c r="J16" s="90"/>
      <c r="K16" s="50"/>
      <c r="L16" s="50"/>
      <c r="M16" s="50"/>
    </row>
    <row r="17" spans="1:13" ht="18" x14ac:dyDescent="0.35">
      <c r="A17" s="5" t="s">
        <v>192</v>
      </c>
      <c r="B17" s="11">
        <f>'Optimisation retraite'!B15</f>
        <v>0</v>
      </c>
      <c r="C17" s="11">
        <f>'Optimisation retraite'!C15</f>
        <v>0</v>
      </c>
      <c r="D17" s="21"/>
      <c r="E17" s="1"/>
      <c r="H17" s="83" t="str">
        <f>IF(B4=1," ",IF(C8&lt;Seuils!A7,"N.B. Conjoint #2 ne devrait nullement cotiser à son REER !",IF(AND(C8&lt;Seuils!I8,'Optimisation retraite'!J11&gt;Seuils!E7+Seuils!K7+2%),"N.B. Conjoint #2 ne devrait nullement cotiser à son REER !"," ")))</f>
        <v xml:space="preserve"> </v>
      </c>
      <c r="I17" s="50"/>
      <c r="J17" s="84"/>
      <c r="K17" s="50"/>
      <c r="L17" s="50"/>
      <c r="M17" s="50"/>
    </row>
    <row r="18" spans="1:13" ht="15.6" x14ac:dyDescent="0.3">
      <c r="A18" s="5" t="s">
        <v>137</v>
      </c>
      <c r="B18" s="98">
        <f>Seuils!Q296</f>
        <v>0</v>
      </c>
      <c r="C18" s="22"/>
      <c r="D18" s="21"/>
      <c r="E18" s="1"/>
      <c r="K18" s="50"/>
      <c r="L18" s="50"/>
      <c r="M18" s="50"/>
    </row>
    <row r="19" spans="1:13" ht="15.6" x14ac:dyDescent="0.3">
      <c r="A19" s="5" t="s">
        <v>138</v>
      </c>
      <c r="B19" s="98">
        <f>Seuils!Q297</f>
        <v>0</v>
      </c>
      <c r="C19" s="22"/>
      <c r="D19" s="21"/>
      <c r="E19" s="1"/>
      <c r="M19" s="50"/>
    </row>
    <row r="20" spans="1:13" ht="15.6" x14ac:dyDescent="0.3">
      <c r="A20" s="5"/>
      <c r="B20" s="98"/>
      <c r="C20" s="22"/>
      <c r="D20" s="21"/>
      <c r="E20" s="1"/>
      <c r="M20" s="50"/>
    </row>
    <row r="21" spans="1:13" ht="18.600000000000001" thickBot="1" x14ac:dyDescent="0.4">
      <c r="A21" s="543" t="str">
        <f>IF(B4=1,"NIL","Période où les deux conjoints ont entre 60 et 65 ans")</f>
        <v>NIL</v>
      </c>
      <c r="B21" s="306"/>
      <c r="C21" s="380"/>
      <c r="D21" s="21"/>
      <c r="E21" s="1"/>
      <c r="H21" s="83"/>
      <c r="I21" s="50"/>
      <c r="J21" s="84"/>
      <c r="K21" s="50"/>
      <c r="L21" s="50"/>
      <c r="M21" s="50"/>
    </row>
    <row r="22" spans="1:13" ht="16.2" thickBot="1" x14ac:dyDescent="0.35">
      <c r="A22" s="23" t="s">
        <v>162</v>
      </c>
      <c r="B22" s="624" t="s">
        <v>164</v>
      </c>
      <c r="C22" s="625"/>
      <c r="D22" s="624" t="s">
        <v>165</v>
      </c>
      <c r="E22" s="625"/>
    </row>
    <row r="23" spans="1:13" ht="15.6" x14ac:dyDescent="0.3">
      <c r="A23" s="24" t="s">
        <v>43</v>
      </c>
      <c r="B23" s="25">
        <f>B9</f>
        <v>0</v>
      </c>
      <c r="C23" s="26">
        <f>C9</f>
        <v>0</v>
      </c>
      <c r="D23" s="25">
        <f>B9</f>
        <v>0</v>
      </c>
      <c r="E23" s="26">
        <f>C9</f>
        <v>0</v>
      </c>
    </row>
    <row r="24" spans="1:13" ht="15.6" x14ac:dyDescent="0.3">
      <c r="A24" s="24" t="s">
        <v>44</v>
      </c>
      <c r="B24" s="27">
        <f>B10</f>
        <v>0</v>
      </c>
      <c r="C24" s="28">
        <f>C10</f>
        <v>0</v>
      </c>
      <c r="D24" s="27">
        <f>B24</f>
        <v>0</v>
      </c>
      <c r="E24" s="28">
        <f>C24</f>
        <v>0</v>
      </c>
    </row>
    <row r="25" spans="1:13" ht="15.6" x14ac:dyDescent="0.3">
      <c r="A25" s="24" t="s">
        <v>31</v>
      </c>
      <c r="B25" s="27">
        <f>IF(B4=2,0,IF(B7&lt;65,0,IF(D10+B26&gt;Seuils!E29,0,IF(D10+B26&gt;Seuils!D31,Seuils!D28-(D10+B26)*50%,IF(D10+B26&gt;Seuils!D30,Seuils!D26-(D10+B26-Seuils!D30)*75%,Seuils!D27-(D10+B26)*50%)))))</f>
        <v>0</v>
      </c>
      <c r="C25" s="28">
        <f>IF(B4=1,0,IF(AND(B7&lt;65,C7&lt;65),0,IF(D10+B26+C26&gt;Seuils!D29,0,IF(D10+B26+C26&gt;Seuils!D31,Seuils!D28-(D10+B26+C26)*50%,IF(D10+B26+C26&gt;Seuils!D30,Seuils!D26-(D10+B26+C26-Seuils!D30)*75%,Seuils!D27-(D10+B26+C26)*50%)))))</f>
        <v>0</v>
      </c>
      <c r="D25" s="27">
        <f>IF(B4=2,0,IF('Optimisation retraite'!D9+'Optimisation retraite'!D16&gt;Seuils!E29,0,Seuils!D28-(D10+D14)*50%))</f>
        <v>0</v>
      </c>
      <c r="E25" s="28">
        <f>IF(B4=1,0,IF(D10+D14&gt;Seuils!D29,0,Seuils!D28-(D10+D14)*50%))</f>
        <v>0</v>
      </c>
    </row>
    <row r="26" spans="1:13" ht="16.2" thickBot="1" x14ac:dyDescent="0.35">
      <c r="A26" s="24" t="s">
        <v>166</v>
      </c>
      <c r="B26" s="29">
        <f>B15+B17</f>
        <v>0</v>
      </c>
      <c r="C26" s="30">
        <f>C15+C17</f>
        <v>0</v>
      </c>
      <c r="D26" s="29">
        <f>B14</f>
        <v>39669.839999999997</v>
      </c>
      <c r="E26" s="30">
        <f>C14</f>
        <v>0</v>
      </c>
    </row>
    <row r="27" spans="1:13" ht="16.2" thickBot="1" x14ac:dyDescent="0.35">
      <c r="A27" s="31" t="s">
        <v>76</v>
      </c>
      <c r="B27" s="32">
        <f>SUM(B23:B26)-B25</f>
        <v>0</v>
      </c>
      <c r="C27" s="33">
        <f>SUM(C23:C26)-C25</f>
        <v>0</v>
      </c>
      <c r="D27" s="32">
        <f>SUM(D23:D26)-D25</f>
        <v>39669.839999999997</v>
      </c>
      <c r="E27" s="33">
        <f>SUM(E23:E26)-E25</f>
        <v>0</v>
      </c>
    </row>
    <row r="28" spans="1:13" ht="16.2" thickBot="1" x14ac:dyDescent="0.35">
      <c r="A28" s="34" t="s">
        <v>77</v>
      </c>
      <c r="B28" s="35"/>
      <c r="C28" s="35">
        <f>B27+C27</f>
        <v>0</v>
      </c>
      <c r="D28" s="35"/>
      <c r="E28" s="36">
        <f>D27+E27</f>
        <v>39669.839999999997</v>
      </c>
    </row>
    <row r="29" spans="1:13" ht="16.2" thickBot="1" x14ac:dyDescent="0.35">
      <c r="A29" s="37"/>
      <c r="B29" s="38"/>
      <c r="C29" s="38"/>
      <c r="D29" s="38"/>
      <c r="E29" s="39"/>
    </row>
    <row r="30" spans="1:13" ht="16.2" thickBot="1" x14ac:dyDescent="0.35">
      <c r="A30" s="40" t="s">
        <v>81</v>
      </c>
      <c r="B30" s="624" t="s">
        <v>164</v>
      </c>
      <c r="C30" s="625"/>
      <c r="D30" s="624" t="s">
        <v>165</v>
      </c>
      <c r="E30" s="625"/>
    </row>
    <row r="31" spans="1:13" ht="16.2" thickBot="1" x14ac:dyDescent="0.35">
      <c r="A31" s="41"/>
      <c r="B31" s="244" t="s">
        <v>46</v>
      </c>
      <c r="C31" s="245" t="s">
        <v>47</v>
      </c>
      <c r="D31" s="246" t="s">
        <v>46</v>
      </c>
      <c r="E31" s="245" t="s">
        <v>47</v>
      </c>
    </row>
    <row r="32" spans="1:13" ht="15.6" x14ac:dyDescent="0.3">
      <c r="A32" s="42" t="s">
        <v>79</v>
      </c>
      <c r="B32" s="25">
        <f>IF(B4=2,Seuils!D12+Seuils!D13,Seuils!D12)</f>
        <v>13808</v>
      </c>
      <c r="C32" s="26">
        <f>IF(B4=2,Seuils!J12*2,Seuils!J12)</f>
        <v>15728</v>
      </c>
      <c r="D32" s="25">
        <f>IF(B4=2,Seuils!D12+Seuils!E13,Seuils!D12)</f>
        <v>13808</v>
      </c>
      <c r="E32" s="26">
        <f>C32</f>
        <v>15728</v>
      </c>
    </row>
    <row r="33" spans="1:12" ht="15.6" x14ac:dyDescent="0.3">
      <c r="A33" s="42" t="s">
        <v>80</v>
      </c>
      <c r="B33" s="27">
        <f>Seuils!D169</f>
        <v>0</v>
      </c>
      <c r="C33" s="520">
        <f>Seuils!T18</f>
        <v>0</v>
      </c>
      <c r="D33" s="43">
        <f>Seuils!D160</f>
        <v>0</v>
      </c>
      <c r="E33" s="28">
        <f>IF(E28&lt;Seuils!$J$16,Seuils!$M$15,IF(E28&gt;Seuils!$L$17,0,Seuils!$M$15-(E28-Seuils!$J$16)*18.75%))</f>
        <v>3987.2800000000007</v>
      </c>
    </row>
    <row r="34" spans="1:12" ht="15.6" x14ac:dyDescent="0.3">
      <c r="A34" s="42" t="s">
        <v>168</v>
      </c>
      <c r="B34" s="27">
        <f>IF(AND(B4=1,B15&gt;Seuils!C19),Seuils!C19,IF(AND(B4=1,B15&lt;2000),B15,IF(AND(B4=2,B15&gt;2000,C15&gt;2000),Seuils!C19*2,IF(AND(B4=2,B15&gt;2000,C15&lt;2000),Seuils!C19+C15,IF(AND(B4=2,C15&gt;2000,B15&lt;2000),Seuils!C19+'Optimal &lt; 65'!B15,IF(AND('Optimal &lt; 65'!B4=2,'Optimal &lt; 65'!B15&lt;2000,'Optimal &lt; 65'!C15&lt;2000),B26+C26,0))))))</f>
        <v>0</v>
      </c>
      <c r="C34" s="28"/>
      <c r="D34" s="43">
        <f>IF(AND(B5&lt;65,B15+C15&lt;=2000*B4),B15+C15,IF(AND(B5&lt;65,B15+C15&gt;2000*B4),2000*B4,Seuils!D19*'Optimal &lt; 65'!B4))</f>
        <v>0</v>
      </c>
      <c r="E34" s="28"/>
    </row>
    <row r="35" spans="1:12" ht="15.6" x14ac:dyDescent="0.3">
      <c r="A35" s="42" t="s">
        <v>15</v>
      </c>
      <c r="B35" s="27">
        <f>Seuils!C170</f>
        <v>1642</v>
      </c>
      <c r="C35" s="28">
        <f>Seuils!T24</f>
        <v>1000</v>
      </c>
      <c r="D35" s="43">
        <f>Seuils!C161</f>
        <v>451.90480000000025</v>
      </c>
      <c r="E35" s="28">
        <f>Seuils!U24</f>
        <v>489.00480000000016</v>
      </c>
    </row>
    <row r="36" spans="1:12" ht="15.6" x14ac:dyDescent="0.3">
      <c r="A36" s="42" t="s">
        <v>48</v>
      </c>
      <c r="B36" s="27">
        <f>SUM(B32:B35)</f>
        <v>15450</v>
      </c>
      <c r="C36" s="28">
        <f>SUM(C32:C35)</f>
        <v>16728</v>
      </c>
      <c r="D36" s="43">
        <f>SUM(D32:D35)</f>
        <v>14259.9048</v>
      </c>
      <c r="E36" s="28">
        <f>SUM(E32:E35)</f>
        <v>20204.284799999998</v>
      </c>
    </row>
    <row r="37" spans="1:12" ht="15.6" x14ac:dyDescent="0.3">
      <c r="A37" s="44"/>
      <c r="B37" s="27"/>
      <c r="C37" s="28"/>
      <c r="D37" s="43"/>
      <c r="E37" s="28"/>
    </row>
    <row r="38" spans="1:12" ht="15.6" x14ac:dyDescent="0.3">
      <c r="A38" s="42" t="s">
        <v>49</v>
      </c>
      <c r="B38" s="27">
        <f>Seuils!D167</f>
        <v>0</v>
      </c>
      <c r="C38" s="28">
        <f>Seuils!L167</f>
        <v>0</v>
      </c>
      <c r="D38" s="43">
        <f>Seuils!D158</f>
        <v>5950.4759999999997</v>
      </c>
      <c r="E38" s="45">
        <f>Seuils!L158</f>
        <v>5950.4759999999997</v>
      </c>
    </row>
    <row r="39" spans="1:12" ht="15.6" x14ac:dyDescent="0.3">
      <c r="A39" s="42" t="s">
        <v>50</v>
      </c>
      <c r="B39" s="27">
        <f>B36*15%</f>
        <v>2317.5</v>
      </c>
      <c r="C39" s="28">
        <f>(C32+C33)*Seuils!K6+C35*20%</f>
        <v>2559.1999999999998</v>
      </c>
      <c r="D39" s="43">
        <f>D36*15%</f>
        <v>2138.9857200000001</v>
      </c>
      <c r="E39" s="28">
        <f>(E32+E33)*Seuils!K6+E35*20%</f>
        <v>3055.0929599999999</v>
      </c>
    </row>
    <row r="40" spans="1:12" ht="15.6" x14ac:dyDescent="0.3">
      <c r="A40" s="42" t="s">
        <v>51</v>
      </c>
      <c r="B40" s="27">
        <f>IF(B38&gt;B39,(B38-B39)*16.5%,0)</f>
        <v>0</v>
      </c>
      <c r="C40" s="28"/>
      <c r="D40" s="43">
        <f>IF(D38&gt;D39,(D38-D39)*16.5%,0)</f>
        <v>628.89589619999992</v>
      </c>
      <c r="E40" s="28"/>
    </row>
    <row r="41" spans="1:12" ht="15.6" x14ac:dyDescent="0.3">
      <c r="A41" s="42" t="s">
        <v>35</v>
      </c>
      <c r="B41" s="27"/>
      <c r="C41" s="28">
        <f>Seuils!J169</f>
        <v>0</v>
      </c>
      <c r="D41" s="43"/>
      <c r="E41" s="28">
        <f>Seuils!L160</f>
        <v>150</v>
      </c>
    </row>
    <row r="42" spans="1:12" ht="15.6" x14ac:dyDescent="0.3">
      <c r="A42" s="42" t="s">
        <v>18</v>
      </c>
      <c r="B42" s="27"/>
      <c r="C42" s="28">
        <f>Seuils!T28</f>
        <v>0</v>
      </c>
      <c r="D42" s="43"/>
      <c r="E42" s="28">
        <f>Seuils!L28</f>
        <v>679.1</v>
      </c>
    </row>
    <row r="43" spans="1:12" ht="15.6" x14ac:dyDescent="0.3">
      <c r="A43" s="42" t="s">
        <v>169</v>
      </c>
      <c r="B43" s="29"/>
      <c r="C43" s="30"/>
      <c r="D43" s="46"/>
      <c r="E43" s="30"/>
    </row>
    <row r="44" spans="1:12" ht="16.2" thickBot="1" x14ac:dyDescent="0.35">
      <c r="A44" s="42" t="s">
        <v>133</v>
      </c>
      <c r="B44" s="29">
        <f>B46</f>
        <v>0</v>
      </c>
      <c r="C44" s="30"/>
      <c r="D44" s="46">
        <f>D46</f>
        <v>0</v>
      </c>
      <c r="E44" s="30"/>
    </row>
    <row r="45" spans="1:12" ht="16.2" thickBot="1" x14ac:dyDescent="0.35">
      <c r="A45" s="31" t="s">
        <v>52</v>
      </c>
      <c r="B45" s="32">
        <f>IF(B39&gt;B38-B40+B41+B42+B44,0,B38+B41+B42+B44-B39-B40)</f>
        <v>0</v>
      </c>
      <c r="C45" s="33">
        <f>IF(C39&gt;C38,C41+C42+C44,C38+C41+C42+C44-C39)</f>
        <v>0</v>
      </c>
      <c r="D45" s="47">
        <f>IF(D39&gt;D38-D40+D41+D42+D44,0,D38-D40+D41+D42+D44-D39)</f>
        <v>3182.5943837999998</v>
      </c>
      <c r="E45" s="33">
        <f>IF(E39&gt;E38,E41+E42+E44,E38+E41+E42+E44-E39)</f>
        <v>3724.4830400000001</v>
      </c>
    </row>
    <row r="46" spans="1:12" ht="15.6" x14ac:dyDescent="0.3">
      <c r="A46" s="48" t="s">
        <v>170</v>
      </c>
      <c r="B46" s="91">
        <f>IF(B6&lt;65,0,IF(AND(B4=1,B27&gt;Seuils!E34),Seuils!E32,IF(AND(B4=1,'Optimisation retraite'!B28&gt;Seuils!E33),(B27-Seuils!E33)*15%,IF(AND(B4=2,Seuils!B110&gt;Seuils!E33,(Seuils!B110-Seuils!E33)*15%&gt;B23),B23,IF(AND(B4=2,Seuils!B110&gt;Seuils!E33),(Seuils!B110-Seuils!E33)*15%,0)))))</f>
        <v>0</v>
      </c>
      <c r="C46" s="49"/>
      <c r="D46" s="91">
        <f>IF(B6&lt;65,0,IF(AND(B4=1,D27&gt;Seuils!E34),Seuils!E32,IF(AND(B4=1,'Optimisation retraite'!D28&gt;Seuils!E33),(D27-Seuils!E33)*15%,IF(AND(B4=2,Seuils!B101&gt;Seuils!E33,(Seuils!B101-Seuils!E33)*15%&gt;B23),B23,IF(AND(B4=2,Seuils!B101&gt;Seuils!E33),(Seuils!B101-Seuils!E33)*15%,0)))))</f>
        <v>0</v>
      </c>
      <c r="E46" s="49">
        <f>E45+D45-(B45+C45)</f>
        <v>6907.0774237999995</v>
      </c>
      <c r="F46" s="7">
        <f>E46/$D$14</f>
        <v>0.17411407315481989</v>
      </c>
    </row>
    <row r="47" spans="1:12" ht="15.6" x14ac:dyDescent="0.3">
      <c r="A47" s="50"/>
      <c r="B47" s="50"/>
      <c r="C47" s="50"/>
      <c r="D47" s="92" t="str">
        <f>IF(D46&gt;0,"Remboursement PSV"," ")</f>
        <v xml:space="preserve"> </v>
      </c>
      <c r="E47" s="50"/>
      <c r="F47" s="588"/>
      <c r="G47" s="589"/>
      <c r="H47" s="589"/>
      <c r="I47" s="589"/>
      <c r="J47" s="589"/>
      <c r="K47" s="589"/>
      <c r="L47" s="589"/>
    </row>
    <row r="48" spans="1:12" ht="15.6" x14ac:dyDescent="0.3">
      <c r="A48" s="39" t="s">
        <v>179</v>
      </c>
      <c r="B48" s="50"/>
      <c r="C48" s="50"/>
      <c r="D48" s="50"/>
      <c r="E48" s="38" t="s">
        <v>84</v>
      </c>
      <c r="F48" s="588"/>
      <c r="G48" s="589"/>
      <c r="H48" s="589"/>
      <c r="I48" s="589"/>
      <c r="J48" s="589"/>
      <c r="K48" s="589"/>
      <c r="L48" s="589"/>
    </row>
    <row r="49" spans="1:7" ht="15.6" x14ac:dyDescent="0.3">
      <c r="A49" s="37" t="s">
        <v>180</v>
      </c>
      <c r="B49" s="21">
        <f>C28-B45-C45</f>
        <v>0</v>
      </c>
      <c r="C49" s="21"/>
      <c r="D49" s="21">
        <f>E28-D45-E45-D46</f>
        <v>32762.762576199995</v>
      </c>
      <c r="E49" s="21">
        <f>D49-B49</f>
        <v>32762.762576199995</v>
      </c>
      <c r="F49" s="85"/>
    </row>
    <row r="50" spans="1:7" ht="15.6" x14ac:dyDescent="0.3">
      <c r="A50" s="37" t="s">
        <v>181</v>
      </c>
      <c r="B50" s="21">
        <f>B25+C25</f>
        <v>0</v>
      </c>
      <c r="C50" s="21"/>
      <c r="D50" s="21">
        <f>D25+E25</f>
        <v>0</v>
      </c>
      <c r="E50" s="21">
        <f t="shared" ref="E50:E53" si="1">D50-B50</f>
        <v>0</v>
      </c>
      <c r="F50" s="85">
        <f>-E50/$D$14</f>
        <v>0</v>
      </c>
    </row>
    <row r="51" spans="1:7" ht="15.6" x14ac:dyDescent="0.3">
      <c r="A51" s="37" t="s">
        <v>182</v>
      </c>
      <c r="B51" s="21">
        <f>Seuils!D59</f>
        <v>462.58</v>
      </c>
      <c r="C51" s="21"/>
      <c r="D51" s="21">
        <f>Seuils!E59</f>
        <v>462.58</v>
      </c>
      <c r="E51" s="21">
        <f t="shared" si="1"/>
        <v>0</v>
      </c>
      <c r="F51" s="85">
        <f>-E51/$D$14</f>
        <v>0</v>
      </c>
    </row>
    <row r="52" spans="1:7" ht="15.6" x14ac:dyDescent="0.3">
      <c r="A52" s="37" t="s">
        <v>183</v>
      </c>
      <c r="B52" s="21">
        <f>Seuils!J59</f>
        <v>1050.6199999999999</v>
      </c>
      <c r="C52" s="21"/>
      <c r="D52" s="21">
        <f>Seuils!K59</f>
        <v>1050.6199999999999</v>
      </c>
      <c r="E52" s="21">
        <f t="shared" si="1"/>
        <v>0</v>
      </c>
      <c r="F52" s="85">
        <f>-E52/$D$14</f>
        <v>0</v>
      </c>
    </row>
    <row r="53" spans="1:7" ht="15.6" x14ac:dyDescent="0.3">
      <c r="A53" s="37" t="s">
        <v>53</v>
      </c>
      <c r="B53" s="21">
        <f>SUM(B49:B52)</f>
        <v>1513.1999999999998</v>
      </c>
      <c r="C53" s="21"/>
      <c r="D53" s="51">
        <f>SUM(D49:D52)</f>
        <v>34275.9625762</v>
      </c>
      <c r="E53" s="52">
        <f t="shared" si="1"/>
        <v>32762.762576199999</v>
      </c>
      <c r="F53" s="85">
        <f>SUM(F46:F52)</f>
        <v>0.17411407315481989</v>
      </c>
      <c r="G53" s="7"/>
    </row>
    <row r="54" spans="1:7" ht="15.6" x14ac:dyDescent="0.3">
      <c r="A54" s="37"/>
      <c r="B54" s="53"/>
      <c r="C54" s="38"/>
      <c r="D54" s="38"/>
      <c r="E54" s="53"/>
      <c r="F54" s="100"/>
    </row>
    <row r="55" spans="1:7" ht="15.6" x14ac:dyDescent="0.3">
      <c r="A55" s="37" t="s">
        <v>54</v>
      </c>
      <c r="B55" s="51">
        <f>D53</f>
        <v>34275.9625762</v>
      </c>
      <c r="C55" s="37" t="s">
        <v>55</v>
      </c>
      <c r="D55" s="38"/>
      <c r="E55" s="50"/>
      <c r="F55" s="50"/>
    </row>
    <row r="56" spans="1:7" ht="15.6" x14ac:dyDescent="0.3">
      <c r="A56" s="37" t="s">
        <v>87</v>
      </c>
      <c r="B56" s="52">
        <f>B55-B53</f>
        <v>32762.762576199999</v>
      </c>
      <c r="C56" s="54">
        <f>1-B56/D56</f>
        <v>0.17411407315481986</v>
      </c>
      <c r="D56" s="52">
        <f>D26+E26-C26-B26</f>
        <v>39669.839999999997</v>
      </c>
      <c r="E56" s="50"/>
      <c r="F56" s="50"/>
    </row>
    <row r="57" spans="1:7" x14ac:dyDescent="0.3">
      <c r="A57" s="50"/>
      <c r="B57" s="50"/>
      <c r="C57" s="50"/>
      <c r="D57" s="50"/>
      <c r="E57" s="50"/>
      <c r="F57" s="50"/>
    </row>
    <row r="58" spans="1:7" x14ac:dyDescent="0.3">
      <c r="A58" s="50" t="s">
        <v>374</v>
      </c>
      <c r="B58" s="50"/>
      <c r="C58" s="50"/>
      <c r="D58" s="50"/>
      <c r="E58" s="50"/>
      <c r="F58" s="50"/>
    </row>
    <row r="59" spans="1:7" x14ac:dyDescent="0.3">
      <c r="A59" s="539" t="s">
        <v>377</v>
      </c>
      <c r="B59" s="542">
        <f>I8</f>
        <v>0</v>
      </c>
      <c r="C59" s="50"/>
      <c r="D59" s="50">
        <f>B59</f>
        <v>0</v>
      </c>
      <c r="E59" s="50"/>
      <c r="F59" s="50"/>
    </row>
    <row r="60" spans="1:7" x14ac:dyDescent="0.3">
      <c r="A60" s="539" t="s">
        <v>94</v>
      </c>
      <c r="B60" s="540">
        <f>Seuils!H294</f>
        <v>3.7420000000000002E-2</v>
      </c>
      <c r="C60" s="50"/>
      <c r="D60" s="540">
        <f>B60</f>
        <v>3.7420000000000002E-2</v>
      </c>
      <c r="E60" s="50"/>
      <c r="F60" s="50"/>
    </row>
    <row r="61" spans="1:7" x14ac:dyDescent="0.3">
      <c r="A61" s="539" t="s">
        <v>306</v>
      </c>
      <c r="B61" s="540">
        <f>((1+B60)/(1+' Épargne nécessaire'!G7))-1</f>
        <v>1.4591687041564771E-2</v>
      </c>
      <c r="C61" s="50"/>
      <c r="D61" s="540">
        <f>B61</f>
        <v>1.4591687041564771E-2</v>
      </c>
      <c r="E61" s="50"/>
      <c r="F61" s="50"/>
    </row>
    <row r="62" spans="1:7" x14ac:dyDescent="0.3">
      <c r="A62" s="539" t="s">
        <v>96</v>
      </c>
      <c r="B62" s="540" t="e">
        <f>0.53*B61+1/B59</f>
        <v>#DIV/0!</v>
      </c>
      <c r="C62" s="50"/>
      <c r="D62" s="540" t="e">
        <f>B62</f>
        <v>#DIV/0!</v>
      </c>
      <c r="E62" s="50"/>
      <c r="F62" s="50"/>
    </row>
    <row r="63" spans="1:7" x14ac:dyDescent="0.3">
      <c r="A63" s="539" t="s">
        <v>375</v>
      </c>
      <c r="B63" s="541">
        <f>B18</f>
        <v>0</v>
      </c>
      <c r="C63" s="50"/>
      <c r="D63" s="541">
        <f>B19</f>
        <v>0</v>
      </c>
      <c r="E63" s="50"/>
      <c r="F63" s="50"/>
    </row>
    <row r="64" spans="1:7" x14ac:dyDescent="0.3">
      <c r="A64" s="539" t="s">
        <v>376</v>
      </c>
      <c r="B64" s="88" t="e">
        <f>B63*B62</f>
        <v>#DIV/0!</v>
      </c>
      <c r="C64" s="50"/>
      <c r="D64" s="88" t="e">
        <f>D63*D62</f>
        <v>#DIV/0!</v>
      </c>
      <c r="E64" s="50"/>
      <c r="F64" s="50"/>
    </row>
    <row r="65" spans="1:6" x14ac:dyDescent="0.3">
      <c r="A65" s="539"/>
      <c r="B65" s="88"/>
      <c r="C65" s="50"/>
      <c r="D65" s="88"/>
      <c r="E65" s="50"/>
      <c r="F65" s="50"/>
    </row>
    <row r="66" spans="1:6" ht="15.6" x14ac:dyDescent="0.3">
      <c r="A66" s="39" t="s">
        <v>178</v>
      </c>
      <c r="B66" s="50"/>
      <c r="C66" s="50"/>
      <c r="D66" s="50"/>
      <c r="E66" s="50"/>
      <c r="F66" s="50"/>
    </row>
    <row r="67" spans="1:6" ht="15.6" x14ac:dyDescent="0.3">
      <c r="A67" s="37" t="s">
        <v>129</v>
      </c>
      <c r="B67" s="21">
        <f>B53</f>
        <v>1513.1999999999998</v>
      </c>
      <c r="C67" s="38"/>
      <c r="D67" s="21">
        <f>D53</f>
        <v>34275.9625762</v>
      </c>
      <c r="E67" s="50"/>
      <c r="F67" s="50"/>
    </row>
    <row r="68" spans="1:6" ht="15.6" x14ac:dyDescent="0.3">
      <c r="A68" s="37" t="s">
        <v>127</v>
      </c>
      <c r="B68" s="38">
        <f>Seuils!J61</f>
        <v>209</v>
      </c>
      <c r="C68" s="38"/>
      <c r="D68" s="38">
        <f>Seuils!K61</f>
        <v>0</v>
      </c>
      <c r="E68" s="50"/>
      <c r="F68" s="50"/>
    </row>
    <row r="69" spans="1:6" ht="15.6" x14ac:dyDescent="0.3">
      <c r="A69" s="37" t="s">
        <v>126</v>
      </c>
      <c r="B69" s="21">
        <f>B67+B68</f>
        <v>1722.1999999999998</v>
      </c>
      <c r="C69" s="38"/>
      <c r="D69" s="21">
        <f>D67+D68</f>
        <v>34275.9625762</v>
      </c>
      <c r="E69" s="50"/>
      <c r="F69" s="50"/>
    </row>
    <row r="70" spans="1:6" ht="15.6" x14ac:dyDescent="0.3">
      <c r="A70" s="50"/>
      <c r="B70" s="38"/>
      <c r="C70" s="38"/>
      <c r="D70" s="38"/>
      <c r="E70" s="50"/>
      <c r="F70" s="50"/>
    </row>
    <row r="71" spans="1:6" ht="15.6" x14ac:dyDescent="0.3">
      <c r="A71" s="37" t="s">
        <v>128</v>
      </c>
      <c r="B71" s="21">
        <f>D69-B69</f>
        <v>32553.762576199999</v>
      </c>
      <c r="C71" s="54">
        <f>1-B71/D71</f>
        <v>0.17938255923895829</v>
      </c>
      <c r="D71" s="21">
        <f>D56</f>
        <v>39669.839999999997</v>
      </c>
      <c r="E71" s="50"/>
      <c r="F71" s="50"/>
    </row>
    <row r="72" spans="1:6" x14ac:dyDescent="0.3">
      <c r="A72" s="50"/>
      <c r="B72" s="50"/>
      <c r="C72" s="50"/>
      <c r="D72" s="50"/>
      <c r="E72" s="50"/>
    </row>
    <row r="73" spans="1:6" ht="15" thickBot="1" x14ac:dyDescent="0.35">
      <c r="A73" s="50"/>
      <c r="B73" s="50"/>
      <c r="C73" s="50"/>
      <c r="D73" s="50"/>
      <c r="E73" s="50"/>
    </row>
    <row r="74" spans="1:6" ht="16.2" thickBot="1" x14ac:dyDescent="0.35">
      <c r="A74" s="55" t="s">
        <v>56</v>
      </c>
      <c r="B74" s="56" t="s">
        <v>57</v>
      </c>
      <c r="C74" s="57"/>
      <c r="D74" s="58" t="s">
        <v>42</v>
      </c>
      <c r="E74" s="285" t="s">
        <v>234</v>
      </c>
    </row>
    <row r="75" spans="1:6" ht="15.6" x14ac:dyDescent="0.3">
      <c r="A75" s="59" t="s">
        <v>88</v>
      </c>
      <c r="B75" s="60">
        <f>D75</f>
        <v>0.42499999999999999</v>
      </c>
      <c r="C75" s="61"/>
      <c r="D75" s="15">
        <f>IF(B8&gt;Seuils!A9,Seuils!E9+Seuils!K9,IF(B8&gt;Seuils!I9,Seuils!E8+Seuils!K9,IF(B8&gt;Seuils!A8,Seuils!E8+Seuils!K8,IF(AND(D8&gt;Seuils!J56/90%,B8&gt;Seuils!A7),37.1%,IF(AND(B4=2,D8&gt;Seuils!J56/90%,B8&lt;Seuils!I7),28.5%,IF(AND(B4=2,D8&gt;Seuils!J56/90%,B8&lt;Seuils!A7),Seuils!K7+Seuils!E6+1%,IF(AND(B4=2,D8&gt;Seuils!D56/90%,B8&lt;Seuils!A7),35%,IF(AND(B4=2,D8&lt;27000),35%,IF(AND(B4=2,D8&lt;32500),45%,IF(AND(B4=2,D8&lt;36000),50%,IF(AND(B4=2,D8&lt;41500),58%,IF(AND(B4=2,D8&lt;47000),45%,IF(AND(B4=1,B8&gt;Seuils!J56/95%),Seuils!E7+Seuils!K7,IF(AND(B4=1,B8&gt;Seuils!D56/95%),44%,IF(AND(B4=1,B8&gt;Seuils!D55/90%),42.5%,IF(AND(B4=1,B8&gt;Seuils!J55/90%),37.5%,IF(AND(B4=1,B8&lt;Seuils!D12+Seuils!D19),30%,IF(AND(B4=1,B8&lt;Seuils!O32),44%,IF(AND(B4=1,B8&lt;Seuils!B277/90%),58%,IF(AND(B4=1,B8&lt;Seuils!O41/90%),37%,IF(AND(B4=1,B8&lt;Seuils!J16),28.5%,IF(AND(B4=1,B8&lt;Seuils!J16/90%),37.5%,IF(AND(B4=2,D8&gt;Seuils!J55+2410),44%,28.5%+10%)))))))))))))))))))))))</f>
        <v>0.42499999999999999</v>
      </c>
      <c r="E75" s="288">
        <f>D75</f>
        <v>0.42499999999999999</v>
      </c>
    </row>
    <row r="76" spans="1:6" ht="15.6" x14ac:dyDescent="0.3">
      <c r="A76" s="62" t="s">
        <v>58</v>
      </c>
      <c r="B76" s="63">
        <f>B78</f>
        <v>11029.137296391424</v>
      </c>
      <c r="C76" s="61"/>
      <c r="D76" s="64">
        <f>+D78/(1-D75)</f>
        <v>19181.108341550302</v>
      </c>
      <c r="E76" s="289">
        <f>PMT(E80,E79,,-E81)</f>
        <v>0</v>
      </c>
    </row>
    <row r="77" spans="1:6" ht="15.6" x14ac:dyDescent="0.3">
      <c r="A77" s="62" t="s">
        <v>83</v>
      </c>
      <c r="B77" s="65"/>
      <c r="C77" s="61"/>
      <c r="D77" s="64">
        <f>+D76*D75</f>
        <v>8151.971045158878</v>
      </c>
      <c r="E77" s="286">
        <f>+E76*E75</f>
        <v>0</v>
      </c>
    </row>
    <row r="78" spans="1:6" ht="15.6" x14ac:dyDescent="0.3">
      <c r="A78" s="62" t="s">
        <v>59</v>
      </c>
      <c r="B78" s="66">
        <f>PMT(D80,D79,,-Seuils!I293)</f>
        <v>11029.137296391424</v>
      </c>
      <c r="C78" s="61"/>
      <c r="D78" s="67">
        <f>B78</f>
        <v>11029.137296391424</v>
      </c>
      <c r="E78" s="287">
        <f>E76-E77</f>
        <v>0</v>
      </c>
    </row>
    <row r="79" spans="1:6" ht="15.6" x14ac:dyDescent="0.3">
      <c r="A79" s="62" t="s">
        <v>85</v>
      </c>
      <c r="B79" s="12">
        <f>' Épargne nécessaire'!E4</f>
        <v>15</v>
      </c>
      <c r="C79" s="68"/>
      <c r="D79" s="69">
        <f>B79</f>
        <v>15</v>
      </c>
      <c r="E79" s="290">
        <f>B79</f>
        <v>15</v>
      </c>
    </row>
    <row r="80" spans="1:6" ht="15.6" x14ac:dyDescent="0.3">
      <c r="A80" s="70" t="s">
        <v>86</v>
      </c>
      <c r="B80" s="13">
        <f>' Épargne nécessaire'!D23</f>
        <v>5.0999999999999997E-2</v>
      </c>
      <c r="C80" s="68"/>
      <c r="D80" s="71">
        <f>B80</f>
        <v>5.0999999999999997E-2</v>
      </c>
      <c r="E80" s="288">
        <f>B80</f>
        <v>5.0999999999999997E-2</v>
      </c>
    </row>
    <row r="81" spans="1:10" ht="16.2" thickBot="1" x14ac:dyDescent="0.35">
      <c r="A81" s="72" t="s">
        <v>60</v>
      </c>
      <c r="B81" s="35">
        <f>FV(B80,B79,-B76)</f>
        <v>239792.03562756503</v>
      </c>
      <c r="C81" s="73"/>
      <c r="D81" s="74">
        <f>FV(D80,D79,-D76)</f>
        <v>417029.62717837392</v>
      </c>
      <c r="E81" s="291">
        <f>B19</f>
        <v>0</v>
      </c>
    </row>
    <row r="82" spans="1:10" x14ac:dyDescent="0.3">
      <c r="A82" s="50"/>
      <c r="B82" s="50"/>
      <c r="C82" s="50"/>
      <c r="D82" s="50"/>
      <c r="E82" s="50"/>
    </row>
    <row r="83" spans="1:10" x14ac:dyDescent="0.3">
      <c r="A83" s="50"/>
      <c r="B83" s="50"/>
      <c r="C83" s="50"/>
      <c r="D83" s="50"/>
      <c r="E83" s="50"/>
    </row>
    <row r="84" spans="1:10" ht="15.6" x14ac:dyDescent="0.3">
      <c r="A84" s="39" t="s">
        <v>61</v>
      </c>
      <c r="B84" s="22">
        <f>B81</f>
        <v>239792.03562756503</v>
      </c>
      <c r="C84" s="38"/>
      <c r="D84" s="22">
        <f>D81</f>
        <v>417029.62717837392</v>
      </c>
      <c r="E84" s="50"/>
      <c r="F84" s="294">
        <f>E81</f>
        <v>0</v>
      </c>
    </row>
    <row r="85" spans="1:10" ht="15.6" x14ac:dyDescent="0.3">
      <c r="A85" s="37" t="s">
        <v>163</v>
      </c>
      <c r="B85" s="14">
        <f>Seuils!H299</f>
        <v>1.4591687041564771E-2</v>
      </c>
      <c r="C85" s="38"/>
      <c r="D85" s="75">
        <f>B85</f>
        <v>1.4591687041564771E-2</v>
      </c>
      <c r="E85" s="50"/>
      <c r="F85" s="96">
        <f>D85</f>
        <v>1.4591687041564771E-2</v>
      </c>
    </row>
    <row r="86" spans="1:10" ht="16.2" thickBot="1" x14ac:dyDescent="0.35">
      <c r="A86" s="38" t="s">
        <v>63</v>
      </c>
      <c r="B86" s="76">
        <f>IF('Optimisation retraite'!B13+'Optimisation retraite'!C13=0,Seuils!I292,Seuils!H347)</f>
        <v>9927.0487290000056</v>
      </c>
      <c r="C86" s="77" t="s">
        <v>100</v>
      </c>
      <c r="D86" s="76">
        <f>D56</f>
        <v>39669.839999999997</v>
      </c>
      <c r="E86" s="77" t="s">
        <v>100</v>
      </c>
      <c r="F86" s="294">
        <f>D86</f>
        <v>39669.839999999997</v>
      </c>
    </row>
    <row r="87" spans="1:10" ht="16.8" thickTop="1" thickBot="1" x14ac:dyDescent="0.35">
      <c r="A87" s="37" t="s">
        <v>62</v>
      </c>
      <c r="B87" s="293">
        <f>NPER(B85,B86,-B84,,1)</f>
        <v>29.461701900493281</v>
      </c>
      <c r="C87" s="79">
        <f>64+B87</f>
        <v>93.461701900493281</v>
      </c>
      <c r="D87" s="78">
        <f>NPER(D85,D86,-D84,,1)</f>
        <v>11.315481571886053</v>
      </c>
      <c r="E87" s="79">
        <f>64+D87</f>
        <v>75.315481571886053</v>
      </c>
      <c r="F87" s="295">
        <f>NPER(F85,F86,-F84,,1)</f>
        <v>0</v>
      </c>
    </row>
    <row r="88" spans="1:10" ht="16.2" thickTop="1" x14ac:dyDescent="0.3">
      <c r="A88" s="37" t="s">
        <v>64</v>
      </c>
      <c r="B88" s="76">
        <f>C118</f>
        <v>14462.085635328287</v>
      </c>
      <c r="C88" s="38"/>
      <c r="D88" s="76">
        <f>E118</f>
        <v>-754147.34590295283</v>
      </c>
      <c r="E88" s="50"/>
      <c r="G88" s="50"/>
      <c r="H88" s="50"/>
      <c r="I88" s="50"/>
    </row>
    <row r="89" spans="1:10" ht="15.6" x14ac:dyDescent="0.3">
      <c r="A89" s="37"/>
      <c r="B89" s="22" t="s">
        <v>238</v>
      </c>
      <c r="C89" s="296" t="s">
        <v>239</v>
      </c>
      <c r="D89" s="22" t="s">
        <v>237</v>
      </c>
      <c r="E89" s="296" t="s">
        <v>240</v>
      </c>
      <c r="G89" s="86" t="s">
        <v>65</v>
      </c>
      <c r="H89" s="86" t="s">
        <v>57</v>
      </c>
      <c r="I89" s="86" t="s">
        <v>45</v>
      </c>
      <c r="J89" s="86" t="s">
        <v>236</v>
      </c>
    </row>
    <row r="90" spans="1:10" ht="15.6" x14ac:dyDescent="0.3">
      <c r="A90" s="80" t="s">
        <v>65</v>
      </c>
      <c r="B90" s="38"/>
      <c r="C90" s="81">
        <f>B81</f>
        <v>239792.03562756503</v>
      </c>
      <c r="D90" s="38"/>
      <c r="E90" s="81">
        <f>D81</f>
        <v>417029.62717837392</v>
      </c>
      <c r="F90" s="82">
        <f>E81</f>
        <v>0</v>
      </c>
      <c r="G90" s="50"/>
      <c r="H90" s="87">
        <f>C90</f>
        <v>239792.03562756503</v>
      </c>
      <c r="I90" s="87">
        <f>E90</f>
        <v>417029.62717837392</v>
      </c>
      <c r="J90" s="292">
        <f>F90</f>
        <v>0</v>
      </c>
    </row>
    <row r="91" spans="1:10" ht="15.6" x14ac:dyDescent="0.3">
      <c r="A91" s="38">
        <v>65</v>
      </c>
      <c r="B91" s="81">
        <f t="shared" ref="B91:B120" si="2">$B$86</f>
        <v>9927.0487290000056</v>
      </c>
      <c r="C91" s="82">
        <f>(C90-B91)*(1+$B$85)</f>
        <v>233219.10484920227</v>
      </c>
      <c r="D91" s="81">
        <f t="shared" ref="D91:D120" si="3">$D$86</f>
        <v>39669.839999999997</v>
      </c>
      <c r="E91" s="82">
        <f>(E90-D91)*(1+$B$85)</f>
        <v>382866.10309495224</v>
      </c>
      <c r="F91" s="82">
        <f>(F90-$D$86)*(1+$B$85)</f>
        <v>-40248.689890268943</v>
      </c>
      <c r="G91" s="50">
        <f>A91</f>
        <v>65</v>
      </c>
      <c r="H91" s="88">
        <f>C91</f>
        <v>233219.10484920227</v>
      </c>
      <c r="I91" s="88">
        <f>E91</f>
        <v>382866.10309495224</v>
      </c>
      <c r="J91" s="292">
        <f t="shared" ref="J91:J120" si="4">F91</f>
        <v>-40248.689890268943</v>
      </c>
    </row>
    <row r="92" spans="1:10" ht="15.6" x14ac:dyDescent="0.3">
      <c r="A92" s="38">
        <f>A91+1</f>
        <v>66</v>
      </c>
      <c r="B92" s="81">
        <f t="shared" si="2"/>
        <v>9927.0487290000056</v>
      </c>
      <c r="C92" s="82">
        <f t="shared" ref="C92:C120" si="5">(C91-B92)*(1+$B$85)</f>
        <v>226550.26392197577</v>
      </c>
      <c r="D92" s="81">
        <f t="shared" si="3"/>
        <v>39669.839999999997</v>
      </c>
      <c r="E92" s="82">
        <f t="shared" ref="E92:E120" si="6">(E91-D92)*(1+$B$85)</f>
        <v>348204.0755598683</v>
      </c>
      <c r="F92" s="82">
        <f t="shared" ref="F92:F120" si="7">(F91-$D$86)*(1+$B$85)</f>
        <v>-81084.676067249689</v>
      </c>
      <c r="G92" s="50">
        <f t="shared" ref="G92:G120" si="8">A92</f>
        <v>66</v>
      </c>
      <c r="H92" s="88">
        <f t="shared" ref="H92:H120" si="9">C92</f>
        <v>226550.26392197577</v>
      </c>
      <c r="I92" s="88">
        <f t="shared" ref="I92:I120" si="10">E92</f>
        <v>348204.0755598683</v>
      </c>
      <c r="J92" s="292">
        <f t="shared" si="4"/>
        <v>-81084.676067249689</v>
      </c>
    </row>
    <row r="93" spans="1:10" ht="15.6" x14ac:dyDescent="0.3">
      <c r="A93" s="38">
        <f t="shared" ref="A93:A120" si="11">A92+1</f>
        <v>67</v>
      </c>
      <c r="B93" s="81">
        <f t="shared" si="2"/>
        <v>9927.0487290000056</v>
      </c>
      <c r="C93" s="82">
        <f t="shared" si="5"/>
        <v>219784.11335500921</v>
      </c>
      <c r="D93" s="81">
        <f t="shared" si="3"/>
        <v>39669.839999999997</v>
      </c>
      <c r="E93" s="82">
        <f t="shared" si="6"/>
        <v>313036.27056676632</v>
      </c>
      <c r="F93" s="82">
        <f t="shared" si="7"/>
        <v>-122516.5281745586</v>
      </c>
      <c r="G93" s="50">
        <f t="shared" si="8"/>
        <v>67</v>
      </c>
      <c r="H93" s="88">
        <f t="shared" si="9"/>
        <v>219784.11335500921</v>
      </c>
      <c r="I93" s="88">
        <f t="shared" si="10"/>
        <v>313036.27056676632</v>
      </c>
      <c r="J93" s="292">
        <f t="shared" si="4"/>
        <v>-122516.5281745586</v>
      </c>
    </row>
    <row r="94" spans="1:10" ht="15.6" x14ac:dyDescent="0.3">
      <c r="A94" s="38">
        <f t="shared" si="11"/>
        <v>68</v>
      </c>
      <c r="B94" s="81">
        <f t="shared" si="2"/>
        <v>9927.0487290000056</v>
      </c>
      <c r="C94" s="82">
        <f t="shared" si="5"/>
        <v>212919.23323649337</v>
      </c>
      <c r="D94" s="81">
        <f t="shared" si="3"/>
        <v>39669.839999999997</v>
      </c>
      <c r="E94" s="82">
        <f t="shared" si="6"/>
        <v>277355.3079692662</v>
      </c>
      <c r="F94" s="82">
        <f t="shared" si="7"/>
        <v>-164552.94090136976</v>
      </c>
      <c r="G94" s="50">
        <f t="shared" si="8"/>
        <v>68</v>
      </c>
      <c r="H94" s="88">
        <f t="shared" si="9"/>
        <v>212919.23323649337</v>
      </c>
      <c r="I94" s="88">
        <f t="shared" si="10"/>
        <v>277355.3079692662</v>
      </c>
      <c r="J94" s="292">
        <f t="shared" si="4"/>
        <v>-164552.94090136976</v>
      </c>
    </row>
    <row r="95" spans="1:10" ht="15.6" x14ac:dyDescent="0.3">
      <c r="A95" s="38">
        <f t="shared" si="11"/>
        <v>69</v>
      </c>
      <c r="B95" s="81">
        <f t="shared" si="2"/>
        <v>9927.0487290000056</v>
      </c>
      <c r="C95" s="82">
        <f t="shared" si="5"/>
        <v>205954.18293571027</v>
      </c>
      <c r="D95" s="81">
        <f t="shared" si="3"/>
        <v>39669.839999999997</v>
      </c>
      <c r="E95" s="82">
        <f t="shared" si="6"/>
        <v>241153.69993220159</v>
      </c>
      <c r="F95" s="82">
        <f t="shared" si="7"/>
        <v>-207202.73580704059</v>
      </c>
      <c r="G95" s="50">
        <f t="shared" si="8"/>
        <v>69</v>
      </c>
      <c r="H95" s="88">
        <f t="shared" si="9"/>
        <v>205954.18293571027</v>
      </c>
      <c r="I95" s="88">
        <f t="shared" si="10"/>
        <v>241153.69993220159</v>
      </c>
      <c r="J95" s="292">
        <f t="shared" si="4"/>
        <v>-207202.73580704059</v>
      </c>
    </row>
    <row r="96" spans="1:10" ht="15.6" x14ac:dyDescent="0.3">
      <c r="A96" s="38">
        <f t="shared" si="11"/>
        <v>70</v>
      </c>
      <c r="B96" s="81">
        <f t="shared" si="2"/>
        <v>9927.0487290000056</v>
      </c>
      <c r="C96" s="82">
        <f t="shared" si="5"/>
        <v>198887.50080070939</v>
      </c>
      <c r="D96" s="81">
        <f t="shared" si="3"/>
        <v>39669.839999999997</v>
      </c>
      <c r="E96" s="82">
        <f t="shared" si="6"/>
        <v>204423.84936025876</v>
      </c>
      <c r="F96" s="82">
        <f t="shared" si="7"/>
        <v>-250474.86317236189</v>
      </c>
      <c r="G96" s="50">
        <f t="shared" si="8"/>
        <v>70</v>
      </c>
      <c r="H96" s="88">
        <f t="shared" si="9"/>
        <v>198887.50080070939</v>
      </c>
      <c r="I96" s="88">
        <f t="shared" si="10"/>
        <v>204423.84936025876</v>
      </c>
      <c r="J96" s="292">
        <f t="shared" si="4"/>
        <v>-250474.86317236189</v>
      </c>
    </row>
    <row r="97" spans="1:10" ht="15.6" x14ac:dyDescent="0.3">
      <c r="A97" s="38">
        <f t="shared" si="11"/>
        <v>71</v>
      </c>
      <c r="B97" s="81">
        <f t="shared" si="2"/>
        <v>9927.0487290000056</v>
      </c>
      <c r="C97" s="82">
        <f t="shared" si="5"/>
        <v>191717.70385157235</v>
      </c>
      <c r="D97" s="81">
        <f t="shared" si="3"/>
        <v>39669.839999999997</v>
      </c>
      <c r="E97" s="82">
        <f t="shared" si="6"/>
        <v>167158.04830368669</v>
      </c>
      <c r="F97" s="82">
        <f t="shared" si="7"/>
        <v>-294378.4038778207</v>
      </c>
      <c r="G97" s="50">
        <f t="shared" si="8"/>
        <v>71</v>
      </c>
      <c r="H97" s="88">
        <f t="shared" si="9"/>
        <v>191717.70385157235</v>
      </c>
      <c r="I97" s="88">
        <f t="shared" si="10"/>
        <v>167158.04830368669</v>
      </c>
      <c r="J97" s="292">
        <f t="shared" si="4"/>
        <v>-294378.4038778207</v>
      </c>
    </row>
    <row r="98" spans="1:10" ht="15.6" x14ac:dyDescent="0.3">
      <c r="A98" s="38">
        <f t="shared" si="11"/>
        <v>72</v>
      </c>
      <c r="B98" s="81">
        <f t="shared" si="2"/>
        <v>9927.0487290000056</v>
      </c>
      <c r="C98" s="82">
        <f t="shared" si="5"/>
        <v>184443.28746920195</v>
      </c>
      <c r="D98" s="81">
        <f t="shared" si="3"/>
        <v>39669.839999999997</v>
      </c>
      <c r="E98" s="82">
        <f t="shared" si="6"/>
        <v>129348.47634074392</v>
      </c>
      <c r="F98" s="82">
        <f t="shared" si="7"/>
        <v>-338922.57130927016</v>
      </c>
      <c r="G98" s="50">
        <f t="shared" si="8"/>
        <v>72</v>
      </c>
      <c r="H98" s="88">
        <f t="shared" si="9"/>
        <v>184443.28746920195</v>
      </c>
      <c r="I98" s="88">
        <f t="shared" si="10"/>
        <v>129348.47634074392</v>
      </c>
      <c r="J98" s="292">
        <f t="shared" si="4"/>
        <v>-338922.57130927016</v>
      </c>
    </row>
    <row r="99" spans="1:10" ht="15.6" x14ac:dyDescent="0.3">
      <c r="A99" s="38">
        <f t="shared" si="11"/>
        <v>73</v>
      </c>
      <c r="B99" s="81">
        <f t="shared" si="2"/>
        <v>9927.0487290000056</v>
      </c>
      <c r="C99" s="82">
        <f t="shared" si="5"/>
        <v>177062.72507956999</v>
      </c>
      <c r="D99" s="81">
        <f t="shared" si="3"/>
        <v>39669.839999999997</v>
      </c>
      <c r="E99" s="82">
        <f t="shared" si="6"/>
        <v>90987.198936542351</v>
      </c>
      <c r="F99" s="82">
        <f t="shared" si="7"/>
        <v>-384116.7132914064</v>
      </c>
      <c r="G99" s="50">
        <f t="shared" si="8"/>
        <v>73</v>
      </c>
      <c r="H99" s="88">
        <f t="shared" si="9"/>
        <v>177062.72507956999</v>
      </c>
      <c r="I99" s="88">
        <f t="shared" si="10"/>
        <v>90987.198936542351</v>
      </c>
      <c r="J99" s="292">
        <f t="shared" si="4"/>
        <v>-384116.7132914064</v>
      </c>
    </row>
    <row r="100" spans="1:10" ht="15.6" x14ac:dyDescent="0.3">
      <c r="A100" s="38">
        <f t="shared" si="11"/>
        <v>74</v>
      </c>
      <c r="B100" s="81">
        <f t="shared" si="2"/>
        <v>9927.0487290000056</v>
      </c>
      <c r="C100" s="82">
        <f t="shared" si="5"/>
        <v>169574.46783335778</v>
      </c>
      <c r="D100" s="81">
        <f t="shared" si="3"/>
        <v>39669.839999999997</v>
      </c>
      <c r="E100" s="82">
        <f t="shared" si="6"/>
        <v>52066.165777944028</v>
      </c>
      <c r="F100" s="82">
        <f t="shared" si="7"/>
        <v>-429970.31404945796</v>
      </c>
      <c r="G100" s="50">
        <f t="shared" si="8"/>
        <v>74</v>
      </c>
      <c r="H100" s="88">
        <f t="shared" si="9"/>
        <v>169574.46783335778</v>
      </c>
      <c r="I100" s="88">
        <f t="shared" si="10"/>
        <v>52066.165777944028</v>
      </c>
      <c r="J100" s="292">
        <f t="shared" si="4"/>
        <v>-429970.31404945796</v>
      </c>
    </row>
    <row r="101" spans="1:10" ht="15.6" x14ac:dyDescent="0.3">
      <c r="A101" s="38">
        <f t="shared" si="11"/>
        <v>75</v>
      </c>
      <c r="B101" s="81">
        <f t="shared" si="2"/>
        <v>9927.0487290000056</v>
      </c>
      <c r="C101" s="82">
        <f t="shared" si="5"/>
        <v>161976.94428092209</v>
      </c>
      <c r="D101" s="81">
        <f t="shared" si="3"/>
        <v>39669.839999999997</v>
      </c>
      <c r="E101" s="82">
        <f t="shared" si="6"/>
        <v>12577.209084161073</v>
      </c>
      <c r="F101" s="82">
        <f t="shared" si="7"/>
        <v>-476492.99619949993</v>
      </c>
      <c r="G101" s="50">
        <f t="shared" si="8"/>
        <v>75</v>
      </c>
      <c r="H101" s="88">
        <f t="shared" si="9"/>
        <v>161976.94428092209</v>
      </c>
      <c r="I101" s="88">
        <f t="shared" si="10"/>
        <v>12577.209084161073</v>
      </c>
      <c r="J101" s="292">
        <f t="shared" si="4"/>
        <v>-476492.99619949993</v>
      </c>
    </row>
    <row r="102" spans="1:10" ht="15.6" x14ac:dyDescent="0.3">
      <c r="A102" s="38">
        <f t="shared" si="11"/>
        <v>76</v>
      </c>
      <c r="B102" s="81">
        <f t="shared" si="2"/>
        <v>9927.0487290000056</v>
      </c>
      <c r="C102" s="82">
        <f t="shared" si="5"/>
        <v>154268.56004251834</v>
      </c>
      <c r="D102" s="81">
        <f t="shared" si="3"/>
        <v>39669.839999999997</v>
      </c>
      <c r="E102" s="82">
        <f t="shared" si="6"/>
        <v>-27487.958107295468</v>
      </c>
      <c r="F102" s="82">
        <f t="shared" si="7"/>
        <v>-523694.52276780945</v>
      </c>
      <c r="G102" s="50">
        <f t="shared" si="8"/>
        <v>76</v>
      </c>
      <c r="H102" s="88">
        <f t="shared" si="9"/>
        <v>154268.56004251834</v>
      </c>
      <c r="I102" s="88">
        <f t="shared" si="10"/>
        <v>-27487.958107295468</v>
      </c>
      <c r="J102" s="292">
        <f t="shared" si="4"/>
        <v>-523694.52276780945</v>
      </c>
    </row>
    <row r="103" spans="1:10" ht="15.6" x14ac:dyDescent="0.3">
      <c r="A103" s="38">
        <f t="shared" si="11"/>
        <v>77</v>
      </c>
      <c r="B103" s="81">
        <f t="shared" si="2"/>
        <v>9927.0487290000056</v>
      </c>
      <c r="C103" s="82">
        <f t="shared" si="5"/>
        <v>146447.69747371168</v>
      </c>
      <c r="D103" s="81">
        <f t="shared" si="3"/>
        <v>39669.839999999997</v>
      </c>
      <c r="E103" s="82">
        <f t="shared" si="6"/>
        <v>-68137.743679677718</v>
      </c>
      <c r="F103" s="82">
        <f t="shared" si="7"/>
        <v>-571584.79923968785</v>
      </c>
      <c r="G103" s="50">
        <f t="shared" si="8"/>
        <v>77</v>
      </c>
      <c r="H103" s="88">
        <f t="shared" si="9"/>
        <v>146447.69747371168</v>
      </c>
      <c r="I103" s="88">
        <f t="shared" si="10"/>
        <v>-68137.743679677718</v>
      </c>
      <c r="J103" s="292">
        <f t="shared" si="4"/>
        <v>-571584.79923968785</v>
      </c>
    </row>
    <row r="104" spans="1:10" ht="15.6" x14ac:dyDescent="0.3">
      <c r="A104" s="38">
        <f t="shared" si="11"/>
        <v>78</v>
      </c>
      <c r="B104" s="81">
        <f t="shared" si="2"/>
        <v>9927.0487290000056</v>
      </c>
      <c r="C104" s="82">
        <f t="shared" si="5"/>
        <v>138512.71532590591</v>
      </c>
      <c r="D104" s="81">
        <f t="shared" si="3"/>
        <v>39669.839999999997</v>
      </c>
      <c r="E104" s="82">
        <f t="shared" si="6"/>
        <v>-109380.67820143887</v>
      </c>
      <c r="F104" s="82">
        <f t="shared" si="7"/>
        <v>-620173.87563817797</v>
      </c>
      <c r="G104" s="50">
        <f t="shared" si="8"/>
        <v>78</v>
      </c>
      <c r="H104" s="88">
        <f t="shared" si="9"/>
        <v>138512.71532590591</v>
      </c>
      <c r="I104" s="88">
        <f t="shared" si="10"/>
        <v>-109380.67820143887</v>
      </c>
      <c r="J104" s="292">
        <f t="shared" si="4"/>
        <v>-620173.87563817797</v>
      </c>
    </row>
    <row r="105" spans="1:10" ht="15.6" x14ac:dyDescent="0.3">
      <c r="A105" s="38">
        <f t="shared" si="11"/>
        <v>79</v>
      </c>
      <c r="B105" s="81">
        <f t="shared" si="2"/>
        <v>9927.0487290000056</v>
      </c>
      <c r="C105" s="82">
        <f t="shared" si="5"/>
        <v>130461.94840191895</v>
      </c>
      <c r="D105" s="81">
        <f t="shared" si="3"/>
        <v>39669.839999999997</v>
      </c>
      <c r="E105" s="82">
        <f t="shared" si="6"/>
        <v>-151225.41671641733</v>
      </c>
      <c r="F105" s="82">
        <f t="shared" si="7"/>
        <v>-669471.94863311353</v>
      </c>
      <c r="G105" s="50">
        <f t="shared" si="8"/>
        <v>79</v>
      </c>
      <c r="H105" s="88">
        <f t="shared" si="9"/>
        <v>130461.94840191895</v>
      </c>
      <c r="I105" s="88">
        <f t="shared" si="10"/>
        <v>-151225.41671641733</v>
      </c>
      <c r="J105" s="292">
        <f t="shared" si="4"/>
        <v>-669471.94863311353</v>
      </c>
    </row>
    <row r="106" spans="1:10" ht="15.6" x14ac:dyDescent="0.3">
      <c r="A106" s="38">
        <f t="shared" si="11"/>
        <v>80</v>
      </c>
      <c r="B106" s="81">
        <f t="shared" si="2"/>
        <v>9927.0487290000056</v>
      </c>
      <c r="C106" s="82">
        <f t="shared" si="5"/>
        <v>122293.70720653259</v>
      </c>
      <c r="D106" s="81">
        <f t="shared" si="3"/>
        <v>39669.839999999997</v>
      </c>
      <c r="E106" s="82">
        <f t="shared" si="6"/>
        <v>-193680.74056014244</v>
      </c>
      <c r="F106" s="82">
        <f t="shared" si="7"/>
        <v>-719489.36368094338</v>
      </c>
      <c r="G106" s="50">
        <f t="shared" si="8"/>
        <v>80</v>
      </c>
      <c r="H106" s="88">
        <f t="shared" si="9"/>
        <v>122293.70720653259</v>
      </c>
      <c r="I106" s="88">
        <f t="shared" si="10"/>
        <v>-193680.74056014244</v>
      </c>
      <c r="J106" s="292">
        <f t="shared" si="4"/>
        <v>-719489.36368094338</v>
      </c>
    </row>
    <row r="107" spans="1:10" ht="15.6" x14ac:dyDescent="0.3">
      <c r="A107" s="38">
        <f t="shared" si="11"/>
        <v>81</v>
      </c>
      <c r="B107" s="81">
        <f t="shared" si="2"/>
        <v>9927.0487290000056</v>
      </c>
      <c r="C107" s="82">
        <f t="shared" si="5"/>
        <v>114006.27759194313</v>
      </c>
      <c r="D107" s="81">
        <f t="shared" si="3"/>
        <v>39669.839999999997</v>
      </c>
      <c r="E107" s="82">
        <f t="shared" si="6"/>
        <v>-236755.55920264349</v>
      </c>
      <c r="F107" s="82">
        <f t="shared" si="7"/>
        <v>-770236.61719577922</v>
      </c>
      <c r="G107" s="50">
        <f t="shared" si="8"/>
        <v>81</v>
      </c>
      <c r="H107" s="88">
        <f t="shared" si="9"/>
        <v>114006.27759194313</v>
      </c>
      <c r="I107" s="88">
        <f t="shared" si="10"/>
        <v>-236755.55920264349</v>
      </c>
      <c r="J107" s="292">
        <f t="shared" si="4"/>
        <v>-770236.61719577922</v>
      </c>
    </row>
    <row r="108" spans="1:10" ht="15.6" x14ac:dyDescent="0.3">
      <c r="A108" s="38">
        <f t="shared" si="11"/>
        <v>82</v>
      </c>
      <c r="B108" s="81">
        <f t="shared" si="2"/>
        <v>9927.0487290000056</v>
      </c>
      <c r="C108" s="82">
        <f t="shared" si="5"/>
        <v>105597.92039803859</v>
      </c>
      <c r="D108" s="81">
        <f t="shared" si="3"/>
        <v>39669.839999999997</v>
      </c>
      <c r="E108" s="82">
        <f t="shared" si="6"/>
        <v>-280458.91211814806</v>
      </c>
      <c r="F108" s="82">
        <f t="shared" si="7"/>
        <v>-821724.3587521225</v>
      </c>
      <c r="G108" s="50">
        <f t="shared" si="8"/>
        <v>82</v>
      </c>
      <c r="H108" s="88">
        <f t="shared" si="9"/>
        <v>105597.92039803859</v>
      </c>
      <c r="I108" s="88">
        <f t="shared" si="10"/>
        <v>-280458.91211814806</v>
      </c>
      <c r="J108" s="292">
        <f t="shared" si="4"/>
        <v>-821724.3587521225</v>
      </c>
    </row>
    <row r="109" spans="1:10" ht="15.6" x14ac:dyDescent="0.3">
      <c r="A109" s="38">
        <f t="shared" si="11"/>
        <v>83</v>
      </c>
      <c r="B109" s="81">
        <f t="shared" si="2"/>
        <v>9927.0487290000056</v>
      </c>
      <c r="C109" s="82">
        <f t="shared" si="5"/>
        <v>97066.871087426902</v>
      </c>
      <c r="D109" s="81">
        <f t="shared" si="3"/>
        <v>39669.839999999997</v>
      </c>
      <c r="E109" s="82">
        <f t="shared" si="6"/>
        <v>-324799.97068206273</v>
      </c>
      <c r="F109" s="82">
        <f t="shared" si="7"/>
        <v>-873963.39331973286</v>
      </c>
      <c r="G109" s="50">
        <f t="shared" si="8"/>
        <v>83</v>
      </c>
      <c r="H109" s="88">
        <f t="shared" si="9"/>
        <v>97066.871087426902</v>
      </c>
      <c r="I109" s="88">
        <f t="shared" si="10"/>
        <v>-324799.97068206273</v>
      </c>
      <c r="J109" s="292">
        <f t="shared" si="4"/>
        <v>-873963.39331973286</v>
      </c>
    </row>
    <row r="110" spans="1:10" ht="15.6" x14ac:dyDescent="0.3">
      <c r="A110" s="38">
        <f t="shared" si="11"/>
        <v>84</v>
      </c>
      <c r="B110" s="81">
        <f t="shared" si="2"/>
        <v>9927.0487290000056</v>
      </c>
      <c r="C110" s="82">
        <f t="shared" si="5"/>
        <v>88411.339375138617</v>
      </c>
      <c r="D110" s="81">
        <f t="shared" si="3"/>
        <v>39669.839999999997</v>
      </c>
      <c r="E110" s="82">
        <f t="shared" si="6"/>
        <v>-369788.04009563377</v>
      </c>
      <c r="F110" s="82">
        <f t="shared" si="7"/>
        <v>-926964.68353110726</v>
      </c>
      <c r="G110" s="50">
        <f t="shared" si="8"/>
        <v>84</v>
      </c>
      <c r="H110" s="88">
        <f t="shared" si="9"/>
        <v>88411.339375138617</v>
      </c>
      <c r="I110" s="88">
        <f t="shared" si="10"/>
        <v>-369788.04009563377</v>
      </c>
      <c r="J110" s="292">
        <f t="shared" si="4"/>
        <v>-926964.68353110726</v>
      </c>
    </row>
    <row r="111" spans="1:10" ht="15.6" x14ac:dyDescent="0.3">
      <c r="A111" s="38">
        <f t="shared" si="11"/>
        <v>85</v>
      </c>
      <c r="B111" s="81">
        <f t="shared" si="2"/>
        <v>9927.0487290000056</v>
      </c>
      <c r="C111" s="82">
        <f t="shared" si="5"/>
        <v>79629.508852926287</v>
      </c>
      <c r="D111" s="81">
        <f t="shared" si="3"/>
        <v>39669.839999999997</v>
      </c>
      <c r="E111" s="82">
        <f t="shared" si="6"/>
        <v>-415432.56133869186</v>
      </c>
      <c r="F111" s="82">
        <f t="shared" si="7"/>
        <v>-980739.35198204522</v>
      </c>
      <c r="G111" s="50">
        <f t="shared" si="8"/>
        <v>85</v>
      </c>
      <c r="H111" s="88">
        <f t="shared" si="9"/>
        <v>79629.508852926287</v>
      </c>
      <c r="I111" s="88">
        <f t="shared" si="10"/>
        <v>-415432.56133869186</v>
      </c>
      <c r="J111" s="292">
        <f t="shared" si="4"/>
        <v>-980739.35198204522</v>
      </c>
    </row>
    <row r="112" spans="1:10" ht="15.6" x14ac:dyDescent="0.3">
      <c r="A112" s="38">
        <f t="shared" si="11"/>
        <v>86</v>
      </c>
      <c r="B112" s="81">
        <f t="shared" si="2"/>
        <v>9927.0487290000056</v>
      </c>
      <c r="C112" s="82">
        <f t="shared" si="5"/>
        <v>70719.536608081762</v>
      </c>
      <c r="D112" s="81">
        <f t="shared" si="3"/>
        <v>39669.839999999997</v>
      </c>
      <c r="E112" s="82">
        <f t="shared" si="6"/>
        <v>-461743.11315089063</v>
      </c>
      <c r="F112" s="82">
        <f t="shared" si="7"/>
        <v>-1035298.6835657832</v>
      </c>
      <c r="G112" s="50">
        <f t="shared" si="8"/>
        <v>86</v>
      </c>
      <c r="H112" s="88">
        <f t="shared" si="9"/>
        <v>70719.536608081762</v>
      </c>
      <c r="I112" s="88">
        <f t="shared" si="10"/>
        <v>-461743.11315089063</v>
      </c>
      <c r="J112" s="292">
        <f t="shared" si="4"/>
        <v>-1035298.6835657832</v>
      </c>
    </row>
    <row r="113" spans="1:10" ht="15.6" x14ac:dyDescent="0.3">
      <c r="A113" s="38">
        <f t="shared" si="11"/>
        <v>87</v>
      </c>
      <c r="B113" s="81">
        <f t="shared" si="2"/>
        <v>9927.0487290000056</v>
      </c>
      <c r="C113" s="82">
        <f t="shared" si="5"/>
        <v>61679.552836691444</v>
      </c>
      <c r="D113" s="81">
        <f t="shared" si="3"/>
        <v>39669.839999999997</v>
      </c>
      <c r="E113" s="82">
        <f t="shared" si="6"/>
        <v>-508729.4140418552</v>
      </c>
      <c r="F113" s="82">
        <f t="shared" si="7"/>
        <v>-1090654.1278411881</v>
      </c>
      <c r="G113" s="50">
        <f t="shared" si="8"/>
        <v>87</v>
      </c>
      <c r="H113" s="88">
        <f t="shared" si="9"/>
        <v>61679.552836691444</v>
      </c>
      <c r="I113" s="88">
        <f t="shared" si="10"/>
        <v>-508729.4140418552</v>
      </c>
      <c r="J113" s="292">
        <f t="shared" si="4"/>
        <v>-1090654.1278411881</v>
      </c>
    </row>
    <row r="114" spans="1:10" ht="15.6" x14ac:dyDescent="0.3">
      <c r="A114" s="38">
        <f t="shared" si="11"/>
        <v>88</v>
      </c>
      <c r="B114" s="81">
        <f t="shared" si="2"/>
        <v>9927.0487290000056</v>
      </c>
      <c r="C114" s="82">
        <f t="shared" si="5"/>
        <v>52507.660451248164</v>
      </c>
      <c r="D114" s="81">
        <f t="shared" si="3"/>
        <v>39669.839999999997</v>
      </c>
      <c r="E114" s="82">
        <f t="shared" si="6"/>
        <v>-556401.32433066156</v>
      </c>
      <c r="F114" s="82">
        <f t="shared" si="7"/>
        <v>-1146817.3014355064</v>
      </c>
      <c r="G114" s="50">
        <f t="shared" si="8"/>
        <v>88</v>
      </c>
      <c r="H114" s="88">
        <f t="shared" si="9"/>
        <v>52507.660451248164</v>
      </c>
      <c r="I114" s="88">
        <f t="shared" si="10"/>
        <v>-556401.32433066156</v>
      </c>
      <c r="J114" s="292">
        <f t="shared" si="4"/>
        <v>-1146817.3014355064</v>
      </c>
    </row>
    <row r="115" spans="1:10" ht="15.6" x14ac:dyDescent="0.3">
      <c r="A115" s="38">
        <f t="shared" si="11"/>
        <v>89</v>
      </c>
      <c r="B115" s="81">
        <f t="shared" si="2"/>
        <v>9927.0487290000056</v>
      </c>
      <c r="C115" s="82">
        <f t="shared" si="5"/>
        <v>43201.934682537583</v>
      </c>
      <c r="D115" s="81">
        <f t="shared" si="3"/>
        <v>39669.839999999997</v>
      </c>
      <c r="E115" s="82">
        <f t="shared" si="6"/>
        <v>-604768.84821507568</v>
      </c>
      <c r="F115" s="82">
        <f t="shared" si="7"/>
        <v>-1203799.9904821743</v>
      </c>
      <c r="G115" s="50">
        <f t="shared" si="8"/>
        <v>89</v>
      </c>
      <c r="H115" s="88">
        <f t="shared" si="9"/>
        <v>43201.934682537583</v>
      </c>
      <c r="I115" s="88">
        <f t="shared" si="10"/>
        <v>-604768.84821507568</v>
      </c>
      <c r="J115" s="292">
        <f t="shared" si="4"/>
        <v>-1203799.9904821743</v>
      </c>
    </row>
    <row r="116" spans="1:10" ht="15.6" x14ac:dyDescent="0.3">
      <c r="A116" s="38">
        <f t="shared" si="11"/>
        <v>90</v>
      </c>
      <c r="B116" s="81">
        <f t="shared" si="2"/>
        <v>9927.0487290000056</v>
      </c>
      <c r="C116" s="82">
        <f t="shared" si="5"/>
        <v>33760.422675715359</v>
      </c>
      <c r="D116" s="81">
        <f t="shared" si="3"/>
        <v>39669.839999999997</v>
      </c>
      <c r="E116" s="82">
        <f t="shared" si="6"/>
        <v>-653842.13587098662</v>
      </c>
      <c r="F116" s="82">
        <f t="shared" si="7"/>
        <v>-1261614.1530941979</v>
      </c>
      <c r="G116" s="50">
        <f t="shared" si="8"/>
        <v>90</v>
      </c>
      <c r="H116" s="88">
        <f t="shared" si="9"/>
        <v>33760.422675715359</v>
      </c>
      <c r="I116" s="88">
        <f t="shared" si="10"/>
        <v>-653842.13587098662</v>
      </c>
      <c r="J116" s="292">
        <f t="shared" si="4"/>
        <v>-1261614.1530941979</v>
      </c>
    </row>
    <row r="117" spans="1:10" ht="15.6" x14ac:dyDescent="0.3">
      <c r="A117" s="38">
        <f t="shared" si="11"/>
        <v>91</v>
      </c>
      <c r="B117" s="81">
        <f t="shared" si="2"/>
        <v>9927.0487290000056</v>
      </c>
      <c r="C117" s="82">
        <f t="shared" si="5"/>
        <v>24181.143080490408</v>
      </c>
      <c r="D117" s="81">
        <f t="shared" si="3"/>
        <v>39669.839999999997</v>
      </c>
      <c r="E117" s="82">
        <f t="shared" si="6"/>
        <v>-703631.48558247322</v>
      </c>
      <c r="F117" s="82">
        <f t="shared" si="7"/>
        <v>-1320271.9218736263</v>
      </c>
      <c r="G117" s="50">
        <f t="shared" si="8"/>
        <v>91</v>
      </c>
      <c r="H117" s="88">
        <f t="shared" si="9"/>
        <v>24181.143080490408</v>
      </c>
      <c r="I117" s="88">
        <f t="shared" si="10"/>
        <v>-703631.48558247322</v>
      </c>
      <c r="J117" s="292">
        <f t="shared" si="4"/>
        <v>-1320271.9218736263</v>
      </c>
    </row>
    <row r="118" spans="1:10" ht="15.6" x14ac:dyDescent="0.3">
      <c r="A118" s="38">
        <f t="shared" si="11"/>
        <v>92</v>
      </c>
      <c r="B118" s="81">
        <f t="shared" si="2"/>
        <v>9927.0487290000056</v>
      </c>
      <c r="C118" s="82">
        <f t="shared" si="5"/>
        <v>14462.085635328287</v>
      </c>
      <c r="D118" s="81">
        <f t="shared" si="3"/>
        <v>39669.839999999997</v>
      </c>
      <c r="E118" s="82">
        <f t="shared" si="6"/>
        <v>-754147.34590295283</v>
      </c>
      <c r="F118" s="82">
        <f t="shared" si="7"/>
        <v>-1379785.6064576406</v>
      </c>
      <c r="G118" s="50">
        <f t="shared" si="8"/>
        <v>92</v>
      </c>
      <c r="H118" s="88">
        <f t="shared" si="9"/>
        <v>14462.085635328287</v>
      </c>
      <c r="I118" s="88">
        <f t="shared" si="10"/>
        <v>-754147.34590295283</v>
      </c>
      <c r="J118" s="292">
        <f t="shared" si="4"/>
        <v>-1379785.6064576406</v>
      </c>
    </row>
    <row r="119" spans="1:10" ht="15.6" x14ac:dyDescent="0.3">
      <c r="A119" s="38">
        <f t="shared" si="11"/>
        <v>93</v>
      </c>
      <c r="B119" s="81">
        <f t="shared" si="2"/>
        <v>9927.0487290000056</v>
      </c>
      <c r="C119" s="82">
        <f t="shared" si="5"/>
        <v>4601.2107455873702</v>
      </c>
      <c r="D119" s="81">
        <f t="shared" si="3"/>
        <v>39669.839999999997</v>
      </c>
      <c r="E119" s="82">
        <f t="shared" si="6"/>
        <v>-805400.31784786435</v>
      </c>
      <c r="F119" s="82">
        <f t="shared" si="7"/>
        <v>-1440167.6961017952</v>
      </c>
      <c r="G119" s="50">
        <f t="shared" si="8"/>
        <v>93</v>
      </c>
      <c r="H119" s="88">
        <f t="shared" si="9"/>
        <v>4601.2107455873702</v>
      </c>
      <c r="I119" s="88">
        <f t="shared" si="10"/>
        <v>-805400.31784786435</v>
      </c>
      <c r="J119" s="292">
        <f t="shared" si="4"/>
        <v>-1440167.6961017952</v>
      </c>
    </row>
    <row r="120" spans="1:10" ht="15.6" x14ac:dyDescent="0.3">
      <c r="A120" s="38">
        <f t="shared" si="11"/>
        <v>94</v>
      </c>
      <c r="B120" s="81">
        <f t="shared" si="2"/>
        <v>9927.0487290000056</v>
      </c>
      <c r="C120" s="82">
        <f t="shared" si="5"/>
        <v>-5403.550944500671</v>
      </c>
      <c r="D120" s="81">
        <f t="shared" si="3"/>
        <v>39669.839999999997</v>
      </c>
      <c r="E120" s="82">
        <f t="shared" si="6"/>
        <v>-857401.15711934608</v>
      </c>
      <c r="F120" s="82">
        <f t="shared" si="7"/>
        <v>-1501430.8623009529</v>
      </c>
      <c r="G120" s="50">
        <f t="shared" si="8"/>
        <v>94</v>
      </c>
      <c r="H120" s="88">
        <f t="shared" si="9"/>
        <v>-5403.550944500671</v>
      </c>
      <c r="I120" s="88">
        <f t="shared" si="10"/>
        <v>-857401.15711934608</v>
      </c>
      <c r="J120" s="292">
        <f t="shared" si="4"/>
        <v>-1501430.8623009529</v>
      </c>
    </row>
  </sheetData>
  <sheetProtection algorithmName="SHA-512" hashValue="15bQ/wfItGP5oXTCaOH77d7uSNT7CAGH44ijEJhjAQuxmEGFO0N4z3cXbpk4LGjbUIcIw0xZHA1urNNSB8keaw==" saltValue="KL7WP/v5BqeYrZSRWOHWKw==" spinCount="100000" sheet="1" objects="1" scenarios="1"/>
  <mergeCells count="8">
    <mergeCell ref="F47:L47"/>
    <mergeCell ref="F48:L48"/>
    <mergeCell ref="A1:E1"/>
    <mergeCell ref="K14:M14"/>
    <mergeCell ref="B22:C22"/>
    <mergeCell ref="D22:E22"/>
    <mergeCell ref="B30:C30"/>
    <mergeCell ref="D30:E3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Optimisation retraite</vt:lpstr>
      <vt:lpstr> Épargne nécessaire</vt:lpstr>
      <vt:lpstr>RRQ</vt:lpstr>
      <vt:lpstr>Maison</vt:lpstr>
      <vt:lpstr>Seuils</vt:lpstr>
      <vt:lpstr>Optimal #1</vt:lpstr>
      <vt:lpstr>Optimal &lt; 65</vt:lpstr>
      <vt:lpstr>55-60</vt:lpstr>
      <vt:lpstr>conj #1 60-65 &amp; # 2 60-65</vt:lpstr>
      <vt:lpstr>conj #1 60-65 &amp; # 2 55-60</vt:lpstr>
      <vt:lpstr>2 X &lt; 60</vt:lpstr>
      <vt:lpstr>Optimal actuel</vt:lpstr>
      <vt:lpstr>Données graphique RVER vs CELI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Jean-Francois Robert</cp:lastModifiedBy>
  <cp:lastPrinted>2021-10-12T16:07:24Z</cp:lastPrinted>
  <dcterms:created xsi:type="dcterms:W3CDTF">2013-11-12T09:50:25Z</dcterms:created>
  <dcterms:modified xsi:type="dcterms:W3CDTF">2021-10-12T16:13:59Z</dcterms:modified>
</cp:coreProperties>
</file>